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2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timelines/timeline1.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4.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3"/>
  <workbookPr hidePivotFieldList="1"/>
  <mc:AlternateContent xmlns:mc="http://schemas.openxmlformats.org/markup-compatibility/2006">
    <mc:Choice Requires="x15">
      <x15ac:absPath xmlns:x15ac="http://schemas.microsoft.com/office/spreadsheetml/2010/11/ac" url="D:\ITP_2025\freelance\Mar_2026\Payroll\HR &amp; Payroll System\"/>
    </mc:Choice>
  </mc:AlternateContent>
  <xr:revisionPtr revIDLastSave="0" documentId="13_ncr:1_{C09EE4C4-3F33-442C-A3B8-ADE9ECE6CE27}" xr6:coauthVersionLast="47" xr6:coauthVersionMax="47" xr10:uidLastSave="{00000000-0000-0000-0000-000000000000}"/>
  <bookViews>
    <workbookView xWindow="-96" yWindow="-96" windowWidth="23232" windowHeight="12432" tabRatio="500" firstSheet="1" activeTab="1" xr2:uid="{00000000-000D-0000-FFFF-FFFF00000000}"/>
  </bookViews>
  <sheets>
    <sheet name="Lookups" sheetId="1" state="hidden" r:id="rId1"/>
    <sheet name="HR_Dashboard" sheetId="12" r:id="rId2"/>
    <sheet name="Project_Cost_Dashboard " sheetId="13" r:id="rId3"/>
    <sheet name="Payroll Analysis" sheetId="15" r:id="rId4"/>
    <sheet name="Pivot_Tables" sheetId="11" state="hidden" r:id="rId5"/>
    <sheet name="Departments" sheetId="2" r:id="rId6"/>
    <sheet name="Projects" sheetId="3" r:id="rId7"/>
    <sheet name="Master_Employee" sheetId="4" r:id="rId8"/>
    <sheet name="Transactions" sheetId="6" r:id="rId9"/>
    <sheet name="Daily_Work" sheetId="5" r:id="rId10"/>
    <sheet name="Lists" sheetId="10" state="hidden" r:id="rId11"/>
  </sheets>
  <definedNames>
    <definedName name="ADM_D01" localSheetId="3">Emp_ADM[Name_AR]</definedName>
    <definedName name="ADM_D01" localSheetId="2">Emp_ADM[Name_AR]</definedName>
    <definedName name="ADM_D01">Emp_ADM[Name_AR]</definedName>
    <definedName name="All_D11" localSheetId="3">Emp_All[Name_AR]</definedName>
    <definedName name="All_D11" localSheetId="2">Emp_All[Name_AR]</definedName>
    <definedName name="All_D11">Emp_All[Name_AR]</definedName>
    <definedName name="CON_D03" localSheetId="3">Emp_CON[Name_AR]</definedName>
    <definedName name="CON_D03" localSheetId="2">Emp_CON[Name_AR]</definedName>
    <definedName name="CON_D03">Emp_CON[Name_AR]</definedName>
    <definedName name="DeptList">Lookups!$B$2:$B$11</definedName>
    <definedName name="ELE_D04" localSheetId="3">Emp_ELE[Name_AR]</definedName>
    <definedName name="ELE_D04" localSheetId="2">Emp_ELE[Name_AR]</definedName>
    <definedName name="ELE_D04">Emp_ELE[Name_AR]</definedName>
    <definedName name="EmpDepts">Master_Employee!$D$5:$D$30</definedName>
    <definedName name="EmpIDs">Master_Employee!$B$5:$B$30</definedName>
    <definedName name="EmpNames">Master_Employee!$H$5:$H$30</definedName>
    <definedName name="EmpStatus">Lookups!$F$2:$F$5</definedName>
    <definedName name="FIN_D02" localSheetId="3">Emp_FIN[Name_AR]</definedName>
    <definedName name="FIN_D02" localSheetId="2">Emp_FIN[Name_AR]</definedName>
    <definedName name="FIN_D02">Emp_FIN[Name_AR]</definedName>
    <definedName name="PayMethods">Lookups!$D$2:$D$4</definedName>
    <definedName name="PLM_D05" localSheetId="3">Emp_PLM[Name_AR]</definedName>
    <definedName name="PLM_D05" localSheetId="2">Emp_PLM[Name_AR]</definedName>
    <definedName name="PLM_D05">Emp_PLM[Name_AR]</definedName>
    <definedName name="ProjectList">Projects!$B$4:$B$70</definedName>
    <definedName name="ProjectNames">Projects!$C$4:$C$70</definedName>
    <definedName name="Slicer_Dept_Name">#N/A</definedName>
    <definedName name="Slicer_Emp_Status">#N/A</definedName>
    <definedName name="Slicer_Grade">#N/A</definedName>
    <definedName name="Slicer_Job_Title">#N/A</definedName>
    <definedName name="Slicer_Payment_Method">#N/A</definedName>
    <definedName name="Slicer_Project_Name">#N/A</definedName>
    <definedName name="Slicer_Supervisor">#N/A</definedName>
    <definedName name="STN_D06" localSheetId="3">Emp_STN[Name_AR]</definedName>
    <definedName name="STN_D06" localSheetId="2">Emp_STN[Name_AR]</definedName>
    <definedName name="STN_D06">Emp_STN[Name_AR]</definedName>
    <definedName name="SupvList">Master_Employee!$H$5:$H$30</definedName>
    <definedName name="Timeline_Month">#N/A</definedName>
    <definedName name="TransTypes">Lookups!$H$2:$H$5</definedName>
  </definedNames>
  <calcPr calcId="191029"/>
  <pivotCaches>
    <pivotCache cacheId="35" r:id="rId12"/>
    <pivotCache cacheId="36" r:id="rId13"/>
    <pivotCache cacheId="37" r:id="rId14"/>
    <pivotCache cacheId="38" r:id="rId15"/>
    <pivotCache cacheId="39" r:id="rId16"/>
    <pivotCache cacheId="40" r:id="rId17"/>
    <pivotCache cacheId="41" r:id="rId18"/>
    <pivotCache cacheId="42" r:id="rId19"/>
    <pivotCache cacheId="43" r:id="rId20"/>
    <pivotCache cacheId="44" r:id="rId21"/>
    <pivotCache cacheId="45" r:id="rId22"/>
    <pivotCache cacheId="46" r:id="rId23"/>
    <pivotCache cacheId="47" r:id="rId24"/>
    <pivotCache cacheId="48" r:id="rId25"/>
    <pivotCache cacheId="49" r:id="rId26"/>
    <pivotCache cacheId="50" r:id="rId27"/>
    <pivotCache cacheId="51" r:id="rId28"/>
    <pivotCache cacheId="52" r:id="rId29"/>
    <pivotCache cacheId="53" r:id="rId30"/>
    <pivotCache cacheId="54" r:id="rId31"/>
    <pivotCache cacheId="55" r:id="rId32"/>
    <pivotCache cacheId="56" r:id="rId33"/>
    <pivotCache cacheId="57" r:id="rId34"/>
    <pivotCache cacheId="58" r:id="rId35"/>
  </pivotCaches>
  <extLst>
    <ext xmlns:x14="http://schemas.microsoft.com/office/spreadsheetml/2009/9/main" uri="{876F7934-8845-4945-9796-88D515C7AA90}">
      <x14:pivotCaches>
        <pivotCache cacheId="59"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 r:id="rId4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0" r:id="rId44"/>
      </x15:timelineCachePivotCaches>
    </ext>
    <ext xmlns:x15="http://schemas.microsoft.com/office/spreadsheetml/2010/11/main" uri="{D0CA8CA8-9F24-4464-BF8E-62219DCF47F9}">
      <x15:timelineCacheRefs>
        <x15:timelineCacheRef r:id="rId45"/>
      </x15:timelineCacheRefs>
    </ext>
    <ext xmlns:x15="http://schemas.microsoft.com/office/spreadsheetml/2010/11/main" uri="{FCE2AD5D-F65C-4FA6-A056-5C36A1767C68}">
      <x15:dataModel>
        <x15:modelTables>
          <x15:modelTable id="tbl_Dept_8c9869b7-ac84-4ea2-b32d-afb68e8a221a" name="tbl_Dept" connection="Query - tbl_Dept"/>
          <x15:modelTable id="tbl_Projects_f8183400-20ee-446e-b437-129d50c80118" name="tbl_Projects" connection="Query - tbl_Projects"/>
          <x15:modelTable id="Master_Employee_f6187ae8-5957-4c76-9a27-f234d0380294" name="Master_Employee" connection="Query - Master_Employee"/>
          <x15:modelTable id="Daily_Work_2c47779b-7cde-4e7a-b95c-f0237f2d3069" name="Daily_Work" connection="Query - Daily_Work"/>
          <x15:modelTable id="tbl_Transactions_7a9d589b-1386-49d2-aa0d-4b145217468d" name="tbl_Transactions" connection="Query - tbl_Transactions"/>
        </x15:modelTables>
        <x15:modelRelationships>
          <x15:modelRelationship fromTable="Master_Employee" fromColumn="Dept_ID" toTable="tbl_Dept" toColumn="Dept_ID"/>
          <x15:modelRelationship fromTable="Daily_Work" fromColumn="Emp_ID" toTable="Master_Employee" toColumn="Emp_ID"/>
          <x15:modelRelationship fromTable="Daily_Work" fromColumn="Project_ID" toTable="tbl_Projects" toColumn="Project_ID"/>
          <x15:modelRelationship fromTable="tbl_Transactions" fromColumn="Emp_ID" toTable="Master_Employee" toColumn="Emp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5" i="11" l="1"/>
  <c r="I5" i="11"/>
  <c r="H5" i="11"/>
  <c r="G5" i="11"/>
  <c r="F5" i="11"/>
  <c r="E5" i="11"/>
  <c r="D5" i="11"/>
  <c r="C5" i="11"/>
  <c r="P53" i="11"/>
  <c r="K53" i="11"/>
  <c r="J53" i="11"/>
  <c r="I53" i="11"/>
  <c r="H53" i="11"/>
  <c r="G53" i="11"/>
  <c r="F53" i="11"/>
  <c r="E53" i="11"/>
  <c r="D53" i="11"/>
  <c r="C53" i="11"/>
  <c r="B53" i="11"/>
  <c r="AK7" i="11"/>
  <c r="AJ7" i="11"/>
  <c r="AG6" i="11"/>
  <c r="L5" i="4"/>
  <c r="L8" i="4"/>
  <c r="F29" i="5" a="1"/>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170" i="5"/>
  <c r="K171" i="5"/>
  <c r="K172" i="5"/>
  <c r="K173" i="5"/>
  <c r="K174" i="5"/>
  <c r="K175" i="5"/>
  <c r="K176" i="5"/>
  <c r="K177" i="5"/>
  <c r="K178" i="5"/>
  <c r="K179" i="5"/>
  <c r="K180" i="5"/>
  <c r="K181" i="5"/>
  <c r="K182" i="5"/>
  <c r="K183" i="5"/>
  <c r="K184" i="5"/>
  <c r="K185" i="5"/>
  <c r="K186" i="5"/>
  <c r="K187" i="5"/>
  <c r="K188" i="5"/>
  <c r="K189" i="5"/>
  <c r="K190" i="5"/>
  <c r="K191" i="5"/>
  <c r="K192" i="5"/>
  <c r="K193" i="5"/>
  <c r="K194" i="5"/>
  <c r="K195" i="5"/>
  <c r="K196" i="5"/>
  <c r="K197" i="5"/>
  <c r="K198" i="5"/>
  <c r="K199" i="5"/>
  <c r="K200" i="5"/>
  <c r="K201" i="5"/>
  <c r="K202" i="5"/>
  <c r="AD6" i="5" a="1"/>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D5" i="4"/>
  <c r="AD6" i="4"/>
  <c r="AD7" i="4"/>
  <c r="AD8" i="4"/>
  <c r="AD9" i="4"/>
  <c r="AD10" i="4"/>
  <c r="AD11" i="4"/>
  <c r="AD12" i="4"/>
  <c r="AD13" i="4"/>
  <c r="AD14" i="4"/>
  <c r="AD15" i="4"/>
  <c r="AD16" i="4"/>
  <c r="AD17" i="4"/>
  <c r="AD18" i="4"/>
  <c r="AD19" i="4"/>
  <c r="AD20" i="4"/>
  <c r="AD21" i="4"/>
  <c r="AD22" i="4"/>
  <c r="AD23" i="4"/>
  <c r="AD24" i="4"/>
  <c r="AD29" i="4"/>
  <c r="AD30" i="4"/>
  <c r="I17" i="5"/>
  <c r="N17" i="5"/>
  <c r="S15" i="5"/>
  <c r="R17" i="5"/>
  <c r="I8" i="5"/>
  <c r="N8" i="5"/>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4" i="3"/>
  <c r="I5" i="3"/>
  <c r="I6" i="3"/>
  <c r="I7" i="3"/>
  <c r="I8" i="3"/>
  <c r="L6" i="4"/>
  <c r="L7" i="4"/>
  <c r="L9" i="4"/>
  <c r="L10" i="4"/>
  <c r="L11" i="4"/>
  <c r="L12" i="4"/>
  <c r="L13" i="4"/>
  <c r="L14" i="4"/>
  <c r="L15" i="4"/>
  <c r="L16" i="4"/>
  <c r="L17" i="4"/>
  <c r="L18" i="4"/>
  <c r="L19" i="4"/>
  <c r="L20" i="4"/>
  <c r="L21" i="4"/>
  <c r="L22" i="4"/>
  <c r="L23" i="4"/>
  <c r="L24" i="4"/>
  <c r="L25" i="4"/>
  <c r="L26" i="4"/>
  <c r="L27" i="4"/>
  <c r="L28" i="4"/>
  <c r="L29" i="4"/>
  <c r="L30" i="4"/>
  <c r="U5" i="4"/>
  <c r="U6" i="4"/>
  <c r="U7" i="4"/>
  <c r="U8" i="4"/>
  <c r="U9" i="4"/>
  <c r="U10" i="4"/>
  <c r="U11" i="4"/>
  <c r="U12" i="4"/>
  <c r="U13" i="4"/>
  <c r="U14" i="4"/>
  <c r="U15" i="4"/>
  <c r="U16" i="4"/>
  <c r="U17" i="4"/>
  <c r="U18" i="4"/>
  <c r="U19" i="4"/>
  <c r="U20" i="4"/>
  <c r="U21" i="4"/>
  <c r="U22" i="4"/>
  <c r="U23" i="4"/>
  <c r="U24" i="4"/>
  <c r="U25" i="4"/>
  <c r="U26" i="4"/>
  <c r="U27" i="4"/>
  <c r="U28" i="4"/>
  <c r="U29" i="4"/>
  <c r="U30"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F30" i="5" a="1"/>
  <c r="F31" i="5" a="1"/>
  <c r="F32" i="5" a="1"/>
  <c r="F33" i="5" a="1"/>
  <c r="F34" i="5" a="1"/>
  <c r="F35" i="5" a="1"/>
  <c r="F36" i="5" a="1"/>
  <c r="F37" i="5" a="1"/>
  <c r="F38" i="5" a="1"/>
  <c r="F39" i="5" a="1"/>
  <c r="F40" i="5" a="1"/>
  <c r="F41" i="5" a="1"/>
  <c r="F42" i="5" a="1"/>
  <c r="F43" i="5" a="1"/>
  <c r="F44" i="5" a="1"/>
  <c r="F45" i="5" a="1"/>
  <c r="F46" i="5" a="1"/>
  <c r="F47" i="5" a="1"/>
  <c r="F48" i="5" a="1"/>
  <c r="F49" i="5" a="1"/>
  <c r="F50" i="5" a="1"/>
  <c r="F51" i="5" a="1"/>
  <c r="F52" i="5" a="1"/>
  <c r="F53" i="5" a="1"/>
  <c r="F54" i="5" a="1"/>
  <c r="F55" i="5" a="1"/>
  <c r="F56" i="5" a="1"/>
  <c r="F57" i="5" a="1"/>
  <c r="F58" i="5" a="1"/>
  <c r="F59" i="5" a="1"/>
  <c r="F60" i="5" a="1"/>
  <c r="F61" i="5" a="1"/>
  <c r="F62" i="5" a="1"/>
  <c r="F63" i="5" a="1"/>
  <c r="F64" i="5" a="1"/>
  <c r="F65" i="5" a="1"/>
  <c r="F66" i="5" a="1"/>
  <c r="F67" i="5" a="1"/>
  <c r="F68" i="5" a="1"/>
  <c r="F69" i="5" a="1"/>
  <c r="F70" i="5" a="1"/>
  <c r="F71" i="5" a="1"/>
  <c r="F72" i="5" a="1"/>
  <c r="F73" i="5" a="1"/>
  <c r="F74" i="5" a="1"/>
  <c r="F75" i="5" a="1"/>
  <c r="F76" i="5" a="1"/>
  <c r="F77" i="5" a="1"/>
  <c r="F78" i="5" a="1"/>
  <c r="F79" i="5" a="1"/>
  <c r="F80" i="5" a="1"/>
  <c r="F81" i="5" a="1"/>
  <c r="F82" i="5" a="1"/>
  <c r="F83" i="5" a="1"/>
  <c r="F84" i="5" a="1"/>
  <c r="F85" i="5" a="1"/>
  <c r="F86" i="5" a="1"/>
  <c r="F87" i="5" a="1"/>
  <c r="F88" i="5" a="1"/>
  <c r="F89" i="5" a="1"/>
  <c r="F90" i="5" a="1"/>
  <c r="F91" i="5" a="1"/>
  <c r="F92" i="5" a="1"/>
  <c r="F93" i="5" a="1"/>
  <c r="F94" i="5" a="1"/>
  <c r="F95" i="5" a="1"/>
  <c r="F96" i="5" a="1"/>
  <c r="F97" i="5" a="1"/>
  <c r="F98" i="5" a="1"/>
  <c r="F99" i="5" a="1"/>
  <c r="F100" i="5" a="1"/>
  <c r="F101" i="5" a="1"/>
  <c r="F102" i="5" a="1"/>
  <c r="F103" i="5" a="1"/>
  <c r="F104" i="5" a="1"/>
  <c r="F105" i="5" a="1"/>
  <c r="F106" i="5" a="1"/>
  <c r="F107" i="5" a="1"/>
  <c r="F108" i="5" a="1"/>
  <c r="F109" i="5" a="1"/>
  <c r="F110" i="5" a="1"/>
  <c r="F111" i="5" a="1"/>
  <c r="F112" i="5" a="1"/>
  <c r="F113" i="5" a="1"/>
  <c r="F114" i="5" a="1"/>
  <c r="F115" i="5" a="1"/>
  <c r="F116" i="5" a="1"/>
  <c r="F117" i="5" a="1"/>
  <c r="F118" i="5" a="1"/>
  <c r="F119" i="5" a="1"/>
  <c r="F120" i="5" a="1"/>
  <c r="F121" i="5" a="1"/>
  <c r="F122" i="5" a="1"/>
  <c r="F123" i="5" a="1"/>
  <c r="F124" i="5" a="1"/>
  <c r="F125" i="5" a="1"/>
  <c r="F126" i="5" a="1"/>
  <c r="F127" i="5" a="1"/>
  <c r="F128" i="5" a="1"/>
  <c r="F129" i="5" a="1"/>
  <c r="F130" i="5" a="1"/>
  <c r="F131" i="5" a="1"/>
  <c r="F132" i="5" a="1"/>
  <c r="F133" i="5" a="1"/>
  <c r="F134" i="5" a="1"/>
  <c r="F135" i="5" a="1"/>
  <c r="F136" i="5" a="1"/>
  <c r="F137" i="5" a="1"/>
  <c r="F138" i="5" a="1"/>
  <c r="F139" i="5" a="1"/>
  <c r="F140" i="5" a="1"/>
  <c r="F141" i="5" a="1"/>
  <c r="F142" i="5" a="1"/>
  <c r="F143" i="5" a="1"/>
  <c r="F144" i="5" a="1"/>
  <c r="F145" i="5" a="1"/>
  <c r="F146" i="5" a="1"/>
  <c r="F147" i="5" a="1"/>
  <c r="F148" i="5" a="1"/>
  <c r="F149" i="5" a="1"/>
  <c r="F150" i="5" a="1"/>
  <c r="F151" i="5" a="1"/>
  <c r="F152" i="5" a="1"/>
  <c r="F153" i="5" a="1"/>
  <c r="F154" i="5" a="1"/>
  <c r="F155" i="5" a="1"/>
  <c r="F156" i="5" a="1"/>
  <c r="F157" i="5" a="1"/>
  <c r="F158" i="5" a="1"/>
  <c r="F159" i="5" a="1"/>
  <c r="F160" i="5" a="1"/>
  <c r="F161" i="5" a="1"/>
  <c r="F162" i="5" a="1"/>
  <c r="F163" i="5" a="1"/>
  <c r="F164" i="5" a="1"/>
  <c r="F165" i="5" a="1"/>
  <c r="F166" i="5" a="1"/>
  <c r="F167" i="5" a="1"/>
  <c r="F168" i="5" a="1"/>
  <c r="F169" i="5" a="1"/>
  <c r="F170" i="5" a="1"/>
  <c r="F171" i="5" a="1"/>
  <c r="F172" i="5" a="1"/>
  <c r="F173" i="5" a="1"/>
  <c r="F174" i="5" a="1"/>
  <c r="F175" i="5" a="1"/>
  <c r="F176" i="5" a="1"/>
  <c r="F177" i="5" a="1"/>
  <c r="F178" i="5" a="1"/>
  <c r="F179" i="5" a="1"/>
  <c r="F180" i="5" a="1"/>
  <c r="F181" i="5" a="1"/>
  <c r="F182" i="5" a="1"/>
  <c r="F183" i="5" a="1"/>
  <c r="F184" i="5" a="1"/>
  <c r="F185" i="5" a="1"/>
  <c r="F186" i="5" a="1"/>
  <c r="F187" i="5" a="1"/>
  <c r="F188" i="5" a="1"/>
  <c r="F189" i="5" a="1"/>
  <c r="F190" i="5" a="1"/>
  <c r="F191" i="5" a="1"/>
  <c r="F192" i="5" a="1"/>
  <c r="F193" i="5" a="1"/>
  <c r="F194" i="5" a="1"/>
  <c r="F195" i="5" a="1"/>
  <c r="F196" i="5" a="1"/>
  <c r="F197" i="5" a="1"/>
  <c r="F198" i="5" a="1"/>
  <c r="F199" i="5" a="1"/>
  <c r="F200" i="5" a="1"/>
  <c r="F201" i="5" a="1"/>
  <c r="F202" i="5" a="1"/>
  <c r="U17" i="10"/>
  <c r="U18" i="10"/>
  <c r="U19" i="10"/>
  <c r="U20" i="10"/>
  <c r="U21" i="10"/>
  <c r="U22" i="10"/>
  <c r="U23" i="10"/>
  <c r="U24" i="10"/>
  <c r="U25" i="10"/>
  <c r="U26" i="10"/>
  <c r="U27" i="10"/>
  <c r="U28" i="10"/>
  <c r="V17" i="10"/>
  <c r="V18" i="10"/>
  <c r="V19" i="10"/>
  <c r="V20" i="10"/>
  <c r="V21" i="10"/>
  <c r="V22" i="10"/>
  <c r="V23" i="10"/>
  <c r="V24" i="10"/>
  <c r="V25" i="10"/>
  <c r="V26" i="10"/>
  <c r="V27" i="10"/>
  <c r="V28" i="10"/>
  <c r="U5" i="10"/>
  <c r="V5" i="10" s="1"/>
  <c r="U6" i="10"/>
  <c r="V6" i="10" s="1"/>
  <c r="U7" i="10"/>
  <c r="V7" i="10" s="1"/>
  <c r="U8" i="10"/>
  <c r="V8" i="10" s="1"/>
  <c r="U9" i="10"/>
  <c r="V9" i="10" s="1"/>
  <c r="U10" i="10"/>
  <c r="V10" i="10" s="1"/>
  <c r="U11" i="10"/>
  <c r="V11" i="10" s="1"/>
  <c r="U12" i="10"/>
  <c r="V12" i="10" s="1"/>
  <c r="U13" i="10"/>
  <c r="V13" i="10" s="1"/>
  <c r="U14" i="10"/>
  <c r="V14" i="10" s="1"/>
  <c r="U15" i="10"/>
  <c r="V15" i="10" s="1"/>
  <c r="U16" i="10"/>
  <c r="V16" i="10" s="1"/>
  <c r="J4" i="6"/>
  <c r="P7" i="6" s="1"/>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J138" i="6"/>
  <c r="J139" i="6"/>
  <c r="J140" i="6"/>
  <c r="J141" i="6"/>
  <c r="J142" i="6"/>
  <c r="J143" i="6"/>
  <c r="J144" i="6"/>
  <c r="J145" i="6"/>
  <c r="J146" i="6"/>
  <c r="J147" i="6"/>
  <c r="J148" i="6"/>
  <c r="J149" i="6"/>
  <c r="J150" i="6"/>
  <c r="J151" i="6"/>
  <c r="J152" i="6"/>
  <c r="J153" i="6"/>
  <c r="J154" i="6"/>
  <c r="J155" i="6"/>
  <c r="J156" i="6"/>
  <c r="J157" i="6"/>
  <c r="J158" i="6"/>
  <c r="J159" i="6"/>
  <c r="J160" i="6"/>
  <c r="J161" i="6"/>
  <c r="J162" i="6"/>
  <c r="J163" i="6"/>
  <c r="J164" i="6"/>
  <c r="J165" i="6"/>
  <c r="J166" i="6"/>
  <c r="J167" i="6"/>
  <c r="J168" i="6"/>
  <c r="J169" i="6"/>
  <c r="J170" i="6"/>
  <c r="J171" i="6"/>
  <c r="J172" i="6"/>
  <c r="J173" i="6"/>
  <c r="J174" i="6"/>
  <c r="J175" i="6"/>
  <c r="J176" i="6"/>
  <c r="J177" i="6"/>
  <c r="J178" i="6"/>
  <c r="J179" i="6"/>
  <c r="J180" i="6"/>
  <c r="J181" i="6"/>
  <c r="J182" i="6"/>
  <c r="J183" i="6"/>
  <c r="J184" i="6"/>
  <c r="J185" i="6"/>
  <c r="J186" i="6"/>
  <c r="J187" i="6"/>
  <c r="J188" i="6"/>
  <c r="J189" i="6"/>
  <c r="J190" i="6"/>
  <c r="J191" i="6"/>
  <c r="J192" i="6"/>
  <c r="J193" i="6"/>
  <c r="J194" i="6"/>
  <c r="J195" i="6"/>
  <c r="J196" i="6"/>
  <c r="J197" i="6"/>
  <c r="J198" i="6"/>
  <c r="J199" i="6"/>
  <c r="J200" i="6"/>
  <c r="J201" i="6"/>
  <c r="J202" i="6"/>
  <c r="J203" i="6"/>
  <c r="J204" i="6"/>
  <c r="J205" i="6"/>
  <c r="J206" i="6"/>
  <c r="J207" i="6"/>
  <c r="J208" i="6"/>
  <c r="J209" i="6"/>
  <c r="J210" i="6"/>
  <c r="J211" i="6"/>
  <c r="J212" i="6"/>
  <c r="J213" i="6"/>
  <c r="J214" i="6"/>
  <c r="J215" i="6"/>
  <c r="J216" i="6"/>
  <c r="J217" i="6"/>
  <c r="J218" i="6"/>
  <c r="J219" i="6"/>
  <c r="J220" i="6"/>
  <c r="J221" i="6"/>
  <c r="J222" i="6"/>
  <c r="J223" i="6"/>
  <c r="J224" i="6"/>
  <c r="J225" i="6"/>
  <c r="J226" i="6"/>
  <c r="J227" i="6"/>
  <c r="J228" i="6"/>
  <c r="J229" i="6"/>
  <c r="J230" i="6"/>
  <c r="J231" i="6"/>
  <c r="J232" i="6"/>
  <c r="J233" i="6"/>
  <c r="J234" i="6"/>
  <c r="J235" i="6"/>
  <c r="J236" i="6"/>
  <c r="J237" i="6"/>
  <c r="J238" i="6"/>
  <c r="J239" i="6"/>
  <c r="J240" i="6"/>
  <c r="J241" i="6"/>
  <c r="J242" i="6"/>
  <c r="J243" i="6"/>
  <c r="J244" i="6"/>
  <c r="J245" i="6"/>
  <c r="J246" i="6"/>
  <c r="J247" i="6"/>
  <c r="J248" i="6"/>
  <c r="J249" i="6"/>
  <c r="J250" i="6"/>
  <c r="J251" i="6"/>
  <c r="J252" i="6"/>
  <c r="J253" i="6"/>
  <c r="J254" i="6"/>
  <c r="J255" i="6"/>
  <c r="J256" i="6"/>
  <c r="J257" i="6"/>
  <c r="J258" i="6"/>
  <c r="J259" i="6"/>
  <c r="J260" i="6"/>
  <c r="J261" i="6"/>
  <c r="J262" i="6"/>
  <c r="J263" i="6"/>
  <c r="J264" i="6"/>
  <c r="J265" i="6"/>
  <c r="J266" i="6"/>
  <c r="J267" i="6"/>
  <c r="J268" i="6"/>
  <c r="J269" i="6"/>
  <c r="J270" i="6"/>
  <c r="J271" i="6"/>
  <c r="J272" i="6"/>
  <c r="J273" i="6"/>
  <c r="J274" i="6"/>
  <c r="J275" i="6"/>
  <c r="J276" i="6"/>
  <c r="J277" i="6"/>
  <c r="J278" i="6"/>
  <c r="J279" i="6"/>
  <c r="J280" i="6"/>
  <c r="J281" i="6"/>
  <c r="J282" i="6"/>
  <c r="J283" i="6"/>
  <c r="J284" i="6"/>
  <c r="J285" i="6"/>
  <c r="J286" i="6"/>
  <c r="J287" i="6"/>
  <c r="J288" i="6"/>
  <c r="J289" i="6"/>
  <c r="J290" i="6"/>
  <c r="J291" i="6"/>
  <c r="J292" i="6"/>
  <c r="J293" i="6"/>
  <c r="J294" i="6"/>
  <c r="J295" i="6"/>
  <c r="J296" i="6"/>
  <c r="J297" i="6"/>
  <c r="J298" i="6"/>
  <c r="J299" i="6"/>
  <c r="J300" i="6"/>
  <c r="J301" i="6"/>
  <c r="J302" i="6"/>
  <c r="J303" i="6"/>
  <c r="J304" i="6"/>
  <c r="J305" i="6"/>
  <c r="J306" i="6"/>
  <c r="N6" i="5"/>
  <c r="N9" i="5"/>
  <c r="N10" i="5"/>
  <c r="N11" i="5"/>
  <c r="N12" i="5"/>
  <c r="N13" i="5"/>
  <c r="N14" i="5"/>
  <c r="N15" i="5"/>
  <c r="N16"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7" i="5"/>
  <c r="I6" i="5"/>
  <c r="I7" i="5"/>
  <c r="I9" i="5"/>
  <c r="I10" i="5"/>
  <c r="I11" i="5"/>
  <c r="I12" i="5"/>
  <c r="I13" i="5"/>
  <c r="I14" i="5"/>
  <c r="I15" i="5"/>
  <c r="I16"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F3" i="5"/>
  <c r="S5" i="4"/>
  <c r="S6" i="4"/>
  <c r="S7" i="4"/>
  <c r="S8" i="4"/>
  <c r="S9" i="4"/>
  <c r="S10" i="4"/>
  <c r="S11" i="4"/>
  <c r="S12" i="4"/>
  <c r="S13" i="4"/>
  <c r="S14" i="4"/>
  <c r="S15" i="4"/>
  <c r="S16" i="4"/>
  <c r="S17" i="4"/>
  <c r="S18" i="4"/>
  <c r="S19" i="4"/>
  <c r="S20" i="4"/>
  <c r="S21" i="4"/>
  <c r="S22" i="4"/>
  <c r="S23" i="4"/>
  <c r="S24" i="4"/>
  <c r="S25" i="4"/>
  <c r="S26" i="4"/>
  <c r="S27" i="4"/>
  <c r="S28" i="4"/>
  <c r="S29" i="4"/>
  <c r="S30" i="4"/>
  <c r="H10" i="10"/>
  <c r="H11" i="10"/>
  <c r="H12" i="10"/>
  <c r="C30" i="4"/>
  <c r="E30" i="4" s="1"/>
  <c r="C29" i="4"/>
  <c r="E29" i="4" s="1"/>
  <c r="C28" i="4"/>
  <c r="E28" i="4" s="1"/>
  <c r="C27" i="4"/>
  <c r="E27" i="4" s="1"/>
  <c r="C26" i="4"/>
  <c r="E26" i="4" s="1"/>
  <c r="C25" i="4"/>
  <c r="E25" i="4" s="1"/>
  <c r="C24" i="4"/>
  <c r="E24" i="4" s="1"/>
  <c r="C23" i="4"/>
  <c r="E23" i="4" s="1"/>
  <c r="C22" i="4"/>
  <c r="E22" i="4" s="1"/>
  <c r="C21" i="4"/>
  <c r="E21" i="4" s="1"/>
  <c r="C20" i="4"/>
  <c r="E20" i="4" s="1"/>
  <c r="C19" i="4"/>
  <c r="E19" i="4" s="1"/>
  <c r="C18" i="4"/>
  <c r="E18" i="4" s="1"/>
  <c r="C17" i="4"/>
  <c r="E17" i="4" s="1"/>
  <c r="C16" i="4"/>
  <c r="E16" i="4" s="1"/>
  <c r="C15" i="4"/>
  <c r="E15" i="4" s="1"/>
  <c r="C14" i="4"/>
  <c r="E14" i="4" s="1"/>
  <c r="C13" i="4"/>
  <c r="E13" i="4" s="1"/>
  <c r="C12" i="4"/>
  <c r="E12" i="4" s="1"/>
  <c r="C11" i="4"/>
  <c r="E11" i="4" s="1"/>
  <c r="C10" i="4"/>
  <c r="E10" i="4" s="1"/>
  <c r="C9" i="4"/>
  <c r="E9" i="4" s="1"/>
  <c r="C8" i="4"/>
  <c r="E8" i="4" s="1"/>
  <c r="C7" i="4"/>
  <c r="E7" i="4" s="1"/>
  <c r="C6" i="4"/>
  <c r="E6" i="4" s="1"/>
  <c r="C5" i="4"/>
  <c r="E5" i="4" s="1"/>
  <c r="CK2" i="10"/>
  <c r="CE2" i="10"/>
  <c r="BX2" i="10"/>
  <c r="BQ2" i="10"/>
  <c r="BJ2" i="10"/>
  <c r="BC2" i="10"/>
  <c r="AV2" i="10"/>
  <c r="Q8" i="5" a="1"/>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8"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A7" i="6"/>
  <c r="AC15" i="4"/>
  <c r="AC20" i="4"/>
  <c r="AC23" i="4"/>
  <c r="AC26" i="4"/>
  <c r="AD26" i="4" s="1"/>
  <c r="AC29" i="4"/>
  <c r="AC17" i="4"/>
  <c r="AC18" i="4"/>
  <c r="AC21" i="4"/>
  <c r="AC24" i="4"/>
  <c r="AC27" i="4"/>
  <c r="AD27" i="4" s="1"/>
  <c r="AC30" i="4"/>
  <c r="AC16" i="4"/>
  <c r="AC19" i="4"/>
  <c r="AC22" i="4"/>
  <c r="AC25" i="4"/>
  <c r="AD25" i="4" s="1"/>
  <c r="AC28" i="4"/>
  <c r="AD28" i="4" s="1"/>
  <c r="AC7" i="4"/>
  <c r="AC10" i="4"/>
  <c r="AC6" i="4"/>
  <c r="AC9" i="4"/>
  <c r="S8" i="5" a="1"/>
  <c r="CL13" i="10"/>
  <c r="CL4" i="10"/>
  <c r="CL6" i="10"/>
  <c r="CL7" i="10"/>
  <c r="CL8" i="10"/>
  <c r="CL10" i="10"/>
  <c r="CL12" i="10"/>
  <c r="CL16" i="10"/>
  <c r="CL14" i="10"/>
  <c r="CL5" i="10"/>
  <c r="CL9" i="10"/>
  <c r="CL11" i="10"/>
  <c r="CL15" i="10"/>
  <c r="CF4" i="10"/>
  <c r="CF8" i="10"/>
  <c r="CF12" i="10"/>
  <c r="CF14" i="10"/>
  <c r="CF6" i="10"/>
  <c r="CF9" i="10"/>
  <c r="CF13" i="10"/>
  <c r="CF15" i="10"/>
  <c r="CF7" i="10"/>
  <c r="CF10" i="10"/>
  <c r="CF11" i="10"/>
  <c r="CF5" i="10"/>
  <c r="BY5" i="10"/>
  <c r="BY9" i="10"/>
  <c r="BY11" i="10"/>
  <c r="BY14" i="10"/>
  <c r="BY7" i="10"/>
  <c r="BY10" i="10"/>
  <c r="BY13" i="10"/>
  <c r="BY6" i="10"/>
  <c r="BY8" i="10"/>
  <c r="BY12" i="10"/>
  <c r="BY15" i="10"/>
  <c r="BY4" i="10"/>
  <c r="BR6" i="10"/>
  <c r="BR8" i="10"/>
  <c r="BR9" i="10"/>
  <c r="BR11" i="10"/>
  <c r="BR14" i="10"/>
  <c r="BR4" i="10"/>
  <c r="BR5" i="10"/>
  <c r="BR7" i="10"/>
  <c r="BR10" i="10"/>
  <c r="BR12" i="10"/>
  <c r="BR13" i="10"/>
  <c r="BR15" i="10"/>
  <c r="BK5" i="10"/>
  <c r="BK8" i="10"/>
  <c r="BK11" i="10"/>
  <c r="BK6" i="10"/>
  <c r="BK14" i="10"/>
  <c r="BK13" i="10"/>
  <c r="BK7" i="10"/>
  <c r="BK9" i="10"/>
  <c r="BK10" i="10"/>
  <c r="BK12" i="10"/>
  <c r="BK15" i="10"/>
  <c r="BK4" i="10"/>
  <c r="BD7" i="10"/>
  <c r="BD63" i="10"/>
  <c r="BD76" i="10"/>
  <c r="BD81" i="10"/>
  <c r="BD84" i="10"/>
  <c r="BD89" i="10"/>
  <c r="BD95" i="10"/>
  <c r="BD99" i="10"/>
  <c r="BD103" i="10"/>
  <c r="BD107" i="10"/>
  <c r="BD115" i="10"/>
  <c r="BD119" i="10"/>
  <c r="BD123" i="10"/>
  <c r="BD131" i="10"/>
  <c r="BD133" i="10"/>
  <c r="BD24" i="10"/>
  <c r="BD61" i="10"/>
  <c r="BD67" i="10"/>
  <c r="BD72" i="10"/>
  <c r="BD74" i="10"/>
  <c r="BD78" i="10"/>
  <c r="BD82" i="10"/>
  <c r="BD86" i="10"/>
  <c r="BD90" i="10"/>
  <c r="BD100" i="10"/>
  <c r="BD105" i="10"/>
  <c r="BD112" i="10"/>
  <c r="BD116" i="10"/>
  <c r="BD120" i="10"/>
  <c r="BD124" i="10"/>
  <c r="BD128" i="10"/>
  <c r="BD134" i="10"/>
  <c r="BD5" i="10"/>
  <c r="BD11" i="10"/>
  <c r="BD14" i="10"/>
  <c r="BD18" i="10"/>
  <c r="BD22" i="10"/>
  <c r="BD29" i="10"/>
  <c r="BD33" i="10"/>
  <c r="BD36" i="10"/>
  <c r="BD41" i="10"/>
  <c r="BD45" i="10"/>
  <c r="BD49" i="10"/>
  <c r="BD52" i="10"/>
  <c r="BD55" i="10"/>
  <c r="BD58" i="10"/>
  <c r="BD62" i="10"/>
  <c r="BD68" i="10"/>
  <c r="BD71" i="10"/>
  <c r="BD75" i="10"/>
  <c r="BD77" i="10"/>
  <c r="BD80" i="10"/>
  <c r="BD85" i="10"/>
  <c r="BD88" i="10"/>
  <c r="BD91" i="10"/>
  <c r="BD94" i="10"/>
  <c r="BD98" i="10"/>
  <c r="BD102" i="10"/>
  <c r="BD106" i="10"/>
  <c r="BD109" i="10"/>
  <c r="BD113" i="10"/>
  <c r="BD117" i="10"/>
  <c r="BD127" i="10"/>
  <c r="BD129" i="10"/>
  <c r="BD132" i="10"/>
  <c r="BD138" i="10"/>
  <c r="BD8" i="10"/>
  <c r="BD26" i="10"/>
  <c r="BD34" i="10"/>
  <c r="BD37" i="10"/>
  <c r="BD42" i="10"/>
  <c r="BD48" i="10"/>
  <c r="BD53" i="10"/>
  <c r="BD64" i="10"/>
  <c r="BD70" i="10"/>
  <c r="BD79" i="10"/>
  <c r="BD83" i="10"/>
  <c r="BD87" i="10"/>
  <c r="BD93" i="10"/>
  <c r="BD97" i="10"/>
  <c r="BD101" i="10"/>
  <c r="BD108" i="10"/>
  <c r="BD111" i="10"/>
  <c r="BD121" i="10"/>
  <c r="BD125" i="10"/>
  <c r="BD135" i="10"/>
  <c r="BD4" i="10"/>
  <c r="BD12" i="10"/>
  <c r="BD16" i="10"/>
  <c r="BD19" i="10"/>
  <c r="BD21" i="10"/>
  <c r="BD28" i="10"/>
  <c r="BD31" i="10"/>
  <c r="BD39" i="10"/>
  <c r="BD43" i="10"/>
  <c r="BD46" i="10"/>
  <c r="BD50" i="10"/>
  <c r="BD56" i="10"/>
  <c r="BD59" i="10"/>
  <c r="BD66" i="10"/>
  <c r="BD69" i="10"/>
  <c r="BD92" i="10"/>
  <c r="BD96" i="10"/>
  <c r="BD104" i="10"/>
  <c r="BD110" i="10"/>
  <c r="BD114" i="10"/>
  <c r="BD118" i="10"/>
  <c r="BD122" i="10"/>
  <c r="BD126" i="10"/>
  <c r="BD137" i="10"/>
  <c r="BD6" i="10"/>
  <c r="BD9" i="10"/>
  <c r="BD10" i="10"/>
  <c r="BD13" i="10"/>
  <c r="BD15" i="10"/>
  <c r="BD17" i="10"/>
  <c r="BD20" i="10"/>
  <c r="BD23" i="10"/>
  <c r="BD25" i="10"/>
  <c r="BD27" i="10"/>
  <c r="BD30" i="10"/>
  <c r="BD32" i="10"/>
  <c r="BD35" i="10"/>
  <c r="BD38" i="10"/>
  <c r="BD40" i="10"/>
  <c r="BD44" i="10"/>
  <c r="BD47" i="10"/>
  <c r="BD51" i="10"/>
  <c r="BD54" i="10"/>
  <c r="BD57" i="10"/>
  <c r="BD60" i="10"/>
  <c r="BD65" i="10"/>
  <c r="BD73" i="10"/>
  <c r="BD130" i="10"/>
  <c r="BD136" i="10"/>
  <c r="AW144" i="10"/>
  <c r="AW149" i="10"/>
  <c r="AW153" i="10"/>
  <c r="AW4" i="10"/>
  <c r="AW11" i="10"/>
  <c r="AW15" i="10"/>
  <c r="AW19" i="10"/>
  <c r="AW23" i="10"/>
  <c r="AW26" i="10"/>
  <c r="AW30" i="10"/>
  <c r="AW36" i="10"/>
  <c r="AW42" i="10"/>
  <c r="AW46" i="10"/>
  <c r="AW51" i="10"/>
  <c r="AW55" i="10"/>
  <c r="AW60" i="10"/>
  <c r="AW64" i="10"/>
  <c r="AW71" i="10"/>
  <c r="AW73" i="10"/>
  <c r="AW78" i="10"/>
  <c r="AW84" i="10"/>
  <c r="AW88" i="10"/>
  <c r="AW96" i="10"/>
  <c r="AW101" i="10"/>
  <c r="AW108" i="10"/>
  <c r="AW111" i="10"/>
  <c r="AW115" i="10"/>
  <c r="AW122" i="10"/>
  <c r="AW126" i="10"/>
  <c r="AW131" i="10"/>
  <c r="AW135" i="10"/>
  <c r="AW143" i="10"/>
  <c r="AW148" i="10"/>
  <c r="AW6" i="10"/>
  <c r="AW14" i="10"/>
  <c r="AW20" i="10"/>
  <c r="AW25" i="10"/>
  <c r="AW32" i="10"/>
  <c r="AW37" i="10"/>
  <c r="AW45" i="10"/>
  <c r="AW49" i="10"/>
  <c r="AW54" i="10"/>
  <c r="AW58" i="10"/>
  <c r="AW62" i="10"/>
  <c r="AW67" i="10"/>
  <c r="AW72" i="10"/>
  <c r="AW75" i="10"/>
  <c r="AW79" i="10"/>
  <c r="AW83" i="10"/>
  <c r="AW89" i="10"/>
  <c r="AW93" i="10"/>
  <c r="AW95" i="10"/>
  <c r="AW98" i="10"/>
  <c r="AW103" i="10"/>
  <c r="AW107" i="10"/>
  <c r="AW113" i="10"/>
  <c r="AW117" i="10"/>
  <c r="AW120" i="10"/>
  <c r="AW123" i="10"/>
  <c r="AW128" i="10"/>
  <c r="AW132" i="10"/>
  <c r="AW139" i="10"/>
  <c r="AW146" i="10"/>
  <c r="AW152" i="10"/>
  <c r="AW8" i="10"/>
  <c r="AW9" i="10"/>
  <c r="AW12" i="10"/>
  <c r="AW16" i="10"/>
  <c r="AW22" i="10"/>
  <c r="AW28" i="10"/>
  <c r="AW33" i="10"/>
  <c r="AW38" i="10"/>
  <c r="AW44" i="10"/>
  <c r="AW50" i="10"/>
  <c r="AW56" i="10"/>
  <c r="AW61" i="10"/>
  <c r="AW65" i="10"/>
  <c r="AW70" i="10"/>
  <c r="AW77" i="10"/>
  <c r="AW81" i="10"/>
  <c r="AW85" i="10"/>
  <c r="AW90" i="10"/>
  <c r="AW94" i="10"/>
  <c r="AW100" i="10"/>
  <c r="AW104" i="10"/>
  <c r="AW109" i="10"/>
  <c r="AW112" i="10"/>
  <c r="AW116" i="10"/>
  <c r="AW121" i="10"/>
  <c r="AW127" i="10"/>
  <c r="AW133" i="10"/>
  <c r="AW137" i="10"/>
  <c r="AW142" i="10"/>
  <c r="AW141" i="10"/>
  <c r="AW147" i="10"/>
  <c r="AW151" i="10"/>
  <c r="AW5" i="10"/>
  <c r="AW13" i="10"/>
  <c r="AW18" i="10"/>
  <c r="AW27" i="10"/>
  <c r="AW31" i="10"/>
  <c r="AW35" i="10"/>
  <c r="AW40" i="10"/>
  <c r="AW41" i="10"/>
  <c r="AW47" i="10"/>
  <c r="AW53" i="10"/>
  <c r="AW59" i="10"/>
  <c r="AW68" i="10"/>
  <c r="AW76" i="10"/>
  <c r="AW82" i="10"/>
  <c r="AW86" i="10"/>
  <c r="AW91" i="10"/>
  <c r="AW97" i="10"/>
  <c r="AW105" i="10"/>
  <c r="AW110" i="10"/>
  <c r="AW119" i="10"/>
  <c r="AW125" i="10"/>
  <c r="AW130" i="10"/>
  <c r="AW136" i="10"/>
  <c r="AW140" i="10"/>
  <c r="AW145" i="10"/>
  <c r="AW150" i="10"/>
  <c r="AW7" i="10"/>
  <c r="AW10" i="10"/>
  <c r="AW17" i="10"/>
  <c r="AW21" i="10"/>
  <c r="AW24" i="10"/>
  <c r="AW29" i="10"/>
  <c r="AW34" i="10"/>
  <c r="AW39" i="10"/>
  <c r="AW43" i="10"/>
  <c r="AW48" i="10"/>
  <c r="AW52" i="10"/>
  <c r="AW57" i="10"/>
  <c r="AW63" i="10"/>
  <c r="AW66" i="10"/>
  <c r="AW69" i="10"/>
  <c r="AW74" i="10"/>
  <c r="AW80" i="10"/>
  <c r="AW87" i="10"/>
  <c r="AW92" i="10"/>
  <c r="AW99" i="10"/>
  <c r="AW102" i="10"/>
  <c r="AW106" i="10"/>
  <c r="AW114" i="10"/>
  <c r="AW118" i="10"/>
  <c r="AW124" i="10"/>
  <c r="AW129" i="10"/>
  <c r="AW134" i="10"/>
  <c r="AW138" i="10"/>
  <c r="AC12" i="4" l="1"/>
  <c r="AC11" i="4"/>
  <c r="AC8" i="4"/>
  <c r="AC14" i="4"/>
  <c r="AC5" i="4"/>
  <c r="AC13" i="4"/>
  <c r="AE6" i="4"/>
  <c r="AE7" i="4"/>
  <c r="AE8" i="4"/>
  <c r="AE9" i="4"/>
  <c r="AE10" i="4"/>
  <c r="AE11" i="4"/>
  <c r="AE12" i="4"/>
  <c r="AE13" i="4"/>
  <c r="AE14" i="4"/>
  <c r="AE15" i="4"/>
  <c r="AE16" i="4"/>
  <c r="AE17" i="4"/>
  <c r="AE18" i="4"/>
  <c r="AE19" i="4"/>
  <c r="AE21" i="4"/>
  <c r="AE22" i="4"/>
  <c r="AE23" i="4"/>
  <c r="AE24" i="4"/>
  <c r="AE25" i="4"/>
  <c r="AE27" i="4"/>
  <c r="AE30" i="4"/>
  <c r="AE28" i="4"/>
  <c r="AE20" i="4"/>
  <c r="AE26" i="4"/>
  <c r="AE29" i="4"/>
  <c r="AE5" i="4"/>
  <c r="AK4" i="10" a="1"/>
  <c r="B10" i="4" l="1"/>
  <c r="I10" i="4" s="1"/>
  <c r="B17" i="4"/>
  <c r="I17" i="4" s="1"/>
  <c r="B23" i="4"/>
  <c r="I23" i="4" s="1"/>
  <c r="B9" i="4"/>
  <c r="I9" i="4" s="1"/>
  <c r="B12" i="4"/>
  <c r="I12" i="4" s="1"/>
  <c r="B18" i="4"/>
  <c r="I18" i="4" s="1"/>
  <c r="B26" i="4"/>
  <c r="I26" i="4" s="1"/>
  <c r="B5" i="4"/>
  <c r="B13" i="4"/>
  <c r="I13" i="4" s="1"/>
  <c r="B19" i="4"/>
  <c r="I19" i="4" s="1"/>
  <c r="B24" i="4"/>
  <c r="I24" i="4" s="1"/>
  <c r="B8" i="4"/>
  <c r="I8" i="4" s="1"/>
  <c r="B16" i="4"/>
  <c r="I16" i="4" s="1"/>
  <c r="B20" i="4"/>
  <c r="I20" i="4" s="1"/>
  <c r="B25" i="4"/>
  <c r="I25" i="4" s="1"/>
  <c r="B29" i="4"/>
  <c r="I29" i="4" s="1"/>
  <c r="B6" i="4"/>
  <c r="I6" i="4" s="1"/>
  <c r="B28" i="4"/>
  <c r="I28" i="4" s="1"/>
  <c r="B7" i="4"/>
  <c r="I7" i="4" s="1"/>
  <c r="B14" i="4"/>
  <c r="I14" i="4" s="1"/>
  <c r="B21" i="4"/>
  <c r="I21" i="4" s="1"/>
  <c r="B27" i="4"/>
  <c r="I27" i="4" s="1"/>
  <c r="B11" i="4"/>
  <c r="I11" i="4" s="1"/>
  <c r="B15" i="4"/>
  <c r="I15" i="4" s="1"/>
  <c r="B22" i="4"/>
  <c r="I22" i="4" s="1"/>
  <c r="B30" i="4"/>
  <c r="I30" i="4" s="1"/>
  <c r="G17" i="10"/>
  <c r="F27" i="5" l="1" a="1"/>
  <c r="F23" i="5" a="1"/>
  <c r="F28" i="5" a="1"/>
  <c r="F21" i="5" a="1"/>
  <c r="F26" i="5" a="1"/>
  <c r="F22" i="5" a="1"/>
  <c r="F24" i="5" a="1"/>
  <c r="F25" i="5" a="1"/>
  <c r="D8" i="5"/>
  <c r="F20" i="5" a="1"/>
  <c r="F11" i="5" a="1"/>
  <c r="O8" i="5"/>
  <c r="P17" i="5"/>
  <c r="F12" i="5" a="1"/>
  <c r="P8" i="5"/>
  <c r="O17" i="5"/>
  <c r="F16" i="5" a="1"/>
  <c r="F9" i="5" a="1"/>
  <c r="F8" i="5" a="1"/>
  <c r="F13" i="5" a="1"/>
  <c r="D17" i="5"/>
  <c r="F14" i="5" a="1"/>
  <c r="E17" i="5"/>
  <c r="F18" i="5" a="1"/>
  <c r="F10" i="5" a="1"/>
  <c r="F17" i="5" a="1"/>
  <c r="F19" i="5" a="1"/>
  <c r="F15" i="5" a="1"/>
  <c r="G6" i="4"/>
  <c r="G10" i="4"/>
  <c r="G13" i="4"/>
  <c r="G17" i="4"/>
  <c r="G20" i="4"/>
  <c r="G22" i="4"/>
  <c r="G27" i="4"/>
  <c r="G30" i="4"/>
  <c r="G7" i="4"/>
  <c r="G8" i="4"/>
  <c r="G12" i="4"/>
  <c r="G15" i="4"/>
  <c r="G18" i="4"/>
  <c r="G21" i="4"/>
  <c r="G24" i="4"/>
  <c r="G26" i="4"/>
  <c r="G29" i="4"/>
  <c r="G5" i="4"/>
  <c r="G9" i="4"/>
  <c r="G11" i="4"/>
  <c r="G14" i="4"/>
  <c r="G16" i="4"/>
  <c r="G19" i="4"/>
  <c r="G23" i="4"/>
  <c r="G25" i="4"/>
  <c r="G28" i="4"/>
  <c r="G6" i="10"/>
  <c r="G10" i="10"/>
  <c r="G12" i="10"/>
  <c r="G13" i="10"/>
  <c r="G15" i="10"/>
  <c r="G18" i="10"/>
  <c r="G20" i="10"/>
  <c r="G22" i="10"/>
  <c r="G24" i="10"/>
  <c r="G7" i="10"/>
  <c r="G8" i="10"/>
  <c r="G11" i="10"/>
  <c r="G14" i="10"/>
  <c r="G16" i="10"/>
  <c r="G19" i="10"/>
  <c r="G21" i="10"/>
  <c r="G23" i="10"/>
  <c r="G25" i="10"/>
  <c r="O7" i="6" a="1"/>
  <c r="D7" i="5"/>
  <c r="E6" i="6"/>
  <c r="F6" i="5" a="1"/>
  <c r="D6" i="5"/>
  <c r="X8" i="5" a="1"/>
  <c r="G5" i="10"/>
  <c r="P7" i="5"/>
  <c r="O6" i="5"/>
  <c r="P33" i="5"/>
  <c r="P34" i="5"/>
  <c r="P35" i="5"/>
  <c r="P36" i="5"/>
  <c r="P37" i="5"/>
  <c r="P38" i="5"/>
  <c r="P39" i="5"/>
  <c r="P40" i="5"/>
  <c r="P41" i="5"/>
  <c r="P42" i="5"/>
  <c r="P43" i="5"/>
  <c r="P44" i="5"/>
  <c r="P45" i="5"/>
  <c r="P47" i="5"/>
  <c r="P48" i="5"/>
  <c r="P49" i="5"/>
  <c r="P50" i="5"/>
  <c r="P51" i="5"/>
  <c r="P52" i="5"/>
  <c r="P53" i="5"/>
  <c r="P54" i="5"/>
  <c r="P55" i="5"/>
  <c r="P56" i="5"/>
  <c r="P57" i="5"/>
  <c r="P58" i="5"/>
  <c r="P59" i="5"/>
  <c r="P60" i="5"/>
  <c r="P61" i="5"/>
  <c r="P62" i="5"/>
  <c r="P63" i="5"/>
  <c r="P64" i="5"/>
  <c r="P65" i="5"/>
  <c r="P66" i="5"/>
  <c r="P67" i="5"/>
  <c r="P68" i="5"/>
  <c r="P70" i="5"/>
  <c r="P71" i="5"/>
  <c r="P74" i="5"/>
  <c r="P76" i="5"/>
  <c r="P79" i="5"/>
  <c r="P81" i="5"/>
  <c r="P83" i="5"/>
  <c r="P85" i="5"/>
  <c r="P87" i="5"/>
  <c r="P89" i="5"/>
  <c r="P91" i="5"/>
  <c r="P93" i="5"/>
  <c r="P95" i="5"/>
  <c r="P97" i="5"/>
  <c r="P100" i="5"/>
  <c r="P102" i="5"/>
  <c r="P104" i="5"/>
  <c r="P106" i="5"/>
  <c r="P108" i="5"/>
  <c r="P110" i="5"/>
  <c r="P112" i="5"/>
  <c r="P115" i="5"/>
  <c r="P117" i="5"/>
  <c r="P119" i="5"/>
  <c r="P121" i="5"/>
  <c r="P122" i="5"/>
  <c r="P124" i="5"/>
  <c r="P126" i="5"/>
  <c r="P128" i="5"/>
  <c r="P130" i="5"/>
  <c r="P132" i="5"/>
  <c r="P134" i="5"/>
  <c r="P136" i="5"/>
  <c r="P138" i="5"/>
  <c r="P140" i="5"/>
  <c r="P142" i="5"/>
  <c r="P144" i="5"/>
  <c r="P146" i="5"/>
  <c r="P148" i="5"/>
  <c r="P150" i="5"/>
  <c r="P152" i="5"/>
  <c r="P154" i="5"/>
  <c r="P156" i="5"/>
  <c r="P158" i="5"/>
  <c r="P160" i="5"/>
  <c r="P164" i="5"/>
  <c r="P165" i="5"/>
  <c r="P167" i="5"/>
  <c r="P168" i="5"/>
  <c r="P170" i="5"/>
  <c r="P172" i="5"/>
  <c r="P173" i="5"/>
  <c r="P175" i="5"/>
  <c r="P177" i="5"/>
  <c r="P178" i="5"/>
  <c r="P180" i="5"/>
  <c r="P182" i="5"/>
  <c r="P184" i="5"/>
  <c r="P186" i="5"/>
  <c r="P187" i="5"/>
  <c r="P189" i="5"/>
  <c r="P191" i="5"/>
  <c r="P193" i="5"/>
  <c r="P195" i="5"/>
  <c r="P197" i="5"/>
  <c r="P199" i="5"/>
  <c r="P201" i="5"/>
  <c r="O10" i="5"/>
  <c r="O12" i="5"/>
  <c r="O14" i="5"/>
  <c r="O15" i="5"/>
  <c r="O18" i="5"/>
  <c r="O19" i="5"/>
  <c r="O21" i="5"/>
  <c r="O23" i="5"/>
  <c r="O25" i="5"/>
  <c r="O27" i="5"/>
  <c r="O29" i="5"/>
  <c r="O30" i="5"/>
  <c r="O32" i="5"/>
  <c r="O34" i="5"/>
  <c r="O36" i="5"/>
  <c r="O37" i="5"/>
  <c r="O39" i="5"/>
  <c r="O41" i="5"/>
  <c r="O42" i="5"/>
  <c r="O44" i="5"/>
  <c r="O45" i="5"/>
  <c r="O47" i="5"/>
  <c r="O49" i="5"/>
  <c r="O51" i="5"/>
  <c r="O53" i="5"/>
  <c r="O55" i="5"/>
  <c r="O57" i="5"/>
  <c r="P6" i="5"/>
  <c r="G9" i="10"/>
  <c r="O7" i="5"/>
  <c r="D4" i="6"/>
  <c r="I5" i="4"/>
  <c r="F7" i="6"/>
  <c r="F6" i="6"/>
  <c r="F5" i="6"/>
  <c r="F8" i="6"/>
  <c r="D5" i="6"/>
  <c r="D6" i="6"/>
  <c r="D7" i="6"/>
  <c r="D8" i="6"/>
  <c r="P10" i="5"/>
  <c r="P12" i="5"/>
  <c r="P18" i="5"/>
  <c r="P21" i="5"/>
  <c r="P29" i="5"/>
  <c r="O59" i="5"/>
  <c r="O61" i="5"/>
  <c r="O63" i="5"/>
  <c r="O65" i="5"/>
  <c r="O67" i="5"/>
  <c r="O68" i="5"/>
  <c r="O69" i="5"/>
  <c r="O70" i="5"/>
  <c r="O71" i="5"/>
  <c r="O73" i="5"/>
  <c r="O75" i="5"/>
  <c r="O77" i="5"/>
  <c r="O79" i="5"/>
  <c r="O80" i="5"/>
  <c r="O82" i="5"/>
  <c r="O84" i="5"/>
  <c r="O86" i="5"/>
  <c r="O88" i="5"/>
  <c r="O90" i="5"/>
  <c r="O92" i="5"/>
  <c r="O94" i="5"/>
  <c r="O96" i="5"/>
  <c r="O98" i="5"/>
  <c r="O100" i="5"/>
  <c r="O102" i="5"/>
  <c r="O105" i="5"/>
  <c r="O107" i="5"/>
  <c r="O109" i="5"/>
  <c r="O111" i="5"/>
  <c r="O113" i="5"/>
  <c r="O115" i="5"/>
  <c r="O117" i="5"/>
  <c r="O119" i="5"/>
  <c r="O121" i="5"/>
  <c r="O123" i="5"/>
  <c r="O125" i="5"/>
  <c r="O127" i="5"/>
  <c r="O129" i="5"/>
  <c r="O131" i="5"/>
  <c r="O133" i="5"/>
  <c r="O135" i="5"/>
  <c r="O137" i="5"/>
  <c r="O139" i="5"/>
  <c r="O141" i="5"/>
  <c r="O143" i="5"/>
  <c r="O145" i="5"/>
  <c r="O147" i="5"/>
  <c r="O149" i="5"/>
  <c r="O151" i="5"/>
  <c r="O153" i="5"/>
  <c r="O156" i="5"/>
  <c r="O158" i="5"/>
  <c r="O160" i="5"/>
  <c r="O162" i="5"/>
  <c r="O164" i="5"/>
  <c r="O166" i="5"/>
  <c r="O168" i="5"/>
  <c r="O170" i="5"/>
  <c r="O172" i="5"/>
  <c r="O174" i="5"/>
  <c r="O176" i="5"/>
  <c r="O178" i="5"/>
  <c r="O180" i="5"/>
  <c r="O182" i="5"/>
  <c r="O184" i="5"/>
  <c r="O186" i="5"/>
  <c r="O188" i="5"/>
  <c r="O190" i="5"/>
  <c r="O192" i="5"/>
  <c r="O194" i="5"/>
  <c r="O196" i="5"/>
  <c r="O198" i="5"/>
  <c r="O200" i="5"/>
  <c r="O202" i="5"/>
  <c r="P46" i="5"/>
  <c r="P69" i="5"/>
  <c r="P72" i="5"/>
  <c r="P73" i="5"/>
  <c r="P75" i="5"/>
  <c r="P77" i="5"/>
  <c r="P78" i="5"/>
  <c r="P80" i="5"/>
  <c r="P82" i="5"/>
  <c r="P84" i="5"/>
  <c r="P86" i="5"/>
  <c r="P88" i="5"/>
  <c r="P90" i="5"/>
  <c r="P92" i="5"/>
  <c r="P94" i="5"/>
  <c r="P96" i="5"/>
  <c r="P98" i="5"/>
  <c r="P99" i="5"/>
  <c r="P101" i="5"/>
  <c r="P103" i="5"/>
  <c r="P105" i="5"/>
  <c r="P107" i="5"/>
  <c r="P109" i="5"/>
  <c r="P111" i="5"/>
  <c r="P113" i="5"/>
  <c r="P114" i="5"/>
  <c r="P116" i="5"/>
  <c r="P118" i="5"/>
  <c r="P120" i="5"/>
  <c r="P123" i="5"/>
  <c r="P125" i="5"/>
  <c r="P127" i="5"/>
  <c r="P129" i="5"/>
  <c r="P131" i="5"/>
  <c r="P133" i="5"/>
  <c r="P135" i="5"/>
  <c r="P137" i="5"/>
  <c r="P139" i="5"/>
  <c r="P141" i="5"/>
  <c r="P143" i="5"/>
  <c r="P145" i="5"/>
  <c r="P147" i="5"/>
  <c r="P149" i="5"/>
  <c r="P151" i="5"/>
  <c r="P153" i="5"/>
  <c r="P155" i="5"/>
  <c r="P157" i="5"/>
  <c r="P159" i="5"/>
  <c r="P161" i="5"/>
  <c r="P162" i="5"/>
  <c r="P163" i="5"/>
  <c r="P166" i="5"/>
  <c r="P169" i="5"/>
  <c r="P171" i="5"/>
  <c r="P174" i="5"/>
  <c r="P176" i="5"/>
  <c r="P179" i="5"/>
  <c r="P181" i="5"/>
  <c r="P183" i="5"/>
  <c r="P185" i="5"/>
  <c r="P188" i="5"/>
  <c r="P190" i="5"/>
  <c r="P192" i="5"/>
  <c r="P194" i="5"/>
  <c r="P196" i="5"/>
  <c r="P198" i="5"/>
  <c r="P200" i="5"/>
  <c r="P202" i="5"/>
  <c r="O9" i="5"/>
  <c r="O11" i="5"/>
  <c r="O13" i="5"/>
  <c r="O16" i="5"/>
  <c r="O20" i="5"/>
  <c r="O22" i="5"/>
  <c r="O24" i="5"/>
  <c r="O26" i="5"/>
  <c r="O28" i="5"/>
  <c r="O31" i="5"/>
  <c r="O33" i="5"/>
  <c r="O35" i="5"/>
  <c r="O38" i="5"/>
  <c r="O40" i="5"/>
  <c r="O43" i="5"/>
  <c r="O46" i="5"/>
  <c r="O48" i="5"/>
  <c r="O50" i="5"/>
  <c r="O52" i="5"/>
  <c r="O54" i="5"/>
  <c r="O56" i="5"/>
  <c r="O58" i="5"/>
  <c r="O60" i="5"/>
  <c r="O62" i="5"/>
  <c r="O64" i="5"/>
  <c r="O66" i="5"/>
  <c r="O72" i="5"/>
  <c r="O74" i="5"/>
  <c r="O76" i="5"/>
  <c r="O78" i="5"/>
  <c r="O81" i="5"/>
  <c r="O83" i="5"/>
  <c r="O85" i="5"/>
  <c r="O87" i="5"/>
  <c r="O89" i="5"/>
  <c r="O91" i="5"/>
  <c r="O93" i="5"/>
  <c r="O95" i="5"/>
  <c r="O97" i="5"/>
  <c r="O99" i="5"/>
  <c r="O101" i="5"/>
  <c r="O103" i="5"/>
  <c r="O104" i="5"/>
  <c r="O106" i="5"/>
  <c r="O108" i="5"/>
  <c r="O110" i="5"/>
  <c r="O112" i="5"/>
  <c r="O114" i="5"/>
  <c r="O116" i="5"/>
  <c r="O118" i="5"/>
  <c r="O120" i="5"/>
  <c r="O122" i="5"/>
  <c r="O124" i="5"/>
  <c r="O126" i="5"/>
  <c r="O128" i="5"/>
  <c r="O130" i="5"/>
  <c r="O132" i="5"/>
  <c r="O134" i="5"/>
  <c r="O136" i="5"/>
  <c r="O138" i="5"/>
  <c r="O140" i="5"/>
  <c r="O142" i="5"/>
  <c r="O144" i="5"/>
  <c r="O146" i="5"/>
  <c r="O148" i="5"/>
  <c r="O150" i="5"/>
  <c r="O152" i="5"/>
  <c r="O154" i="5"/>
  <c r="O155" i="5"/>
  <c r="O157" i="5"/>
  <c r="O159" i="5"/>
  <c r="O161" i="5"/>
  <c r="O163" i="5"/>
  <c r="O165" i="5"/>
  <c r="O167" i="5"/>
  <c r="O169" i="5"/>
  <c r="O171" i="5"/>
  <c r="O173" i="5"/>
  <c r="O175" i="5"/>
  <c r="O177" i="5"/>
  <c r="O179" i="5"/>
  <c r="O181" i="5"/>
  <c r="O183" i="5"/>
  <c r="O185" i="5"/>
  <c r="O187" i="5"/>
  <c r="O189" i="5"/>
  <c r="O191" i="5"/>
  <c r="O193" i="5"/>
  <c r="O195" i="5"/>
  <c r="O197" i="5"/>
  <c r="O199" i="5"/>
  <c r="O201" i="5"/>
  <c r="E166" i="6"/>
  <c r="E168" i="6"/>
  <c r="E170" i="6"/>
  <c r="E173" i="6"/>
  <c r="E174" i="6"/>
  <c r="E176" i="6"/>
  <c r="E179" i="6"/>
  <c r="E181" i="6"/>
  <c r="E182" i="6"/>
  <c r="E184" i="6"/>
  <c r="E186" i="6"/>
  <c r="E187" i="6"/>
  <c r="E189" i="6"/>
  <c r="E190" i="6"/>
  <c r="E191" i="6"/>
  <c r="E192" i="6"/>
  <c r="E193" i="6"/>
  <c r="E194" i="6"/>
  <c r="E195" i="6"/>
  <c r="E196" i="6"/>
  <c r="E197" i="6"/>
  <c r="E199" i="6"/>
  <c r="E201" i="6"/>
  <c r="E203" i="6"/>
  <c r="E205" i="6"/>
  <c r="E208" i="6"/>
  <c r="E210" i="6"/>
  <c r="E212" i="6"/>
  <c r="E213" i="6"/>
  <c r="E218" i="6"/>
  <c r="E220" i="6"/>
  <c r="E221" i="6"/>
  <c r="E223" i="6"/>
  <c r="E225" i="6"/>
  <c r="E227" i="6"/>
  <c r="E229" i="6"/>
  <c r="E230" i="6"/>
  <c r="E232" i="6"/>
  <c r="E234" i="6"/>
  <c r="E235" i="6"/>
  <c r="E237" i="6"/>
  <c r="E239" i="6"/>
  <c r="E241" i="6"/>
  <c r="E244" i="6"/>
  <c r="E246" i="6"/>
  <c r="E247" i="6"/>
  <c r="E249" i="6"/>
  <c r="E251" i="6"/>
  <c r="E253" i="6"/>
  <c r="E255" i="6"/>
  <c r="E258" i="6"/>
  <c r="E260" i="6"/>
  <c r="E262" i="6"/>
  <c r="E265" i="6"/>
  <c r="E266" i="6"/>
  <c r="E269" i="6"/>
  <c r="E271" i="6"/>
  <c r="E274" i="6"/>
  <c r="E276" i="6"/>
  <c r="E278" i="6"/>
  <c r="E280" i="6"/>
  <c r="E282" i="6"/>
  <c r="P15" i="5"/>
  <c r="P19" i="5"/>
  <c r="P25" i="5"/>
  <c r="P32" i="5"/>
  <c r="E284" i="6"/>
  <c r="E286" i="6"/>
  <c r="E288" i="6"/>
  <c r="E290" i="6"/>
  <c r="E292" i="6"/>
  <c r="E295" i="6"/>
  <c r="E298" i="6"/>
  <c r="E301" i="6"/>
  <c r="E303" i="6"/>
  <c r="E305" i="6"/>
  <c r="F4" i="6"/>
  <c r="F7" i="5" a="1"/>
  <c r="D20" i="5"/>
  <c r="D23" i="5"/>
  <c r="D25" i="5"/>
  <c r="D28" i="5"/>
  <c r="D33" i="5"/>
  <c r="D35" i="5"/>
  <c r="D38" i="5"/>
  <c r="D42" i="5"/>
  <c r="D46" i="5"/>
  <c r="D48" i="5"/>
  <c r="D50" i="5"/>
  <c r="D51" i="5"/>
  <c r="D54" i="5"/>
  <c r="D56" i="5"/>
  <c r="D58" i="5"/>
  <c r="D61" i="5"/>
  <c r="D64" i="5"/>
  <c r="D66" i="5"/>
  <c r="D69" i="5"/>
  <c r="D72" i="5"/>
  <c r="D75" i="5"/>
  <c r="D79" i="5"/>
  <c r="D82" i="5"/>
  <c r="D85" i="5"/>
  <c r="D87" i="5"/>
  <c r="D90" i="5"/>
  <c r="D93" i="5"/>
  <c r="D97" i="5"/>
  <c r="D101" i="5"/>
  <c r="D104" i="5"/>
  <c r="D107" i="5"/>
  <c r="D110" i="5"/>
  <c r="D113" i="5"/>
  <c r="D116" i="5"/>
  <c r="D119" i="5"/>
  <c r="D122" i="5"/>
  <c r="D125" i="5"/>
  <c r="D128" i="5"/>
  <c r="D130" i="5"/>
  <c r="D132" i="5"/>
  <c r="D135" i="5"/>
  <c r="D138" i="5"/>
  <c r="D141" i="5"/>
  <c r="D144" i="5"/>
  <c r="D147" i="5"/>
  <c r="D150" i="5"/>
  <c r="D153" i="5"/>
  <c r="D156" i="5"/>
  <c r="D157" i="5"/>
  <c r="D160" i="5"/>
  <c r="D163" i="5"/>
  <c r="D165" i="5"/>
  <c r="D168" i="5"/>
  <c r="D171" i="5"/>
  <c r="D174" i="5"/>
  <c r="D177" i="5"/>
  <c r="D180" i="5"/>
  <c r="D183" i="5"/>
  <c r="D186" i="5"/>
  <c r="D189" i="5"/>
  <c r="D192" i="5"/>
  <c r="D195" i="5"/>
  <c r="D198" i="5"/>
  <c r="D200" i="5"/>
  <c r="D202" i="5"/>
  <c r="E14" i="5"/>
  <c r="E15" i="5"/>
  <c r="E16"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D9" i="5"/>
  <c r="D10" i="5"/>
  <c r="D11" i="5"/>
  <c r="D12" i="5"/>
  <c r="D13" i="5"/>
  <c r="D14" i="5"/>
  <c r="D15" i="5"/>
  <c r="D16" i="5"/>
  <c r="D19" i="5"/>
  <c r="D22" i="5"/>
  <c r="D26" i="5"/>
  <c r="D29" i="5"/>
  <c r="D31" i="5"/>
  <c r="D34" i="5"/>
  <c r="D37" i="5"/>
  <c r="D40" i="5"/>
  <c r="D43" i="5"/>
  <c r="D45" i="5"/>
  <c r="D59" i="5"/>
  <c r="D65" i="5"/>
  <c r="D71" i="5"/>
  <c r="D77" i="5"/>
  <c r="D83" i="5"/>
  <c r="D89" i="5"/>
  <c r="D150" i="6"/>
  <c r="D298" i="6"/>
  <c r="D38" i="6"/>
  <c r="D70" i="6"/>
  <c r="D241" i="6"/>
  <c r="F271" i="6"/>
  <c r="F202" i="6"/>
  <c r="D12" i="6"/>
  <c r="D17" i="6"/>
  <c r="D22" i="6"/>
  <c r="P9" i="5"/>
  <c r="P11" i="5"/>
  <c r="P14" i="5"/>
  <c r="P20" i="5"/>
  <c r="P26" i="5"/>
  <c r="D47" i="5"/>
  <c r="D49" i="5"/>
  <c r="D52" i="5"/>
  <c r="D53" i="5"/>
  <c r="D55" i="5"/>
  <c r="D57" i="5"/>
  <c r="D60" i="5"/>
  <c r="D63" i="5"/>
  <c r="D67" i="5"/>
  <c r="D70" i="5"/>
  <c r="D73" i="5"/>
  <c r="D76" i="5"/>
  <c r="D78" i="5"/>
  <c r="D81" i="5"/>
  <c r="D84" i="5"/>
  <c r="D88" i="5"/>
  <c r="D92" i="5"/>
  <c r="D95" i="5"/>
  <c r="D98" i="5"/>
  <c r="D100" i="5"/>
  <c r="D103" i="5"/>
  <c r="D106" i="5"/>
  <c r="D109" i="5"/>
  <c r="D112" i="5"/>
  <c r="D115" i="5"/>
  <c r="D118" i="5"/>
  <c r="D121" i="5"/>
  <c r="D124" i="5"/>
  <c r="D127" i="5"/>
  <c r="D131" i="5"/>
  <c r="D134" i="5"/>
  <c r="D137" i="5"/>
  <c r="D139" i="5"/>
  <c r="D142" i="5"/>
  <c r="D145" i="5"/>
  <c r="D148" i="5"/>
  <c r="D152" i="5"/>
  <c r="D155" i="5"/>
  <c r="D159" i="5"/>
  <c r="D161" i="5"/>
  <c r="D164" i="5"/>
  <c r="D166" i="5"/>
  <c r="D169" i="5"/>
  <c r="D172" i="5"/>
  <c r="D175" i="5"/>
  <c r="D178" i="5"/>
  <c r="D181" i="5"/>
  <c r="D184" i="5"/>
  <c r="D187" i="5"/>
  <c r="D190" i="5"/>
  <c r="D193" i="5"/>
  <c r="D196" i="5"/>
  <c r="E159"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64"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60" i="6"/>
  <c r="E161" i="6"/>
  <c r="E162" i="6"/>
  <c r="E163" i="6"/>
  <c r="E165" i="6"/>
  <c r="E167" i="6"/>
  <c r="E169" i="6"/>
  <c r="E171" i="6"/>
  <c r="E172" i="6"/>
  <c r="E175" i="6"/>
  <c r="E177" i="6"/>
  <c r="E178" i="6"/>
  <c r="E180" i="6"/>
  <c r="E183" i="6"/>
  <c r="E185" i="6"/>
  <c r="E188" i="6"/>
  <c r="E198" i="6"/>
  <c r="E200" i="6"/>
  <c r="E202" i="6"/>
  <c r="E204" i="6"/>
  <c r="E206" i="6"/>
  <c r="E207" i="6"/>
  <c r="E209" i="6"/>
  <c r="E211" i="6"/>
  <c r="E214" i="6"/>
  <c r="E215" i="6"/>
  <c r="E216" i="6"/>
  <c r="E217" i="6"/>
  <c r="E219" i="6"/>
  <c r="E222" i="6"/>
  <c r="E224" i="6"/>
  <c r="E226" i="6"/>
  <c r="E228" i="6"/>
  <c r="E231" i="6"/>
  <c r="E233" i="6"/>
  <c r="E236" i="6"/>
  <c r="E238" i="6"/>
  <c r="E240" i="6"/>
  <c r="E242" i="6"/>
  <c r="E243" i="6"/>
  <c r="E245" i="6"/>
  <c r="E248" i="6"/>
  <c r="E250" i="6"/>
  <c r="E252" i="6"/>
  <c r="E254" i="6"/>
  <c r="E256" i="6"/>
  <c r="E257" i="6"/>
  <c r="E118" i="6"/>
  <c r="E261" i="6"/>
  <c r="E263" i="6"/>
  <c r="E264" i="6"/>
  <c r="E267" i="6"/>
  <c r="E268" i="6"/>
  <c r="E270" i="6"/>
  <c r="E272" i="6"/>
  <c r="E273" i="6"/>
  <c r="E275" i="6"/>
  <c r="E277" i="6"/>
  <c r="E279" i="6"/>
  <c r="E281" i="6"/>
  <c r="E283" i="6"/>
  <c r="E285" i="6"/>
  <c r="E287" i="6"/>
  <c r="E289" i="6"/>
  <c r="E291" i="6"/>
  <c r="E293" i="6"/>
  <c r="E294" i="6"/>
  <c r="E296" i="6"/>
  <c r="E297" i="6"/>
  <c r="E299" i="6"/>
  <c r="E300" i="6"/>
  <c r="E302" i="6"/>
  <c r="E304" i="6"/>
  <c r="E306" i="6"/>
  <c r="D18" i="5"/>
  <c r="D21" i="5"/>
  <c r="D24" i="5"/>
  <c r="D27" i="5"/>
  <c r="D30" i="5"/>
  <c r="D32" i="5"/>
  <c r="D36" i="5"/>
  <c r="D39" i="5"/>
  <c r="D41" i="5"/>
  <c r="D44" i="5"/>
  <c r="D62" i="5"/>
  <c r="D68" i="5"/>
  <c r="D74" i="5"/>
  <c r="D80" i="5"/>
  <c r="D86" i="5"/>
  <c r="D127" i="6"/>
  <c r="D193" i="6"/>
  <c r="D34" i="6"/>
  <c r="D57" i="6"/>
  <c r="D288" i="6"/>
  <c r="F257" i="6"/>
  <c r="D9" i="6"/>
  <c r="D13" i="6"/>
  <c r="D19" i="6"/>
  <c r="D24" i="6"/>
  <c r="P13" i="5"/>
  <c r="P16" i="5"/>
  <c r="P22" i="5"/>
  <c r="P28" i="5"/>
  <c r="D91" i="5"/>
  <c r="D94" i="5"/>
  <c r="D96" i="5"/>
  <c r="D99" i="5"/>
  <c r="D102" i="5"/>
  <c r="D105" i="5"/>
  <c r="D108" i="5"/>
  <c r="D111" i="5"/>
  <c r="D114" i="5"/>
  <c r="D117" i="5"/>
  <c r="D120" i="5"/>
  <c r="D123" i="5"/>
  <c r="D126" i="5"/>
  <c r="D129" i="5"/>
  <c r="D133" i="5"/>
  <c r="D136" i="5"/>
  <c r="D140" i="5"/>
  <c r="D143" i="5"/>
  <c r="D146" i="5"/>
  <c r="D149" i="5"/>
  <c r="D151" i="5"/>
  <c r="D154" i="5"/>
  <c r="D158" i="5"/>
  <c r="D162" i="5"/>
  <c r="D167" i="5"/>
  <c r="D170" i="5"/>
  <c r="D173" i="5"/>
  <c r="D176" i="5"/>
  <c r="D179" i="5"/>
  <c r="D182" i="5"/>
  <c r="D185" i="5"/>
  <c r="D188" i="5"/>
  <c r="D191" i="5"/>
  <c r="D194" i="5"/>
  <c r="D197" i="5"/>
  <c r="D199" i="5"/>
  <c r="D201" i="5"/>
  <c r="E259" i="6"/>
  <c r="D181" i="6"/>
  <c r="D29" i="6"/>
  <c r="D47" i="6"/>
  <c r="D147" i="6"/>
  <c r="F285" i="6"/>
  <c r="F228" i="6"/>
  <c r="D10" i="6"/>
  <c r="D16" i="6"/>
  <c r="D285" i="6"/>
  <c r="D75" i="6"/>
  <c r="D98" i="6"/>
  <c r="D112" i="6"/>
  <c r="D56" i="6"/>
  <c r="D121" i="6"/>
  <c r="D136" i="6"/>
  <c r="D158" i="6"/>
  <c r="D179" i="6"/>
  <c r="D205" i="6"/>
  <c r="D219" i="6"/>
  <c r="D226" i="6"/>
  <c r="D240" i="6"/>
  <c r="D258" i="6"/>
  <c r="D269" i="6"/>
  <c r="D281" i="6"/>
  <c r="D300" i="6"/>
  <c r="F297" i="6"/>
  <c r="F265" i="6"/>
  <c r="F245" i="6"/>
  <c r="F230" i="6"/>
  <c r="F211" i="6"/>
  <c r="F191" i="6"/>
  <c r="F172" i="6"/>
  <c r="F155" i="6"/>
  <c r="F141" i="6"/>
  <c r="F108" i="6"/>
  <c r="F85" i="6"/>
  <c r="F75" i="6"/>
  <c r="F66" i="6"/>
  <c r="F49" i="6"/>
  <c r="F24" i="6"/>
  <c r="D124" i="6"/>
  <c r="D152" i="6"/>
  <c r="D235" i="6"/>
  <c r="D252" i="6"/>
  <c r="D266" i="6"/>
  <c r="D283" i="6"/>
  <c r="F305" i="6"/>
  <c r="F299" i="6"/>
  <c r="F279" i="6"/>
  <c r="F264" i="6"/>
  <c r="F250" i="6"/>
  <c r="F234" i="6"/>
  <c r="F221" i="6"/>
  <c r="F195" i="6"/>
  <c r="F185" i="6"/>
  <c r="F168" i="6"/>
  <c r="F165" i="6"/>
  <c r="F152" i="6"/>
  <c r="F99" i="6"/>
  <c r="F87" i="6"/>
  <c r="F69" i="6"/>
  <c r="F55" i="6"/>
  <c r="F78" i="6"/>
  <c r="F31" i="6"/>
  <c r="F23" i="6"/>
  <c r="F10" i="6"/>
  <c r="D62" i="6"/>
  <c r="D85" i="6"/>
  <c r="D101" i="6"/>
  <c r="D111" i="6"/>
  <c r="D129" i="6"/>
  <c r="D146" i="6"/>
  <c r="D189" i="6"/>
  <c r="D203" i="6"/>
  <c r="D246" i="6"/>
  <c r="D270" i="6"/>
  <c r="D291" i="6"/>
  <c r="D28" i="6"/>
  <c r="D31" i="6"/>
  <c r="D33" i="6"/>
  <c r="D39" i="6"/>
  <c r="D45" i="6"/>
  <c r="D50" i="6"/>
  <c r="D81" i="6"/>
  <c r="D107" i="6"/>
  <c r="D151" i="6"/>
  <c r="D164" i="6"/>
  <c r="D176" i="6"/>
  <c r="D190" i="6"/>
  <c r="D207" i="6"/>
  <c r="D234" i="6"/>
  <c r="D249" i="6"/>
  <c r="D254" i="6"/>
  <c r="D59" i="6"/>
  <c r="D72" i="6"/>
  <c r="D96" i="6"/>
  <c r="D104" i="6"/>
  <c r="D126" i="6"/>
  <c r="D153" i="6"/>
  <c r="D175" i="6"/>
  <c r="D192" i="6"/>
  <c r="D208" i="6"/>
  <c r="D223" i="6"/>
  <c r="D237" i="6"/>
  <c r="D272" i="6"/>
  <c r="D296" i="6"/>
  <c r="F306" i="6"/>
  <c r="F298" i="6"/>
  <c r="F281" i="6"/>
  <c r="F268" i="6"/>
  <c r="F248" i="6"/>
  <c r="F232" i="6"/>
  <c r="F222" i="6"/>
  <c r="F210" i="6"/>
  <c r="F200" i="6"/>
  <c r="F186" i="6"/>
  <c r="F173" i="6"/>
  <c r="F163" i="6"/>
  <c r="F151" i="6"/>
  <c r="F142" i="6"/>
  <c r="F126" i="6"/>
  <c r="F105" i="6"/>
  <c r="F88" i="6"/>
  <c r="F79" i="6"/>
  <c r="F58" i="6"/>
  <c r="F32" i="6"/>
  <c r="F12" i="6"/>
  <c r="D297" i="6"/>
  <c r="D79" i="6"/>
  <c r="D90" i="6"/>
  <c r="D106" i="6"/>
  <c r="D122" i="6"/>
  <c r="D64" i="6"/>
  <c r="D84" i="6"/>
  <c r="D103" i="6"/>
  <c r="D134" i="6"/>
  <c r="D165" i="6"/>
  <c r="D187" i="6"/>
  <c r="D198" i="6"/>
  <c r="D209" i="6"/>
  <c r="D224" i="6"/>
  <c r="D236" i="6"/>
  <c r="D248" i="6"/>
  <c r="D268" i="6"/>
  <c r="D289" i="6"/>
  <c r="D306" i="6"/>
  <c r="F287" i="6"/>
  <c r="F273" i="6"/>
  <c r="F249" i="6"/>
  <c r="F224" i="6"/>
  <c r="F207" i="6"/>
  <c r="F182" i="6"/>
  <c r="F166" i="6"/>
  <c r="F135" i="6"/>
  <c r="F121" i="6"/>
  <c r="F100" i="6"/>
  <c r="F89" i="6"/>
  <c r="F71" i="6"/>
  <c r="F57" i="6"/>
  <c r="F28" i="6"/>
  <c r="D128" i="6"/>
  <c r="D142" i="6"/>
  <c r="D228" i="6"/>
  <c r="D238" i="6"/>
  <c r="D257" i="6"/>
  <c r="D276" i="6"/>
  <c r="D301" i="6"/>
  <c r="F292" i="6"/>
  <c r="F282" i="6"/>
  <c r="F260" i="6"/>
  <c r="F246" i="6"/>
  <c r="F225" i="6"/>
  <c r="F199" i="6"/>
  <c r="F188" i="6"/>
  <c r="F175" i="6"/>
  <c r="F154" i="6"/>
  <c r="F137" i="6"/>
  <c r="F125" i="6"/>
  <c r="F111" i="6"/>
  <c r="F95" i="6"/>
  <c r="F73" i="6"/>
  <c r="F65" i="6"/>
  <c r="F48" i="6"/>
  <c r="F34" i="6"/>
  <c r="F20" i="6"/>
  <c r="D109" i="6"/>
  <c r="D265" i="6"/>
  <c r="D43" i="6"/>
  <c r="D94" i="6"/>
  <c r="D132" i="6"/>
  <c r="D304" i="6"/>
  <c r="F242" i="6"/>
  <c r="D11" i="6"/>
  <c r="D18" i="6"/>
  <c r="D23" i="6"/>
  <c r="P27" i="5"/>
  <c r="D137" i="6"/>
  <c r="D162" i="6"/>
  <c r="D172" i="6"/>
  <c r="D182" i="6"/>
  <c r="D199" i="6"/>
  <c r="F237" i="6"/>
  <c r="D239" i="6"/>
  <c r="D51" i="6"/>
  <c r="D63" i="6"/>
  <c r="D76" i="6"/>
  <c r="D100" i="6"/>
  <c r="D120" i="6"/>
  <c r="D143" i="6"/>
  <c r="D156" i="6"/>
  <c r="D180" i="6"/>
  <c r="D197" i="6"/>
  <c r="D210" i="6"/>
  <c r="D220" i="6"/>
  <c r="D233" i="6"/>
  <c r="D245" i="6"/>
  <c r="D260" i="6"/>
  <c r="D282" i="6"/>
  <c r="D299" i="6"/>
  <c r="F294" i="6"/>
  <c r="F280" i="6"/>
  <c r="F255" i="6"/>
  <c r="F239" i="6"/>
  <c r="F226" i="6"/>
  <c r="F189" i="6"/>
  <c r="F178" i="6"/>
  <c r="F170" i="6"/>
  <c r="F153" i="6"/>
  <c r="F136" i="6"/>
  <c r="F123" i="6"/>
  <c r="F109" i="6"/>
  <c r="F96" i="6"/>
  <c r="F84" i="6"/>
  <c r="F72" i="6"/>
  <c r="F54" i="6"/>
  <c r="F43" i="6"/>
  <c r="F35" i="6"/>
  <c r="F25" i="6"/>
  <c r="F9" i="6"/>
  <c r="D279" i="6"/>
  <c r="D102" i="6"/>
  <c r="D117" i="6"/>
  <c r="D53" i="6"/>
  <c r="D68" i="6"/>
  <c r="D91" i="6"/>
  <c r="D114" i="6"/>
  <c r="D149" i="6"/>
  <c r="D169" i="6"/>
  <c r="D202" i="6"/>
  <c r="D216" i="6"/>
  <c r="D229" i="6"/>
  <c r="D243" i="6"/>
  <c r="D263" i="6"/>
  <c r="D274" i="6"/>
  <c r="D286" i="6"/>
  <c r="F291" i="6"/>
  <c r="F277" i="6"/>
  <c r="F262" i="6"/>
  <c r="F254" i="6"/>
  <c r="F235" i="6"/>
  <c r="F219" i="6"/>
  <c r="F203" i="6"/>
  <c r="F187" i="6"/>
  <c r="F161" i="6"/>
  <c r="F144" i="6"/>
  <c r="F132" i="6"/>
  <c r="F113" i="6"/>
  <c r="F97" i="6"/>
  <c r="F82" i="6"/>
  <c r="F68" i="6"/>
  <c r="F53" i="6"/>
  <c r="F11" i="6"/>
  <c r="D138" i="6"/>
  <c r="D225" i="6"/>
  <c r="D247" i="6"/>
  <c r="D262" i="6"/>
  <c r="D271" i="6"/>
  <c r="D290" i="6"/>
  <c r="D294" i="6"/>
  <c r="F302" i="6"/>
  <c r="F288" i="6"/>
  <c r="F275" i="6"/>
  <c r="F267" i="6"/>
  <c r="F253" i="6"/>
  <c r="F238" i="6"/>
  <c r="F231" i="6"/>
  <c r="F217" i="6"/>
  <c r="F192" i="6"/>
  <c r="F181" i="6"/>
  <c r="F171" i="6"/>
  <c r="F158" i="6"/>
  <c r="F145" i="6"/>
  <c r="F134" i="6"/>
  <c r="F122" i="6"/>
  <c r="F118" i="6"/>
  <c r="F103" i="6"/>
  <c r="F80" i="6"/>
  <c r="F59" i="6"/>
  <c r="F42" i="6"/>
  <c r="D58" i="6"/>
  <c r="D71" i="6"/>
  <c r="D88" i="6"/>
  <c r="D105" i="6"/>
  <c r="D119" i="6"/>
  <c r="D135" i="6"/>
  <c r="D159" i="6"/>
  <c r="D166" i="6"/>
  <c r="D177" i="6"/>
  <c r="D196" i="6"/>
  <c r="D206" i="6"/>
  <c r="D251" i="6"/>
  <c r="D280" i="6"/>
  <c r="D25" i="6"/>
  <c r="D26" i="6"/>
  <c r="D30" i="6"/>
  <c r="D35" i="6"/>
  <c r="D40" i="6"/>
  <c r="D42" i="6"/>
  <c r="D46" i="6"/>
  <c r="D67" i="6"/>
  <c r="D74" i="6"/>
  <c r="D86" i="6"/>
  <c r="D113" i="6"/>
  <c r="D144" i="6"/>
  <c r="D178" i="6"/>
  <c r="D186" i="6"/>
  <c r="D215" i="6"/>
  <c r="D218" i="6"/>
  <c r="D55" i="6"/>
  <c r="D69" i="6"/>
  <c r="D87" i="6"/>
  <c r="D116" i="6"/>
  <c r="D140" i="6"/>
  <c r="D167" i="6"/>
  <c r="D184" i="6"/>
  <c r="D201" i="6"/>
  <c r="D217" i="6"/>
  <c r="D230" i="6"/>
  <c r="D242" i="6"/>
  <c r="D256" i="6"/>
  <c r="D277" i="6"/>
  <c r="D292" i="6"/>
  <c r="F303" i="6"/>
  <c r="F289" i="6"/>
  <c r="F276" i="6"/>
  <c r="F261" i="6"/>
  <c r="F244" i="6"/>
  <c r="F218" i="6"/>
  <c r="F213" i="6"/>
  <c r="F205" i="6"/>
  <c r="F196" i="6"/>
  <c r="F183" i="6"/>
  <c r="F167" i="6"/>
  <c r="F157" i="6"/>
  <c r="F139" i="6"/>
  <c r="F130" i="6"/>
  <c r="F119" i="6"/>
  <c r="F112" i="6"/>
  <c r="F92" i="6"/>
  <c r="F76" i="6"/>
  <c r="F64" i="6"/>
  <c r="F50" i="6"/>
  <c r="F40" i="6"/>
  <c r="F38" i="6"/>
  <c r="F21" i="6"/>
  <c r="D267" i="6"/>
  <c r="D54" i="6"/>
  <c r="D73" i="6"/>
  <c r="D95" i="6"/>
  <c r="D125" i="6"/>
  <c r="D141" i="6"/>
  <c r="D154" i="6"/>
  <c r="D173" i="6"/>
  <c r="D191" i="6"/>
  <c r="D212" i="6"/>
  <c r="D278" i="6"/>
  <c r="D293" i="6"/>
  <c r="F301" i="6"/>
  <c r="F283" i="6"/>
  <c r="F269" i="6"/>
  <c r="F258" i="6"/>
  <c r="F241" i="6"/>
  <c r="F215" i="6"/>
  <c r="F198" i="6"/>
  <c r="F176" i="6"/>
  <c r="F149" i="6"/>
  <c r="F138" i="6"/>
  <c r="F128" i="6"/>
  <c r="F117" i="6"/>
  <c r="F104" i="6"/>
  <c r="F93" i="6"/>
  <c r="F62" i="6"/>
  <c r="F15" i="6"/>
  <c r="D231" i="6"/>
  <c r="F295" i="6"/>
  <c r="D15" i="6"/>
  <c r="D21" i="6"/>
  <c r="P23" i="5"/>
  <c r="P31" i="5"/>
  <c r="F179" i="6"/>
  <c r="F162" i="6"/>
  <c r="F148" i="6"/>
  <c r="F129" i="6"/>
  <c r="F114" i="6"/>
  <c r="F107" i="6"/>
  <c r="F91" i="6"/>
  <c r="F67" i="6"/>
  <c r="F51" i="6"/>
  <c r="F45" i="6"/>
  <c r="F17" i="6"/>
  <c r="D52" i="6"/>
  <c r="D80" i="6"/>
  <c r="D93" i="6"/>
  <c r="D115" i="6"/>
  <c r="D133" i="6"/>
  <c r="D155" i="6"/>
  <c r="D170" i="6"/>
  <c r="D213" i="6"/>
  <c r="D255" i="6"/>
  <c r="D275" i="6"/>
  <c r="D295" i="6"/>
  <c r="D27" i="6"/>
  <c r="D32" i="6"/>
  <c r="D36" i="6"/>
  <c r="D37" i="6"/>
  <c r="D41" i="6"/>
  <c r="D44" i="6"/>
  <c r="D48" i="6"/>
  <c r="D49" i="6"/>
  <c r="D61" i="6"/>
  <c r="D78" i="6"/>
  <c r="D89" i="6"/>
  <c r="D118" i="6"/>
  <c r="D157" i="6"/>
  <c r="D168" i="6"/>
  <c r="D195" i="6"/>
  <c r="D211" i="6"/>
  <c r="D222" i="6"/>
  <c r="D244" i="6"/>
  <c r="D259" i="6"/>
  <c r="D66" i="6"/>
  <c r="D82" i="6"/>
  <c r="D92" i="6"/>
  <c r="D108" i="6"/>
  <c r="D131" i="6"/>
  <c r="D148" i="6"/>
  <c r="D160" i="6"/>
  <c r="D171" i="6"/>
  <c r="D188" i="6"/>
  <c r="D204" i="6"/>
  <c r="D214" i="6"/>
  <c r="D227" i="6"/>
  <c r="D250" i="6"/>
  <c r="D264" i="6"/>
  <c r="D287" i="6"/>
  <c r="D303" i="6"/>
  <c r="F300" i="6"/>
  <c r="F286" i="6"/>
  <c r="F272" i="6"/>
  <c r="F252" i="6"/>
  <c r="F236" i="6"/>
  <c r="F216" i="6"/>
  <c r="F208" i="6"/>
  <c r="F193" i="6"/>
  <c r="F180" i="6"/>
  <c r="F159" i="6"/>
  <c r="F146" i="6"/>
  <c r="F133" i="6"/>
  <c r="F116" i="6"/>
  <c r="F101" i="6"/>
  <c r="F46" i="6"/>
  <c r="F29" i="6"/>
  <c r="F18" i="6"/>
  <c r="D273" i="6"/>
  <c r="D83" i="6"/>
  <c r="D110" i="6"/>
  <c r="D60" i="6"/>
  <c r="D77" i="6"/>
  <c r="D99" i="6"/>
  <c r="D130" i="6"/>
  <c r="D145" i="6"/>
  <c r="D161" i="6"/>
  <c r="D183" i="6"/>
  <c r="D194" i="6"/>
  <c r="D221" i="6"/>
  <c r="D232" i="6"/>
  <c r="D253" i="6"/>
  <c r="F37" i="6"/>
  <c r="F27" i="6"/>
  <c r="F14" i="6"/>
  <c r="D65" i="6"/>
  <c r="D97" i="6"/>
  <c r="D123" i="6"/>
  <c r="D139" i="6"/>
  <c r="D163" i="6"/>
  <c r="D174" i="6"/>
  <c r="D185" i="6"/>
  <c r="D200" i="6"/>
  <c r="D261" i="6"/>
  <c r="D284" i="6"/>
  <c r="D302" i="6"/>
  <c r="D305" i="6"/>
  <c r="F304" i="6"/>
  <c r="F296" i="6"/>
  <c r="F293" i="6"/>
  <c r="F290" i="6"/>
  <c r="F284" i="6"/>
  <c r="F278" i="6"/>
  <c r="F274" i="6"/>
  <c r="F270" i="6"/>
  <c r="F266" i="6"/>
  <c r="F263" i="6"/>
  <c r="F259" i="6"/>
  <c r="F256" i="6"/>
  <c r="F251" i="6"/>
  <c r="F247" i="6"/>
  <c r="F243" i="6"/>
  <c r="F240" i="6"/>
  <c r="F233" i="6"/>
  <c r="F229" i="6"/>
  <c r="F227" i="6"/>
  <c r="F223" i="6"/>
  <c r="F220" i="6"/>
  <c r="F214" i="6"/>
  <c r="F212" i="6"/>
  <c r="F209" i="6"/>
  <c r="F206" i="6"/>
  <c r="F204" i="6"/>
  <c r="F201" i="6"/>
  <c r="F197" i="6"/>
  <c r="F194" i="6"/>
  <c r="F190" i="6"/>
  <c r="F184" i="6"/>
  <c r="F177" i="6"/>
  <c r="F174" i="6"/>
  <c r="F169" i="6"/>
  <c r="F164" i="6"/>
  <c r="F160" i="6"/>
  <c r="F156" i="6"/>
  <c r="F150" i="6"/>
  <c r="F147" i="6"/>
  <c r="F143" i="6"/>
  <c r="F140" i="6"/>
  <c r="F131" i="6"/>
  <c r="F127" i="6"/>
  <c r="F124" i="6"/>
  <c r="F120" i="6"/>
  <c r="F115" i="6"/>
  <c r="F110" i="6"/>
  <c r="F106" i="6"/>
  <c r="F102" i="6"/>
  <c r="F98" i="6"/>
  <c r="F94" i="6"/>
  <c r="F90" i="6"/>
  <c r="F86" i="6"/>
  <c r="F83" i="6"/>
  <c r="F81" i="6"/>
  <c r="F77" i="6"/>
  <c r="F74" i="6"/>
  <c r="F70" i="6"/>
  <c r="F63" i="6"/>
  <c r="F61" i="6"/>
  <c r="F60" i="6"/>
  <c r="F56" i="6"/>
  <c r="F52" i="6"/>
  <c r="F47" i="6"/>
  <c r="F44" i="6"/>
  <c r="F41" i="6"/>
  <c r="F39" i="6"/>
  <c r="F36" i="6"/>
  <c r="F33" i="6"/>
  <c r="F30" i="6"/>
  <c r="F26" i="6"/>
  <c r="F22" i="6"/>
  <c r="F19" i="6"/>
  <c r="F16" i="6"/>
  <c r="F13" i="6"/>
  <c r="D14" i="6"/>
  <c r="D20" i="6"/>
  <c r="P24" i="5"/>
  <c r="P30" i="5"/>
  <c r="E8" i="5" l="1"/>
  <c r="E9" i="5"/>
  <c r="E10" i="5"/>
  <c r="E11" i="5"/>
  <c r="E12" i="5"/>
  <c r="E13" i="5"/>
  <c r="R13" i="5"/>
  <c r="R15" i="5" s="1"/>
  <c r="R22" i="5"/>
  <c r="R23" i="5"/>
  <c r="S13" i="5"/>
  <c r="E4" i="6"/>
  <c r="E5" i="6"/>
  <c r="E8" i="6"/>
  <c r="E7" i="6"/>
  <c r="E6" i="5"/>
  <c r="E7" i="5"/>
  <c r="S17"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A29FF4-9BAA-47C4-899D-014994196C0D}" name="Query - Daily_Work" description="Connection to the 'Daily_Work' query in the workbook." type="100" refreshedVersion="8" minRefreshableVersion="5">
    <extLst>
      <ext xmlns:x15="http://schemas.microsoft.com/office/spreadsheetml/2010/11/main" uri="{DE250136-89BD-433C-8126-D09CA5730AF9}">
        <x15:connection id="8735b4cc-7729-42e6-aa88-0b2ae1c50265"/>
      </ext>
    </extLst>
  </connection>
  <connection id="2" xr16:uid="{20BC8EC8-1FB9-4B4B-B369-222191A994C9}" name="Query - Master_Employee" description="Connection to the 'Master_Employee' query in the workbook." type="100" refreshedVersion="8" minRefreshableVersion="5">
    <extLst>
      <ext xmlns:x15="http://schemas.microsoft.com/office/spreadsheetml/2010/11/main" uri="{DE250136-89BD-433C-8126-D09CA5730AF9}">
        <x15:connection id="90cf9507-755a-4f7e-9a01-6cd23d2320a0"/>
      </ext>
    </extLst>
  </connection>
  <connection id="3" xr16:uid="{B329472A-942C-45C7-B2F0-A7844BF587E4}" name="Query - tbl_Dept" description="Connection to the 'tbl_Dept' query in the workbook." type="100" refreshedVersion="8" minRefreshableVersion="5">
    <extLst>
      <ext xmlns:x15="http://schemas.microsoft.com/office/spreadsheetml/2010/11/main" uri="{DE250136-89BD-433C-8126-D09CA5730AF9}">
        <x15:connection id="9ec84782-66d0-4dc5-bfe8-1c5ff3955f13"/>
      </ext>
    </extLst>
  </connection>
  <connection id="4" xr16:uid="{8C0B77A0-516B-40E6-B69C-DDEE26145847}" name="Query - tbl_Projects" description="Connection to the 'tbl_Projects' query in the workbook." type="100" refreshedVersion="8" minRefreshableVersion="5">
    <extLst>
      <ext xmlns:x15="http://schemas.microsoft.com/office/spreadsheetml/2010/11/main" uri="{DE250136-89BD-433C-8126-D09CA5730AF9}">
        <x15:connection id="98a92cfc-b17e-4214-99b8-291e57b7f070"/>
      </ext>
    </extLst>
  </connection>
  <connection id="5" xr16:uid="{714DDCCC-624B-4B9F-962B-D85336770D25}" name="Query - tbl_Transactions" description="Connection to the 'tbl_Transactions' query in the workbook." type="100" refreshedVersion="8" minRefreshableVersion="5">
    <extLst>
      <ext xmlns:x15="http://schemas.microsoft.com/office/spreadsheetml/2010/11/main" uri="{DE250136-89BD-433C-8126-D09CA5730AF9}">
        <x15:connection id="b0f3c60b-5f88-478f-9ac0-7570abe5c194"/>
      </ext>
    </extLst>
  </connection>
  <connection id="6" xr16:uid="{AC391157-BA8D-4281-B1D2-8712CCB8D3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2">
    <s v="ThisWorkbookDataModel"/>
    <s v="{[Daily_Work].[Department].[All]}"/>
  </metadataStrings>
  <mdxMetadata count="1">
    <mdx n="0" f="s">
      <ms ns="1" c="0"/>
    </mdx>
  </mdxMetadata>
  <futureMetadata name="XLDAPR" count="1">
    <bk>
      <extLst>
        <ext uri="{bdbb8cdc-fa1e-496e-a857-3c3f30c029c3}">
          <xda:dynamicArrayProperties fDynamic="1" fCollapsed="0"/>
        </ext>
      </extLst>
    </bk>
  </futureMetadata>
  <cellMetadata count="1">
    <bk>
      <rc t="1" v="0"/>
    </bk>
  </cellMetadata>
  <valueMetadata count="1">
    <bk>
      <rc t="2" v="0"/>
    </bk>
  </valueMetadata>
</metadata>
</file>

<file path=xl/sharedStrings.xml><?xml version="1.0" encoding="utf-8"?>
<sst xmlns="http://schemas.openxmlformats.org/spreadsheetml/2006/main" count="1987" uniqueCount="997">
  <si>
    <t>Dept_ID</t>
  </si>
  <si>
    <t>Dept_Name</t>
  </si>
  <si>
    <t>Payment_Method</t>
  </si>
  <si>
    <t>Status</t>
  </si>
  <si>
    <t>Trans_Type</t>
  </si>
  <si>
    <t>ADM_D01</t>
  </si>
  <si>
    <t>الإدارة</t>
  </si>
  <si>
    <r>
      <rPr>
        <sz val="11"/>
        <color theme="1"/>
        <rFont val="FreeSans"/>
        <family val="2"/>
      </rPr>
      <t xml:space="preserve">كاش </t>
    </r>
    <r>
      <rPr>
        <sz val="11"/>
        <color theme="1"/>
        <rFont val="Calibri"/>
        <family val="2"/>
        <charset val="1"/>
      </rPr>
      <t>- Cash</t>
    </r>
  </si>
  <si>
    <r>
      <rPr>
        <sz val="11"/>
        <color theme="1"/>
        <rFont val="FreeSans"/>
        <family val="2"/>
      </rPr>
      <t xml:space="preserve">يعمل </t>
    </r>
    <r>
      <rPr>
        <sz val="11"/>
        <color theme="1"/>
        <rFont val="Calibri"/>
        <family val="2"/>
        <charset val="1"/>
      </rPr>
      <t>- Active</t>
    </r>
  </si>
  <si>
    <r>
      <rPr>
        <sz val="11"/>
        <color theme="1"/>
        <rFont val="FreeSans"/>
        <family val="2"/>
      </rPr>
      <t xml:space="preserve">سلف </t>
    </r>
    <r>
      <rPr>
        <sz val="11"/>
        <color theme="1"/>
        <rFont val="Calibri"/>
        <family val="2"/>
        <charset val="1"/>
      </rPr>
      <t>- Advance</t>
    </r>
  </si>
  <si>
    <t>FIN_D02</t>
  </si>
  <si>
    <t>التشطيبات</t>
  </si>
  <si>
    <r>
      <rPr>
        <sz val="11"/>
        <color theme="1"/>
        <rFont val="FreeSans"/>
        <family val="2"/>
      </rPr>
      <t xml:space="preserve">بنك </t>
    </r>
    <r>
      <rPr>
        <sz val="11"/>
        <color theme="1"/>
        <rFont val="Calibri"/>
        <family val="2"/>
        <charset val="1"/>
      </rPr>
      <t>- Bank</t>
    </r>
  </si>
  <si>
    <r>
      <rPr>
        <sz val="11"/>
        <color theme="1"/>
        <rFont val="FreeSans"/>
        <family val="2"/>
      </rPr>
      <t xml:space="preserve">اجازة </t>
    </r>
    <r>
      <rPr>
        <sz val="11"/>
        <color theme="1"/>
        <rFont val="Calibri"/>
        <family val="2"/>
        <charset val="1"/>
      </rPr>
      <t>- Vacation</t>
    </r>
  </si>
  <si>
    <r>
      <rPr>
        <sz val="11"/>
        <color theme="1"/>
        <rFont val="FreeSans"/>
        <family val="2"/>
      </rPr>
      <t xml:space="preserve">خصم </t>
    </r>
    <r>
      <rPr>
        <sz val="11"/>
        <color theme="1"/>
        <rFont val="Calibri"/>
        <family val="2"/>
        <charset val="1"/>
      </rPr>
      <t>- Deduction</t>
    </r>
  </si>
  <si>
    <t>CON_D03</t>
  </si>
  <si>
    <t>الإنشاءات</t>
  </si>
  <si>
    <r>
      <rPr>
        <sz val="11"/>
        <color theme="1"/>
        <rFont val="FreeSans"/>
        <family val="2"/>
      </rPr>
      <t xml:space="preserve">فودافون </t>
    </r>
    <r>
      <rPr>
        <sz val="11"/>
        <color theme="1"/>
        <rFont val="Calibri"/>
        <family val="2"/>
        <charset val="1"/>
      </rPr>
      <t>- Vodafone</t>
    </r>
  </si>
  <si>
    <r>
      <rPr>
        <sz val="11"/>
        <color theme="1"/>
        <rFont val="FreeSans"/>
        <family val="2"/>
      </rPr>
      <t xml:space="preserve">استقالة </t>
    </r>
    <r>
      <rPr>
        <sz val="11"/>
        <color theme="1"/>
        <rFont val="Calibri"/>
        <family val="2"/>
        <charset val="1"/>
      </rPr>
      <t>- Resigned</t>
    </r>
  </si>
  <si>
    <r>
      <rPr>
        <sz val="11"/>
        <color theme="1"/>
        <rFont val="FreeSans"/>
        <family val="2"/>
      </rPr>
      <t xml:space="preserve">بونص </t>
    </r>
    <r>
      <rPr>
        <sz val="11"/>
        <color theme="1"/>
        <rFont val="Calibri"/>
        <family val="2"/>
        <charset val="1"/>
      </rPr>
      <t>- Bonus</t>
    </r>
  </si>
  <si>
    <t>ELE_D04</t>
  </si>
  <si>
    <t>الكهرباء</t>
  </si>
  <si>
    <r>
      <rPr>
        <sz val="11"/>
        <color theme="1"/>
        <rFont val="FreeSans"/>
        <family val="2"/>
      </rPr>
      <t xml:space="preserve">اجازة مرضية </t>
    </r>
    <r>
      <rPr>
        <sz val="11"/>
        <color theme="1"/>
        <rFont val="Calibri"/>
        <family val="2"/>
        <charset val="1"/>
      </rPr>
      <t>- Sick Leave</t>
    </r>
  </si>
  <si>
    <r>
      <rPr>
        <sz val="11"/>
        <color theme="1"/>
        <rFont val="FreeSans"/>
        <family val="2"/>
      </rPr>
      <t xml:space="preserve">زيادة </t>
    </r>
    <r>
      <rPr>
        <sz val="11"/>
        <color theme="1"/>
        <rFont val="Calibri"/>
        <family val="2"/>
        <charset val="1"/>
      </rPr>
      <t>- Addition</t>
    </r>
  </si>
  <si>
    <t>PLM_D05</t>
  </si>
  <si>
    <t>السباكة</t>
  </si>
  <si>
    <t>STN_D06</t>
  </si>
  <si>
    <t>الحجر</t>
  </si>
  <si>
    <t>ALU_D07</t>
  </si>
  <si>
    <t>الألمنيوم</t>
  </si>
  <si>
    <t>EQP_D08</t>
  </si>
  <si>
    <t>المعدات</t>
  </si>
  <si>
    <t>CRP_D09</t>
  </si>
  <si>
    <t>النجارة</t>
  </si>
  <si>
    <t>PTG_D10</t>
  </si>
  <si>
    <t>الدهانات</t>
  </si>
  <si>
    <r>
      <rPr>
        <b/>
        <sz val="13"/>
        <color rgb="FFFFFFFF"/>
        <rFont val="Calibri"/>
        <family val="2"/>
      </rPr>
      <t xml:space="preserve">📋  Departments – </t>
    </r>
    <r>
      <rPr>
        <b/>
        <sz val="13"/>
        <color rgb="FFFFFFFF"/>
        <rFont val="FreeSans"/>
        <family val="2"/>
      </rPr>
      <t>جدول الأقسام</t>
    </r>
  </si>
  <si>
    <t>#</t>
  </si>
  <si>
    <r>
      <rPr>
        <b/>
        <sz val="13"/>
        <color rgb="FFFFFFFF"/>
        <rFont val="Calibri"/>
        <family val="2"/>
      </rPr>
      <t xml:space="preserve">🏗️  Projects – </t>
    </r>
    <r>
      <rPr>
        <b/>
        <sz val="13"/>
        <color rgb="FFFFFFFF"/>
        <rFont val="FreeSans"/>
        <family val="2"/>
      </rPr>
      <t>سجل المشاريع</t>
    </r>
  </si>
  <si>
    <t>🔑 Key Info</t>
  </si>
  <si>
    <t>👤 Personal Info</t>
  </si>
  <si>
    <t>💼 Employment</t>
  </si>
  <si>
    <t>💰 Salary</t>
  </si>
  <si>
    <t>⏱ Hour Rates</t>
  </si>
  <si>
    <t>📊 Role</t>
  </si>
  <si>
    <t>299010001</t>
  </si>
  <si>
    <t>Supervisor</t>
  </si>
  <si>
    <t>299010002</t>
  </si>
  <si>
    <t>01/03/2023</t>
  </si>
  <si>
    <t>299010003</t>
  </si>
  <si>
    <t>15/04/2023</t>
  </si>
  <si>
    <t>299010101</t>
  </si>
  <si>
    <t>01/05/2023</t>
  </si>
  <si>
    <t>299010202</t>
  </si>
  <si>
    <t>01/06/2023</t>
  </si>
  <si>
    <t>299010303</t>
  </si>
  <si>
    <t>سباك</t>
  </si>
  <si>
    <t>10/07/2023</t>
  </si>
  <si>
    <t>299010404</t>
  </si>
  <si>
    <t>عامل</t>
  </si>
  <si>
    <t>01/08/2023</t>
  </si>
  <si>
    <t>299010505</t>
  </si>
  <si>
    <t>01/09/2023</t>
  </si>
  <si>
    <t>ياسر كمال</t>
  </si>
  <si>
    <t>299010606</t>
  </si>
  <si>
    <t>كهربائي</t>
  </si>
  <si>
    <t>15/01/2024</t>
  </si>
  <si>
    <t>299010707</t>
  </si>
  <si>
    <t>01/02/2024</t>
  </si>
  <si>
    <r>
      <rPr>
        <b/>
        <sz val="13"/>
        <color rgb="FFFFFFFF"/>
        <rFont val="Calibri"/>
        <family val="2"/>
      </rPr>
      <t xml:space="preserve">📅  Daily Work Log – </t>
    </r>
    <r>
      <rPr>
        <b/>
        <sz val="13"/>
        <color rgb="FFFFFFFF"/>
        <rFont val="FreeSans"/>
        <family val="2"/>
      </rPr>
      <t>سجل العمل اليومي</t>
    </r>
  </si>
  <si>
    <t>#
#</t>
  </si>
  <si>
    <r>
      <rPr>
        <b/>
        <sz val="13"/>
        <color rgb="FFFFFFFF"/>
        <rFont val="Calibri"/>
        <family val="2"/>
      </rPr>
      <t xml:space="preserve">💳  Transactions – </t>
    </r>
    <r>
      <rPr>
        <b/>
        <sz val="13"/>
        <color rgb="FFFFFFFF"/>
        <rFont val="FreeSans"/>
        <family val="2"/>
      </rPr>
      <t xml:space="preserve">الحركات المالية </t>
    </r>
    <r>
      <rPr>
        <b/>
        <sz val="13"/>
        <color rgb="FFFFFFFF"/>
        <rFont val="Calibri"/>
        <family val="2"/>
      </rPr>
      <t>(</t>
    </r>
    <r>
      <rPr>
        <b/>
        <sz val="13"/>
        <color rgb="FFFFFFFF"/>
        <rFont val="FreeSans"/>
        <family val="2"/>
      </rPr>
      <t xml:space="preserve">سلف </t>
    </r>
    <r>
      <rPr>
        <b/>
        <sz val="13"/>
        <color rgb="FFFFFFFF"/>
        <rFont val="Calibri"/>
        <family val="2"/>
      </rPr>
      <t xml:space="preserve">/ </t>
    </r>
    <r>
      <rPr>
        <b/>
        <sz val="13"/>
        <color rgb="FFFFFFFF"/>
        <rFont val="FreeSans"/>
        <family val="2"/>
      </rPr>
      <t xml:space="preserve">خصم </t>
    </r>
    <r>
      <rPr>
        <b/>
        <sz val="13"/>
        <color rgb="FFFFFFFF"/>
        <rFont val="Calibri"/>
        <family val="2"/>
      </rPr>
      <t xml:space="preserve">/ </t>
    </r>
    <r>
      <rPr>
        <b/>
        <sz val="13"/>
        <color rgb="FFFFFFFF"/>
        <rFont val="FreeSans"/>
        <family val="2"/>
      </rPr>
      <t>بونص</t>
    </r>
    <r>
      <rPr>
        <b/>
        <sz val="13"/>
        <color rgb="FFFFFFFF"/>
        <rFont val="Calibri"/>
        <family val="2"/>
      </rPr>
      <t>)</t>
    </r>
  </si>
  <si>
    <t>TRN-001</t>
  </si>
  <si>
    <t>TRN-002</t>
  </si>
  <si>
    <t>TRN-004</t>
  </si>
  <si>
    <t>م</t>
  </si>
  <si>
    <t>كود القسم</t>
  </si>
  <si>
    <t>ملاحظات</t>
  </si>
  <si>
    <t>القسم</t>
  </si>
  <si>
    <t>Emp_ID</t>
  </si>
  <si>
    <t>Department</t>
  </si>
  <si>
    <t>Supervisor_Name</t>
  </si>
  <si>
    <t>Name_AR</t>
  </si>
  <si>
    <t>Name_EN</t>
  </si>
  <si>
    <t>National_ID</t>
  </si>
  <si>
    <t>Employee_Code</t>
  </si>
  <si>
    <t>Supervisor_ID</t>
  </si>
  <si>
    <t xml:space="preserve">هدخل الداتا بتاعت كل مشرف اسمه وشغال في أي مشروع و ID هيتسحب Auto من ملف الموظفين </t>
  </si>
  <si>
    <t>Job_Title</t>
  </si>
  <si>
    <t>O193</t>
  </si>
  <si>
    <t>O197</t>
  </si>
  <si>
    <t>O213</t>
  </si>
  <si>
    <t>O106</t>
  </si>
  <si>
    <t>O249</t>
  </si>
  <si>
    <t>O252</t>
  </si>
  <si>
    <t>O256</t>
  </si>
  <si>
    <t>O90</t>
  </si>
  <si>
    <t>O212</t>
  </si>
  <si>
    <t>O124</t>
  </si>
  <si>
    <t>O194</t>
  </si>
  <si>
    <t>O245</t>
  </si>
  <si>
    <t>O310</t>
  </si>
  <si>
    <t>O308</t>
  </si>
  <si>
    <t>O312</t>
  </si>
  <si>
    <t>O313</t>
  </si>
  <si>
    <t>O163</t>
  </si>
  <si>
    <t>O187</t>
  </si>
  <si>
    <t>O204</t>
  </si>
  <si>
    <t>O207</t>
  </si>
  <si>
    <t>O205</t>
  </si>
  <si>
    <t>O208</t>
  </si>
  <si>
    <t>O316</t>
  </si>
  <si>
    <t>O317</t>
  </si>
  <si>
    <t>O332</t>
  </si>
  <si>
    <t>O341</t>
  </si>
  <si>
    <t>O48</t>
  </si>
  <si>
    <t>O77</t>
  </si>
  <si>
    <t>O138</t>
  </si>
  <si>
    <t>O186</t>
  </si>
  <si>
    <t>O227</t>
  </si>
  <si>
    <t xml:space="preserve">صباغ </t>
  </si>
  <si>
    <t>سائق</t>
  </si>
  <si>
    <t>فنى</t>
  </si>
  <si>
    <t>معلم جبس بورد</t>
  </si>
  <si>
    <t>فني تشييك</t>
  </si>
  <si>
    <t>فني جبس</t>
  </si>
  <si>
    <t>مساعد صباغ</t>
  </si>
  <si>
    <t>عامل مساعد</t>
  </si>
  <si>
    <t>معلم بلاستر</t>
  </si>
  <si>
    <t>مساعد بلاستر</t>
  </si>
  <si>
    <t xml:space="preserve">معلم  تشطيب </t>
  </si>
  <si>
    <t>معلم بلاط</t>
  </si>
  <si>
    <t xml:space="preserve">عامل تشطيب </t>
  </si>
  <si>
    <t>ناطور</t>
  </si>
  <si>
    <t>عامل عزل</t>
  </si>
  <si>
    <t>فنى بلايستر</t>
  </si>
  <si>
    <t>بناء طابوق</t>
  </si>
  <si>
    <t>مساعد بلاط</t>
  </si>
  <si>
    <t>فني عزل</t>
  </si>
  <si>
    <t>فني بلاستر</t>
  </si>
  <si>
    <t>عامل الثرى دى</t>
  </si>
  <si>
    <t>فورمان</t>
  </si>
  <si>
    <t>سائق بوكت</t>
  </si>
  <si>
    <t>مساعد كهربائي</t>
  </si>
  <si>
    <t>مساعد سباك</t>
  </si>
  <si>
    <t>Emp_Status</t>
  </si>
  <si>
    <t>Project_ID</t>
  </si>
  <si>
    <t>Supervisor_For Dept</t>
  </si>
  <si>
    <t>Notes</t>
  </si>
  <si>
    <t>Nationality</t>
  </si>
  <si>
    <t>Join_Date</t>
  </si>
  <si>
    <t>Basic_Salary</t>
  </si>
  <si>
    <t>Living_Allowance</t>
  </si>
  <si>
    <t>OT_Hr_Rate</t>
  </si>
  <si>
    <t>مشرف القسم</t>
  </si>
  <si>
    <t>موظفين القسم</t>
  </si>
  <si>
    <t>خصم - Deduction</t>
  </si>
  <si>
    <t>بونص - Bonus</t>
  </si>
  <si>
    <t>زيادة - Addition</t>
  </si>
  <si>
    <t>Reasons</t>
  </si>
  <si>
    <t>كل الأقسام</t>
  </si>
  <si>
    <t>O183</t>
  </si>
  <si>
    <t>محمد عمران انصاري</t>
  </si>
  <si>
    <t>O287</t>
  </si>
  <si>
    <t>علاء الدين مسلمان</t>
  </si>
  <si>
    <t>O289</t>
  </si>
  <si>
    <t>مقصود انصاري</t>
  </si>
  <si>
    <t>ﺑﻮﺟﻨﺎﻥ ﻛﻮﺭﻣﺎ</t>
  </si>
  <si>
    <t>ارون كومار ساه</t>
  </si>
  <si>
    <t>ايمامول انصاري</t>
  </si>
  <si>
    <t>ﺟﻮﺟﺎﻧﻨﺪﺍ ﺳﺮﺩﺍﺭ ﺑﺎﺗﺮ</t>
  </si>
  <si>
    <t>ﺻﺪﺍﻡ ﺣﺴﻴﻦ</t>
  </si>
  <si>
    <t>ﻣﺪ ﺟﻠﺪﻳﻦ ﻣﻴﺎ</t>
  </si>
  <si>
    <t>ﻧﺎﺻﺮ ﺣسين</t>
  </si>
  <si>
    <t>ﻟﻴﻞ ﺑﻬﺎﺩﻭﺭ ﺑﻴﺸﻮﻛﺎﺭﻣﺎ</t>
  </si>
  <si>
    <t>ﺳﺎﻣﺴﺎﺩ ﺍﻧﺼﺎﺭي</t>
  </si>
  <si>
    <t>ﺷﺎﻛﻴﻞ ﺑﻜﺎﻟﻪ</t>
  </si>
  <si>
    <t>ﻋﻄﺎﺑﻞ ﺍﻧﺼﺎﺭي</t>
  </si>
  <si>
    <t>ﺣﺴﻴﻦ ﻣﺤﻤﺪ</t>
  </si>
  <si>
    <t>ﻣﻤﺘﺎﺯ ﻣﺎﻳﺎ</t>
  </si>
  <si>
    <t>ﺟﺎﺑﻴﺶ ﺷﺎﺭﻣﺎ ﺷﻴﻔﺠﻲ ﺷﺎﺭﻣﺎ</t>
  </si>
  <si>
    <t>ﺭﺍﺟﻴﺶ ﻛﻮﻣﺎﺭ ﺷﻬﺎﻥ</t>
  </si>
  <si>
    <t>جمال انصاري</t>
  </si>
  <si>
    <t>ميراجول انصاري</t>
  </si>
  <si>
    <t>فينود ياداف</t>
  </si>
  <si>
    <t>الأمير ميان</t>
  </si>
  <si>
    <t>O162</t>
  </si>
  <si>
    <t>يرافن انصاري</t>
  </si>
  <si>
    <t>O52</t>
  </si>
  <si>
    <t>شميم انصاري</t>
  </si>
  <si>
    <t>O60</t>
  </si>
  <si>
    <t>محمد اكبر صافي</t>
  </si>
  <si>
    <t>ﺍﻟﺠﻴﺐ ﺍﻧﺼﺎﺭي ﻣﺠﻴﺪ ﺍﻧﺼﺎﺭي</t>
  </si>
  <si>
    <t>ﻫﺎﺭﻳﻨﺪﺭﺍ ﻣﻮﻛﻬﻴﺎ</t>
  </si>
  <si>
    <t>ﺷﺎﺗﺮﺩﻫﺎﻥ ﻣﺎﻫﺎﺭﺍ</t>
  </si>
  <si>
    <t>ﻛﺎﺟﻞ ﺷﻴﺦ ﺩﺍﻭﺩ ﺷﻴﺦ</t>
  </si>
  <si>
    <t>ﺳﺎﺕ ﺑﻞ ﻣﻴﻠﻮ ﺭﺍﻡ</t>
  </si>
  <si>
    <t>ﺭﺣﻴﻢ ﺑﺎﺷﺎ ﻗﻄﻮﺑﺪﻱ</t>
  </si>
  <si>
    <t>ﺑﻴﺮﻳﻨﺪﺭﺍ ﻛﻮﻣﺎﺭ ﺑﻮﻫﺎﺭﺍ</t>
  </si>
  <si>
    <t>ﻧﺸﺎﺩ ﻋﺒﺪ ﺣﺴﻴﻦ</t>
  </si>
  <si>
    <t>ماهندرا ماهارا</t>
  </si>
  <si>
    <t>ايندال يادالا</t>
  </si>
  <si>
    <t>بركاش باسمان</t>
  </si>
  <si>
    <t>دانيش شودهاري</t>
  </si>
  <si>
    <t>لابان انينجوكير</t>
  </si>
  <si>
    <t>موهادف موكايا</t>
  </si>
  <si>
    <t>سانتوش كومار ساكور</t>
  </si>
  <si>
    <t>براديب ماهارا</t>
  </si>
  <si>
    <t>سوندار موكهيا</t>
  </si>
  <si>
    <t>سيباش كاتهيت</t>
  </si>
  <si>
    <t>اندرجيت سينج</t>
  </si>
  <si>
    <t>بارويج علم مسلم ميا</t>
  </si>
  <si>
    <t>مانجيب باسمان</t>
  </si>
  <si>
    <t>رام نيواس قاهر</t>
  </si>
  <si>
    <t>كاسندرا ماندال دهانوك</t>
  </si>
  <si>
    <t xml:space="preserve">هيرا لال باسي </t>
  </si>
  <si>
    <t xml:space="preserve">رام شاندر باسي </t>
  </si>
  <si>
    <t xml:space="preserve">دهان براساد كركي </t>
  </si>
  <si>
    <t>شهادات حسين منير الاسالام</t>
  </si>
  <si>
    <t>ابران انصاري</t>
  </si>
  <si>
    <t xml:space="preserve">راجانا تشيكالا تشيكالا </t>
  </si>
  <si>
    <t>كمال انصاري حبيب انصاري</t>
  </si>
  <si>
    <t>راتنا بهادور ليمبو</t>
  </si>
  <si>
    <t>O201</t>
  </si>
  <si>
    <t>محمد ياسين تورب علي</t>
  </si>
  <si>
    <t>O229</t>
  </si>
  <si>
    <t>محمد سهيل محمد سليم</t>
  </si>
  <si>
    <t>O231</t>
  </si>
  <si>
    <t>محمد عشيقور الرحمن</t>
  </si>
  <si>
    <t>O263</t>
  </si>
  <si>
    <t>سعيد عبدالحافظ محمد عيد</t>
  </si>
  <si>
    <t>O268</t>
  </si>
  <si>
    <t>لطفور رحمن مجيبر رحمن</t>
  </si>
  <si>
    <t>O276</t>
  </si>
  <si>
    <t>محمد عبدل مياه</t>
  </si>
  <si>
    <t>O285</t>
  </si>
  <si>
    <t>ارساد احمد فقير</t>
  </si>
  <si>
    <t>O36</t>
  </si>
  <si>
    <t>ارشاد انصاري</t>
  </si>
  <si>
    <t>O61</t>
  </si>
  <si>
    <t>عبدالحكيم رستم انصاري</t>
  </si>
  <si>
    <t>ﺷﻤﺸﻴﺮ ﻋﺎﻟﻢ ﺍﻧﺼﺎﺭﻱ</t>
  </si>
  <si>
    <t xml:space="preserve">راشيل باسي </t>
  </si>
  <si>
    <t>O175</t>
  </si>
  <si>
    <t>انوار انصاري رحيم انصاري</t>
  </si>
  <si>
    <t>O180</t>
  </si>
  <si>
    <t>جسير انصاري</t>
  </si>
  <si>
    <t>B2</t>
  </si>
  <si>
    <t>ميلان ادهيكاري</t>
  </si>
  <si>
    <t>O133</t>
  </si>
  <si>
    <t>فيتسوم كيداني ديستا</t>
  </si>
  <si>
    <t xml:space="preserve">محمد نظام الدين عبد المنان </t>
  </si>
  <si>
    <t>O171</t>
  </si>
  <si>
    <t>عماد إبراهيم محمد بعزق</t>
  </si>
  <si>
    <t>ﻇﻔﺮ ﻣﻴﺎﻩ</t>
  </si>
  <si>
    <t>ﺟﺎﻫﺮ ﺣﺴﻴﻦ</t>
  </si>
  <si>
    <t>رام بهادور كاركي</t>
  </si>
  <si>
    <t>السيد احمد السيد محمد علي</t>
  </si>
  <si>
    <t>ﺳﺎﻫﺎﺑﻮﺩﻳﻦ ﻣﻴﺎﻩ ﺭﺍكي</t>
  </si>
  <si>
    <t>محمد غازي إسماعيل</t>
  </si>
  <si>
    <t>محمد امجد حسين</t>
  </si>
  <si>
    <t>شاهجاد صديق عباس علي</t>
  </si>
  <si>
    <t xml:space="preserve"> تفضل حسين ولي ميا</t>
  </si>
  <si>
    <t>اختر ميا علي مياه</t>
  </si>
  <si>
    <t>برودوس مكهاما</t>
  </si>
  <si>
    <t>علي بومبا</t>
  </si>
  <si>
    <t>O303</t>
  </si>
  <si>
    <t>سيلو ميكالا ميكالا ملائياه</t>
  </si>
  <si>
    <t>محمد تنجيل حسين</t>
  </si>
  <si>
    <t>اجناس ناداثالاكال</t>
  </si>
  <si>
    <t>O306</t>
  </si>
  <si>
    <t>محمد نزام عرفان علي</t>
  </si>
  <si>
    <t>شاكر بهارو بودها</t>
  </si>
  <si>
    <t>ﻓﻴﺼﻞ ﺟﻤﻴﻞ ﺳﻠﻴﻤﺎﻥ ﻟﻴﺒﻲ</t>
  </si>
  <si>
    <t>ﺟﻮﺩﻭ ﺍﻧﺼﺎﺭﻱ</t>
  </si>
  <si>
    <t>ﺻﺎﺑﺮ ﻣﻴﺎﻩ ﺿﺎﻫﻴﺮﻱ</t>
  </si>
  <si>
    <t>جانيز زيموانجاز</t>
  </si>
  <si>
    <t>بير بهادور بيستا</t>
  </si>
  <si>
    <t>رام موخايا</t>
  </si>
  <si>
    <t>اشيش موخيا</t>
  </si>
  <si>
    <t>نصير الدين انصاري</t>
  </si>
  <si>
    <t>O131</t>
  </si>
  <si>
    <t>ابدولجيل محمد باتا</t>
  </si>
  <si>
    <t>O203</t>
  </si>
  <si>
    <t>راسل خان مسلم خان</t>
  </si>
  <si>
    <t>O218</t>
  </si>
  <si>
    <t>ابيباو شير ديقو</t>
  </si>
  <si>
    <t>O234</t>
  </si>
  <si>
    <t>زياد محمد عبد الكريم</t>
  </si>
  <si>
    <t>O266</t>
  </si>
  <si>
    <t>سهيل رانا يار محمد</t>
  </si>
  <si>
    <t>O272</t>
  </si>
  <si>
    <t>جاود محمد باتو</t>
  </si>
  <si>
    <t>O277</t>
  </si>
  <si>
    <t>عمران الإسلام عباس الدين</t>
  </si>
  <si>
    <t>O291</t>
  </si>
  <si>
    <t>يكاتو اندغني مولوغيتا</t>
  </si>
  <si>
    <t>O293</t>
  </si>
  <si>
    <t>ناندالان باسوان</t>
  </si>
  <si>
    <t>ﻣﺤﻤﺪ ﺷﻬﻴﺪ ﺍﻻﺳﻼﺍﻡ</t>
  </si>
  <si>
    <t>ﺍﻧﻌﺎﻡ ﺍﻟﺤﻖ ﻭﻟﻲ ﺍﻫﺎﻧﺞ</t>
  </si>
  <si>
    <t>O298</t>
  </si>
  <si>
    <t>جوس علي نيجاو</t>
  </si>
  <si>
    <t>O301</t>
  </si>
  <si>
    <t>زين العبدين ناصر احمد</t>
  </si>
  <si>
    <t>O305</t>
  </si>
  <si>
    <t>محمد سهيل ابول حسين</t>
  </si>
  <si>
    <t>O315</t>
  </si>
  <si>
    <t>محمد يوسف</t>
  </si>
  <si>
    <t>O206</t>
  </si>
  <si>
    <t>سليم صهيب خان</t>
  </si>
  <si>
    <t>شاندرا باهداور بالمي</t>
  </si>
  <si>
    <t>O296</t>
  </si>
  <si>
    <t>جمشيد انصاري</t>
  </si>
  <si>
    <t>O295</t>
  </si>
  <si>
    <t>محمد سيومن</t>
  </si>
  <si>
    <t>O299</t>
  </si>
  <si>
    <t>محمد عشيق الرحمن</t>
  </si>
  <si>
    <t xml:space="preserve">سيراج مياه </t>
  </si>
  <si>
    <t>ﺷﻬﺎﻡ ﻣﺎﻫﺎﺭﺍ</t>
  </si>
  <si>
    <t>ﺑﺴﻴﺮ ﻣﻴﻪ</t>
  </si>
  <si>
    <t xml:space="preserve">ديلايب موكهيا </t>
  </si>
  <si>
    <t>O319</t>
  </si>
  <si>
    <t>صدام انصاري</t>
  </si>
  <si>
    <t>O320</t>
  </si>
  <si>
    <t>امام الدين مسلمان</t>
  </si>
  <si>
    <t>O323</t>
  </si>
  <si>
    <t>حامد ماه صافي</t>
  </si>
  <si>
    <t>O324</t>
  </si>
  <si>
    <t>بوتوشو جندي إبراهيم</t>
  </si>
  <si>
    <t>O325</t>
  </si>
  <si>
    <t>فامي يونوص يوسوف</t>
  </si>
  <si>
    <t>O326</t>
  </si>
  <si>
    <t>دين سراج محمد</t>
  </si>
  <si>
    <t>O327</t>
  </si>
  <si>
    <t>ناصر الدين ناصر محمد</t>
  </si>
  <si>
    <t>O328</t>
  </si>
  <si>
    <t>محمد جمال محمد</t>
  </si>
  <si>
    <t>O329</t>
  </si>
  <si>
    <t>عمر مصباح عمر</t>
  </si>
  <si>
    <t>O330</t>
  </si>
  <si>
    <t>ناصر شمس الدين سولو</t>
  </si>
  <si>
    <t xml:space="preserve">شك بدري الم </t>
  </si>
  <si>
    <t>o338</t>
  </si>
  <si>
    <t>o339</t>
  </si>
  <si>
    <t xml:space="preserve">رقيب ميزباو قادري </t>
  </si>
  <si>
    <t>o334</t>
  </si>
  <si>
    <t>o335</t>
  </si>
  <si>
    <t>o337</t>
  </si>
  <si>
    <t>o336</t>
  </si>
  <si>
    <t>Department_ID</t>
  </si>
  <si>
    <t xml:space="preserve">الإدارة </t>
  </si>
  <si>
    <t>Client_Name</t>
  </si>
  <si>
    <t>Contact_Number</t>
  </si>
  <si>
    <t>Client_Sales</t>
  </si>
  <si>
    <t>Location</t>
  </si>
  <si>
    <t>Other_Allowance</t>
  </si>
  <si>
    <t>Grade</t>
  </si>
  <si>
    <t>Month</t>
  </si>
  <si>
    <t>Day</t>
  </si>
  <si>
    <t>Year</t>
  </si>
  <si>
    <t>Q_ID_Expire_Date</t>
  </si>
  <si>
    <t>Transport_Allowance</t>
  </si>
  <si>
    <t>بيانات الكفالة</t>
  </si>
  <si>
    <t>Employee_ID</t>
  </si>
  <si>
    <t>All_D11</t>
  </si>
  <si>
    <t>D13</t>
  </si>
  <si>
    <t>D14</t>
  </si>
  <si>
    <t>D15</t>
  </si>
  <si>
    <t>Dept_Name_EN</t>
  </si>
  <si>
    <t>اسم القسم بالعربي</t>
  </si>
  <si>
    <t>اسم القسم بالانجليزي</t>
  </si>
  <si>
    <t>Department_EN</t>
  </si>
  <si>
    <t>Name_of_sponsorship_company</t>
  </si>
  <si>
    <t>sponsorship</t>
  </si>
  <si>
    <t>Sponser</t>
  </si>
  <si>
    <t>Company</t>
  </si>
  <si>
    <t>كفالة-Sponsership</t>
  </si>
  <si>
    <t>غير كفالة-NoSponsership</t>
  </si>
  <si>
    <t>كود المشروع</t>
  </si>
  <si>
    <t>اسم المشروع</t>
  </si>
  <si>
    <t>الموقع</t>
  </si>
  <si>
    <t>تاريخ الانتهاء</t>
  </si>
  <si>
    <t>تاريخ البدء</t>
  </si>
  <si>
    <t>الحالة</t>
  </si>
  <si>
    <t>اسم العميل</t>
  </si>
  <si>
    <t>رقم الموبايل</t>
  </si>
  <si>
    <t>Project_Name</t>
  </si>
  <si>
    <t>Start_Date</t>
  </si>
  <si>
    <t>End_Date</t>
  </si>
  <si>
    <t>Administration</t>
  </si>
  <si>
    <t>Finishes</t>
  </si>
  <si>
    <t>Construction</t>
  </si>
  <si>
    <t>electricity</t>
  </si>
  <si>
    <t>Plumbing</t>
  </si>
  <si>
    <t>Stone</t>
  </si>
  <si>
    <t>aluminum</t>
  </si>
  <si>
    <t>Equipment</t>
  </si>
  <si>
    <t>Carpentry</t>
  </si>
  <si>
    <t>paints</t>
  </si>
  <si>
    <t>All sections</t>
  </si>
  <si>
    <r>
      <t xml:space="preserve">📌 فلتر القسم
</t>
    </r>
    <r>
      <rPr>
        <b/>
        <sz val="14"/>
        <color theme="0"/>
        <rFont val="Calibri"/>
        <family val="2"/>
      </rPr>
      <t>Dept Filter</t>
    </r>
  </si>
  <si>
    <t>Date</t>
  </si>
  <si>
    <t>Status_Code</t>
  </si>
  <si>
    <t>vacation - إجازة</t>
  </si>
  <si>
    <t>resignation - استقالة</t>
  </si>
  <si>
    <t>transfer - نقل</t>
  </si>
  <si>
    <t>Outpatients - مرضى خارجي</t>
  </si>
  <si>
    <t>New appointment - تعيين جديد</t>
  </si>
  <si>
    <t>Back to work - عودة للعمل</t>
  </si>
  <si>
    <t>Termination of services - انهاء خدمات</t>
  </si>
  <si>
    <t>works - يعمل</t>
  </si>
  <si>
    <t>W_01</t>
  </si>
  <si>
    <t>V_01</t>
  </si>
  <si>
    <t>R_01</t>
  </si>
  <si>
    <t>T_01</t>
  </si>
  <si>
    <t>O_01</t>
  </si>
  <si>
    <t>N_01</t>
  </si>
  <si>
    <t>B_01</t>
  </si>
  <si>
    <t>TS_01</t>
  </si>
  <si>
    <t>Bank - بنك</t>
  </si>
  <si>
    <t>Vodafone - فودافون</t>
  </si>
  <si>
    <t>cash - نقدا</t>
  </si>
  <si>
    <t>Pay_Code</t>
  </si>
  <si>
    <t>B_0</t>
  </si>
  <si>
    <t>C_0</t>
  </si>
  <si>
    <t>V_0</t>
  </si>
  <si>
    <t>مشرف_موقع</t>
  </si>
  <si>
    <t>الشهر</t>
  </si>
  <si>
    <t>اسم الموظف بالعربي</t>
  </si>
  <si>
    <t>اسم الموظف بالانجليزي</t>
  </si>
  <si>
    <t>كود الموظف</t>
  </si>
  <si>
    <t>المشرف</t>
  </si>
  <si>
    <t>عدد أيام العمل</t>
  </si>
  <si>
    <t>Days_Work</t>
  </si>
  <si>
    <t>Normal_Hrs</t>
  </si>
  <si>
    <t>ساعات عادية</t>
  </si>
  <si>
    <t>OT_Hrs</t>
  </si>
  <si>
    <t>ساعات إضافية</t>
  </si>
  <si>
    <t>حالة الموظف</t>
  </si>
  <si>
    <t>Normal_Cost</t>
  </si>
  <si>
    <t>تكلفة عادية</t>
  </si>
  <si>
    <t>OT_Cost</t>
  </si>
  <si>
    <t>تكلفة الوقت الإضافي</t>
  </si>
  <si>
    <t>Muhammad Imran Ansari</t>
  </si>
  <si>
    <t>Aladdin Muslim</t>
  </si>
  <si>
    <t>Maqsood Ansari</t>
  </si>
  <si>
    <t>Bojnan Korma</t>
  </si>
  <si>
    <t>Arun Kumar Sah</t>
  </si>
  <si>
    <t>Emamol Ansari</t>
  </si>
  <si>
    <t>Jojananda Sardar Patar</t>
  </si>
  <si>
    <t>Saddam Hussein</t>
  </si>
  <si>
    <t>Extend two skins, Mia</t>
  </si>
  <si>
    <t>Nasser Hussein</t>
  </si>
  <si>
    <t>Lil Bhadur Bishokarma</t>
  </si>
  <si>
    <t>Samsad Ansari</t>
  </si>
  <si>
    <t>Shakil Bakale</t>
  </si>
  <si>
    <t>Atabil Ansari</t>
  </si>
  <si>
    <t>Hussein Mohammed</t>
  </si>
  <si>
    <t>Excellent, Maya</t>
  </si>
  <si>
    <t>Jabesh Sharma Shivji Sharma</t>
  </si>
  <si>
    <t>Rajesh Kumar Shahan</t>
  </si>
  <si>
    <t>Jamal Ansari</t>
  </si>
  <si>
    <t>Mirajul Ansari</t>
  </si>
  <si>
    <t>Vinod Yadav</t>
  </si>
  <si>
    <t>Prince Mian</t>
  </si>
  <si>
    <t>Yaraven Ansari</t>
  </si>
  <si>
    <t>Shamim Ansari</t>
  </si>
  <si>
    <t>Muhammad Akbar Safi</t>
  </si>
  <si>
    <t>The pocket of Ansari Majid Ansari</t>
  </si>
  <si>
    <t>Harendra Mukhiya</t>
  </si>
  <si>
    <t>Chatardhan Mahara</t>
  </si>
  <si>
    <t>Kajal Sheikh Dawood Sheikh</t>
  </si>
  <si>
    <t>Sat Bell Milo Ram</t>
  </si>
  <si>
    <t>Rahim Pasha Qutubdi</t>
  </si>
  <si>
    <t>Birendra Kumar Bhohara</t>
  </si>
  <si>
    <t>Nashhad Abdel Hussein</t>
  </si>
  <si>
    <t>Mahendra Mahara</t>
  </si>
  <si>
    <t>Indal Yadala</t>
  </si>
  <si>
    <t>Prakash Basman</t>
  </si>
  <si>
    <t>Danish Choudhary</t>
  </si>
  <si>
    <t>Laban Aningokir</t>
  </si>
  <si>
    <t>Mohadaf Mukaya</t>
  </si>
  <si>
    <t>Santosh Kumar Sakur</t>
  </si>
  <si>
    <t>Pradeep Mahara</t>
  </si>
  <si>
    <t>Sundar Mukhia</t>
  </si>
  <si>
    <t>Sebash Kathiet</t>
  </si>
  <si>
    <t>Anderjit Singh</t>
  </si>
  <si>
    <t>Barwij, Muslim scholar Mia</t>
  </si>
  <si>
    <t>Manjeeb Basman</t>
  </si>
  <si>
    <t>Ram Niwas Qahir</t>
  </si>
  <si>
    <t>Cassandra Mandal Dahanock</t>
  </si>
  <si>
    <t>Hera Lal Bassi</t>
  </si>
  <si>
    <t>Ram Chander Basi</t>
  </si>
  <si>
    <t>Dahan Prasad Karki</t>
  </si>
  <si>
    <t>Hussein Munir Al-Islam Certificates</t>
  </si>
  <si>
    <t>Ibran Ansari</t>
  </si>
  <si>
    <t>Rajana Chikala Chikala</t>
  </si>
  <si>
    <t>Kamal Ansari Habib Ansari</t>
  </si>
  <si>
    <t>Ratna Bahadur Limbo</t>
  </si>
  <si>
    <t>Mohammed Yassin Torb Ali</t>
  </si>
  <si>
    <t>Mohammed Suhail Mohammed Salim</t>
  </si>
  <si>
    <t>Muhammad Ashiqur Rahman</t>
  </si>
  <si>
    <t>Saeed Abdul-Hafiz Muhammad Eid</t>
  </si>
  <si>
    <t>Latfur Rahman Mujibir Rahman</t>
  </si>
  <si>
    <t>Mohammed Abdel Miyah</t>
  </si>
  <si>
    <t>Arsad Ahmed Faqir</t>
  </si>
  <si>
    <t>Irshad Ansari</t>
  </si>
  <si>
    <t>Abdul Hakim Rustam Ansari</t>
  </si>
  <si>
    <t>Shamsher, Ansari scholar</t>
  </si>
  <si>
    <t>Rachel Bassey</t>
  </si>
  <si>
    <t>Anwar Ansari Rahim Ansari</t>
  </si>
  <si>
    <t>Jasser Ansari</t>
  </si>
  <si>
    <t>Milan Adhikari</t>
  </si>
  <si>
    <t>Fitsum Kidani Desta</t>
  </si>
  <si>
    <t>Muhammad Nizam al-Din Abd al-Mannan</t>
  </si>
  <si>
    <t>Emad Ibrahim Mohamed Bazq</t>
  </si>
  <si>
    <t>Water nail</t>
  </si>
  <si>
    <t>Jahar Hussein</t>
  </si>
  <si>
    <t>Ram Bahadur Karki</t>
  </si>
  <si>
    <t>Mr. Ahmed El-Sayed Mohamed Ali</t>
  </si>
  <si>
    <t>Sahabudin Miyah Raki</t>
  </si>
  <si>
    <t>Mohammed Ghazi Ismail</t>
  </si>
  <si>
    <t>Mohammed Amjad Hussein</t>
  </si>
  <si>
    <t>Shahjad Sadiq Abbas Ali</t>
  </si>
  <si>
    <t>Hussein Wali Mia</t>
  </si>
  <si>
    <t>Choose Mia over water</t>
  </si>
  <si>
    <t>Brodos McHama</t>
  </si>
  <si>
    <t>Ali Bomba</t>
  </si>
  <si>
    <t>Silo Mikala Mikala Malayah</t>
  </si>
  <si>
    <t>Muhammad Tanjil Hussein</t>
  </si>
  <si>
    <t>Genes Nadathalakal</t>
  </si>
  <si>
    <t>Muhammad Nizam Irfan Ali</t>
  </si>
  <si>
    <t>Shakir Bharu Budha</t>
  </si>
  <si>
    <t>Faisal Jamil Suleiman Libi</t>
  </si>
  <si>
    <t>Godot Ansari</t>
  </si>
  <si>
    <t>Saber Miyah Dhahiri</t>
  </si>
  <si>
    <t>Janice Zimuangaz</t>
  </si>
  <si>
    <t>Bir Bahadur Bista</t>
  </si>
  <si>
    <t>Ram Mukhaya</t>
  </si>
  <si>
    <t>Ashish Mukhia</t>
  </si>
  <si>
    <t>Nasir al-Din Ansari</t>
  </si>
  <si>
    <t>Abdoljil Mohammed Bata</t>
  </si>
  <si>
    <t>Russell Khan Muslim Khan</t>
  </si>
  <si>
    <t>Abebao Sher Dego</t>
  </si>
  <si>
    <t>Ziad Muhammad Abdul Karim</t>
  </si>
  <si>
    <t>Suhail Rana Yar Muhammad</t>
  </si>
  <si>
    <t>Jawad Muhammad Batu</t>
  </si>
  <si>
    <t>Imran al-Islam Abbas al-Din</t>
  </si>
  <si>
    <t>Yekato Andgni Mologita</t>
  </si>
  <si>
    <t>Nandalan Paswan</t>
  </si>
  <si>
    <t>Muhammad Shahid al-Islam</t>
  </si>
  <si>
    <t>In'am Al-Haq Wali Ahanj</t>
  </si>
  <si>
    <t>Jos Ali Nijaw</t>
  </si>
  <si>
    <t>Zain Al-Abidin Nasser Ahmed</t>
  </si>
  <si>
    <t>Muhammad Suhail Abu Hussein</t>
  </si>
  <si>
    <t>Mohammed Youssef</t>
  </si>
  <si>
    <t>Salim Suhaib Khan</t>
  </si>
  <si>
    <t>Chandra Bhadwar Balmi</t>
  </si>
  <si>
    <t>Jamsheed Ansari</t>
  </si>
  <si>
    <t>Mohammed Sioumen</t>
  </si>
  <si>
    <t>Muhammad Ashiq Al-Rahman</t>
  </si>
  <si>
    <t>Siraj water</t>
  </si>
  <si>
    <t>Sheham Mahara</t>
  </si>
  <si>
    <t>Basir Miyah</t>
  </si>
  <si>
    <t>Delayeb Mokhia</t>
  </si>
  <si>
    <t>Saddam Ansari</t>
  </si>
  <si>
    <t>Imam al-Din Muslim</t>
  </si>
  <si>
    <t>Hamed Mah Safi</t>
  </si>
  <si>
    <t>Butushu Jundi Ibrahim</t>
  </si>
  <si>
    <t>Fami Yunus Yusuf</t>
  </si>
  <si>
    <t>Din Siraj Muhammad</t>
  </si>
  <si>
    <t>Nasser al-Din Nasser Muhammad</t>
  </si>
  <si>
    <t>Mohamed Gamal Mohamed</t>
  </si>
  <si>
    <t>Omar Misbah Omar</t>
  </si>
  <si>
    <t>Nasser Shams El-Din Solo</t>
  </si>
  <si>
    <t>Badri doubted the</t>
  </si>
  <si>
    <t>Sergeant Mizbaw Qadri</t>
  </si>
  <si>
    <t>Work_Status</t>
  </si>
  <si>
    <t>Work</t>
  </si>
  <si>
    <t>Absent</t>
  </si>
  <si>
    <t>TRN-005</t>
  </si>
  <si>
    <t>TRN-006</t>
  </si>
  <si>
    <t>TRN-007</t>
  </si>
  <si>
    <t>TRN-008</t>
  </si>
  <si>
    <t>TRN-009</t>
  </si>
  <si>
    <t>TRN-010</t>
  </si>
  <si>
    <t>TRN-011</t>
  </si>
  <si>
    <t>TRN-012</t>
  </si>
  <si>
    <t>TRN-013</t>
  </si>
  <si>
    <t>رقم المعاملة</t>
  </si>
  <si>
    <t>التاريخ</t>
  </si>
  <si>
    <t>النوع</t>
  </si>
  <si>
    <t>السبب</t>
  </si>
  <si>
    <t>المبلغ</t>
  </si>
  <si>
    <t>Trans_ID</t>
  </si>
  <si>
    <t>Type</t>
  </si>
  <si>
    <t>Type_Code</t>
  </si>
  <si>
    <t>Ad_01</t>
  </si>
  <si>
    <t>De_01</t>
  </si>
  <si>
    <t>Bo_01</t>
  </si>
  <si>
    <t>Lo_01</t>
  </si>
  <si>
    <t>سلف - Loans</t>
  </si>
  <si>
    <t>Amount</t>
  </si>
  <si>
    <t>في حالة السلفة (LO_01) يجب إدخال سبب قبل كتابة المبلغ</t>
  </si>
  <si>
    <t>موظفين القسم بشرطروط التلاته</t>
  </si>
  <si>
    <t>يعمل</t>
  </si>
  <si>
    <t xml:space="preserve">عودة للعمل </t>
  </si>
  <si>
    <t>تعيين جديد</t>
  </si>
  <si>
    <t>كل الموظفين في كل الأقسام بحالتهم التلاته</t>
  </si>
  <si>
    <t>Daily_Rate</t>
  </si>
  <si>
    <t>Total_Salary</t>
  </si>
  <si>
    <t>OT_Multiplier</t>
  </si>
  <si>
    <t>Payment_Code</t>
  </si>
  <si>
    <t>Hire_Date</t>
  </si>
  <si>
    <t>Last_Return_Date</t>
  </si>
  <si>
    <t>Employee_Assets</t>
  </si>
  <si>
    <t>Bank_Account_Number</t>
  </si>
  <si>
    <t>Residency_Days_Status</t>
  </si>
  <si>
    <t>المشروع</t>
  </si>
  <si>
    <t>Flag</t>
  </si>
  <si>
    <t>Project_Status</t>
  </si>
  <si>
    <t>جاري - Active</t>
  </si>
  <si>
    <t>مكتمل - Completed</t>
  </si>
  <si>
    <t>متوقف - On Hold</t>
  </si>
  <si>
    <t>Ac_0</t>
  </si>
  <si>
    <t>Co_0</t>
  </si>
  <si>
    <t>OH_0</t>
  </si>
  <si>
    <t>Flag_Status</t>
  </si>
  <si>
    <t>مسؤول_العميل</t>
  </si>
  <si>
    <t xml:space="preserve">كود الموظف </t>
  </si>
  <si>
    <t>القسم بالانجليزي</t>
  </si>
  <si>
    <t>رقم الإقامة</t>
  </si>
  <si>
    <t>تاريج انتهاء الإقامة</t>
  </si>
  <si>
    <t>عدد الأيام من بعد انتهاء الإقامة</t>
  </si>
  <si>
    <t>الجنسية</t>
  </si>
  <si>
    <t>المهنة</t>
  </si>
  <si>
    <t>تاريخ تعيين</t>
  </si>
  <si>
    <t>تاريخ مباشرة العمل</t>
  </si>
  <si>
    <t>تاريخ اخر مباشرة العمل</t>
  </si>
  <si>
    <t>كود الحالة</t>
  </si>
  <si>
    <t>طريقة الدفع</t>
  </si>
  <si>
    <t>كود الدفع</t>
  </si>
  <si>
    <t>رقم حساب البنك</t>
  </si>
  <si>
    <t>عهدة الموظف</t>
  </si>
  <si>
    <t>المرتب الأساسي</t>
  </si>
  <si>
    <t>بدلات المعيشة</t>
  </si>
  <si>
    <t>بدلات المواصلات</t>
  </si>
  <si>
    <t>بدلات أخرى</t>
  </si>
  <si>
    <t>المرتب الكلي</t>
  </si>
  <si>
    <t>معدل اليوم</t>
  </si>
  <si>
    <t>مضروب الوقت الإضافي</t>
  </si>
  <si>
    <t>الدرجة</t>
  </si>
  <si>
    <t>الكفالة</t>
  </si>
  <si>
    <t>اسم شركة الكفيل</t>
  </si>
  <si>
    <t>Hour_Rate</t>
  </si>
  <si>
    <t>معدل الساعة العادية</t>
  </si>
  <si>
    <t>معدل ساعة الوقت الإضافي</t>
  </si>
  <si>
    <t>Net Salary</t>
  </si>
  <si>
    <t>Total Net Salary</t>
  </si>
  <si>
    <t>AVG Salary</t>
  </si>
  <si>
    <t>Avg Salary</t>
  </si>
  <si>
    <t>Employee Count</t>
  </si>
  <si>
    <t>#EMP</t>
  </si>
  <si>
    <t>Total Work Cost</t>
  </si>
  <si>
    <t>Row Labels</t>
  </si>
  <si>
    <t>Grand Total</t>
  </si>
  <si>
    <t>S001F</t>
  </si>
  <si>
    <t>S002F</t>
  </si>
  <si>
    <t>CF0F</t>
  </si>
  <si>
    <t>J001F</t>
  </si>
  <si>
    <t>A001F</t>
  </si>
  <si>
    <t>H001F</t>
  </si>
  <si>
    <t>S003F</t>
  </si>
  <si>
    <t>N001F</t>
  </si>
  <si>
    <t>S004F</t>
  </si>
  <si>
    <t>A002F</t>
  </si>
  <si>
    <t>EF0F</t>
  </si>
  <si>
    <t>U001F</t>
  </si>
  <si>
    <t>H002F</t>
  </si>
  <si>
    <t>A003F</t>
  </si>
  <si>
    <t>K001F</t>
  </si>
  <si>
    <t>H003F</t>
  </si>
  <si>
    <t>F001F</t>
  </si>
  <si>
    <t>A004F</t>
  </si>
  <si>
    <t>A005F</t>
  </si>
  <si>
    <t>A006F</t>
  </si>
  <si>
    <t>F002F</t>
  </si>
  <si>
    <t>H004F</t>
  </si>
  <si>
    <t>A007F</t>
  </si>
  <si>
    <t>F003F</t>
  </si>
  <si>
    <t>S005F</t>
  </si>
  <si>
    <t>S006F</t>
  </si>
  <si>
    <t>F004F</t>
  </si>
  <si>
    <t>A001C</t>
  </si>
  <si>
    <t>S001C</t>
  </si>
  <si>
    <t>M001C</t>
  </si>
  <si>
    <t>A002C</t>
  </si>
  <si>
    <t>K001C</t>
  </si>
  <si>
    <t>S002C</t>
  </si>
  <si>
    <t>M002C</t>
  </si>
  <si>
    <t>A003C</t>
  </si>
  <si>
    <t>F001C</t>
  </si>
  <si>
    <t>S003C</t>
  </si>
  <si>
    <t>R001C</t>
  </si>
  <si>
    <t>S004C</t>
  </si>
  <si>
    <t>F002C</t>
  </si>
  <si>
    <t>K002C</t>
  </si>
  <si>
    <t>M003C</t>
  </si>
  <si>
    <t>N001C</t>
  </si>
  <si>
    <t>S005C</t>
  </si>
  <si>
    <t>F003C</t>
  </si>
  <si>
    <t>R002C</t>
  </si>
  <si>
    <t>A004C</t>
  </si>
  <si>
    <t>H001C</t>
  </si>
  <si>
    <t>A005C</t>
  </si>
  <si>
    <t>H002C</t>
  </si>
  <si>
    <t>A006C</t>
  </si>
  <si>
    <t>F004C</t>
  </si>
  <si>
    <t>A007C</t>
  </si>
  <si>
    <t>A008C</t>
  </si>
  <si>
    <t>L001C</t>
  </si>
  <si>
    <t>M004C</t>
  </si>
  <si>
    <t>K003C</t>
  </si>
  <si>
    <t>ST00</t>
  </si>
  <si>
    <t>S006C</t>
  </si>
  <si>
    <t>S007C</t>
  </si>
  <si>
    <t>H003C</t>
  </si>
  <si>
    <t>H004C</t>
  </si>
  <si>
    <t>F005C</t>
  </si>
  <si>
    <t>R003C</t>
  </si>
  <si>
    <t>H005C</t>
  </si>
  <si>
    <t>J001C</t>
  </si>
  <si>
    <t>سعود الفهد</t>
  </si>
  <si>
    <t>سعيد صالح الجحيش</t>
  </si>
  <si>
    <t>جابر قحيز المري</t>
  </si>
  <si>
    <t>عبدالعزيز قحيز المري</t>
  </si>
  <si>
    <t xml:space="preserve">حمد خجيم عايض العذبة </t>
  </si>
  <si>
    <t>سعود نقدان</t>
  </si>
  <si>
    <t>ناصر الحايف</t>
  </si>
  <si>
    <t>صالح العذبة</t>
  </si>
  <si>
    <t>عبدالهادي الماجد</t>
  </si>
  <si>
    <t>مصطفى</t>
  </si>
  <si>
    <t>عمير راشد المري</t>
  </si>
  <si>
    <t>حمد راشد المري</t>
  </si>
  <si>
    <t>علي فاران البريدي</t>
  </si>
  <si>
    <t>خالد زاين الدوسري</t>
  </si>
  <si>
    <t>حمد الشهوانى الهاجرى</t>
  </si>
  <si>
    <t>فهد الشهوانى الهاجرى</t>
  </si>
  <si>
    <t>عمارة الدوسري</t>
  </si>
  <si>
    <t>امل الشمري</t>
  </si>
  <si>
    <t>عبدالله هادي البريدي</t>
  </si>
  <si>
    <t>فهد ظافر القحطاني</t>
  </si>
  <si>
    <t>حمد وراشد فطيس المري</t>
  </si>
  <si>
    <t>عبدالرحمن نقدان</t>
  </si>
  <si>
    <t>فيصل محمد العذبة</t>
  </si>
  <si>
    <t>شاجع وسالم راشد الفهيدة</t>
  </si>
  <si>
    <t xml:space="preserve">سعد عزران </t>
  </si>
  <si>
    <t xml:space="preserve">فهد عزران </t>
  </si>
  <si>
    <t>عبدالله هدفة العذبة</t>
  </si>
  <si>
    <t>سعود الأحبابي</t>
  </si>
  <si>
    <t>محمد الغواص المري</t>
  </si>
  <si>
    <t>علي فاران البريد المري</t>
  </si>
  <si>
    <t>خالد وليد البحيح</t>
  </si>
  <si>
    <t>شاجع وسالم راشد  الفهيدة</t>
  </si>
  <si>
    <t>محمد وخالد وجبر الهاجري</t>
  </si>
  <si>
    <t xml:space="preserve">عبد العزيز و جابر قحيز المرى </t>
  </si>
  <si>
    <t>فيصل محمد راشد الغانم العذبة</t>
  </si>
  <si>
    <t xml:space="preserve">سعود مرزوق الفهد </t>
  </si>
  <si>
    <t>راشد الفطيس المري</t>
  </si>
  <si>
    <t>سعود وعبدالرحمن  ناقادان</t>
  </si>
  <si>
    <t>فهد وخالد عزران</t>
  </si>
  <si>
    <t>خالد زابن الدوسري</t>
  </si>
  <si>
    <t>محمد وعبدالله دبلان</t>
  </si>
  <si>
    <t>نايف الموسى</t>
  </si>
  <si>
    <t>سعد الدوسري</t>
  </si>
  <si>
    <t>فلل الماجد</t>
  </si>
  <si>
    <t>راشد الهاجري</t>
  </si>
  <si>
    <t>على صالح ابوسويد</t>
  </si>
  <si>
    <t>حمد المعاضيد</t>
  </si>
  <si>
    <t>عبد الهادي السهلي</t>
  </si>
  <si>
    <t>حمد ومحمد مطلق</t>
  </si>
  <si>
    <t>على جابر الحنزاب</t>
  </si>
  <si>
    <t>فهد عمير الشهواني</t>
  </si>
  <si>
    <t>عبد الله طيناف</t>
  </si>
  <si>
    <t>عبد الهادى مسفر</t>
  </si>
  <si>
    <t>فهد ونواف الكربى</t>
  </si>
  <si>
    <t>لطيفة إبراهيم الفضاله</t>
  </si>
  <si>
    <t>مشارى الهاجرى</t>
  </si>
  <si>
    <t>خالد النعيمى</t>
  </si>
  <si>
    <t>سعيد راشد اليربوعي</t>
  </si>
  <si>
    <t>سعود ومحمد زقلان الشمري</t>
  </si>
  <si>
    <t>حمد عايض حسين الاحبابي</t>
  </si>
  <si>
    <t xml:space="preserve">حمد وفهد مسفر </t>
  </si>
  <si>
    <t>فرج سالم العذبه</t>
  </si>
  <si>
    <t xml:space="preserve">راشد بخيت الغفران </t>
  </si>
  <si>
    <t xml:space="preserve">هزاع مبارك الهاجري </t>
  </si>
  <si>
    <t xml:space="preserve">جابر سالم الغواص </t>
  </si>
  <si>
    <t>F006C</t>
  </si>
  <si>
    <t>Friday</t>
  </si>
  <si>
    <t>Eid</t>
  </si>
  <si>
    <t>مينفعش ادخل أي داتا في صفوف البلانك</t>
  </si>
  <si>
    <t>Payroll Analysis</t>
  </si>
  <si>
    <t>Max Salary</t>
  </si>
  <si>
    <t>Min Salary</t>
  </si>
  <si>
    <t>Salary by Dep</t>
  </si>
  <si>
    <t>(blank)</t>
  </si>
  <si>
    <t>Salary by job title and #Job_title</t>
  </si>
  <si>
    <t xml:space="preserve">hاعلى مهنة بتكلفني مرتبات </t>
  </si>
  <si>
    <t>Selected Month Salary</t>
  </si>
  <si>
    <t>Previous Month Salary</t>
  </si>
  <si>
    <t>Difference Display</t>
  </si>
  <si>
    <t>Count of Emp_ID</t>
  </si>
  <si>
    <t>معلم  تشطيب</t>
  </si>
  <si>
    <t>Project Analysis</t>
  </si>
  <si>
    <t>Project Cost</t>
  </si>
  <si>
    <t>Workers Count</t>
  </si>
  <si>
    <t>Total Work Days</t>
  </si>
  <si>
    <t>Days per Worker</t>
  </si>
  <si>
    <t>OT per Worker</t>
  </si>
  <si>
    <t>Cost per Worker</t>
  </si>
  <si>
    <t>Sum of Days_Work</t>
  </si>
  <si>
    <t>Sum of OT_Hrs</t>
  </si>
  <si>
    <t>هزاع مبارك الهاجري</t>
  </si>
  <si>
    <t>project cost</t>
  </si>
  <si>
    <t>Sum of Normal_Cost</t>
  </si>
  <si>
    <t>Sum of OT_Cost</t>
  </si>
  <si>
    <t>All</t>
  </si>
  <si>
    <t>جابر سالم الغواص</t>
  </si>
  <si>
    <t>سعد عزران</t>
  </si>
  <si>
    <t>Manager</t>
  </si>
  <si>
    <t>Worker</t>
  </si>
  <si>
    <t>ﻣﺎﻣﻮﻥ ﺍﺣﻤﺪ ﺷﻮﻧﻮ ﻣﻴﺎﻩ</t>
  </si>
  <si>
    <t>ﻣﺎﻣﻮﻥ ﺍﻟﺮﺷﻴﺪ ﻧﻮﺭ ﺍﻟﻘﺎﺩﺭ</t>
  </si>
  <si>
    <t>ﺳﺎﺭﺍﺟﻮﺩﺩﻳﻦ ﺍﻧﺼﺎﺭﻯ</t>
  </si>
  <si>
    <t>محمد عرلاان</t>
  </si>
  <si>
    <t>عبد الرؤف جمعه احمد علي</t>
  </si>
  <si>
    <t>سادكي كوندا</t>
  </si>
  <si>
    <t>صلاح عبدالرحمن الحاج احمد</t>
  </si>
  <si>
    <t>محمد عبد الخان</t>
  </si>
  <si>
    <t xml:space="preserve">أرسلان احمد الطاف حسين </t>
  </si>
  <si>
    <t>منصور عالم مجنو مياه</t>
  </si>
  <si>
    <t>محمد شفيق محمد اروص</t>
  </si>
  <si>
    <t>محمد أبو محمد حانف</t>
  </si>
  <si>
    <t>O304</t>
  </si>
  <si>
    <t>O143</t>
  </si>
  <si>
    <t>O246</t>
  </si>
  <si>
    <t>O309</t>
  </si>
  <si>
    <t>محمد عزيز لاحق</t>
  </si>
  <si>
    <t>محمد نور نبي</t>
  </si>
  <si>
    <t>نور ميستري</t>
  </si>
  <si>
    <t>بابو رام كامي</t>
  </si>
  <si>
    <t>محمد رفيق ملليك جبار ملليك</t>
  </si>
  <si>
    <t>جمال محمد علي</t>
  </si>
  <si>
    <t>عبد الباسي عبد الرحمن اشير</t>
  </si>
  <si>
    <t>مد موجمل حقي</t>
  </si>
  <si>
    <t>محمد ابوبكور محمد حسين</t>
  </si>
  <si>
    <t>محبوب علم تارو مياه</t>
  </si>
  <si>
    <t>محمد نور الأسلام</t>
  </si>
  <si>
    <t>مد فاروق شايخ</t>
  </si>
  <si>
    <t>محمد محبوب محمد جيبون ميا</t>
  </si>
  <si>
    <t>ال امين حافيج عدين</t>
  </si>
  <si>
    <t xml:space="preserve">محمد سيفو تالوكدر </t>
  </si>
  <si>
    <t xml:space="preserve">محمد  سايمون محمد مومين </t>
  </si>
  <si>
    <t>ﻣﺎﺯﻭ ﺍﺣﻤﺪ ﻣﺤﻤﺪ ﺧﺴﺮﺍﻟﺰﻣﺎﻥ ﺳﺎﻱ</t>
  </si>
  <si>
    <t>ﺑﻴﺸﺎﻥ ﻣﻮﺷﻲ</t>
  </si>
  <si>
    <t>ﻧﻮﺭ ﺍﺳﻼﻡ ﺣﻨﻴﻒ</t>
  </si>
  <si>
    <t>ﻋﺎﺭﻑ ﺣﺴﻴﻦ ﺷﻬﻴﺪﺍﻟﻠﻪ</t>
  </si>
  <si>
    <t>سانجيب كومار ياداز</t>
  </si>
  <si>
    <t xml:space="preserve">ازاد صديق </t>
  </si>
  <si>
    <t xml:space="preserve">ماجد أحمد جلال الدين </t>
  </si>
  <si>
    <t>بنود كومار ساه</t>
  </si>
  <si>
    <t>امام حسين محمد اسلام</t>
  </si>
  <si>
    <t>ﻣﺎﻟﻚ ﺍﺣﻤﺪ</t>
  </si>
  <si>
    <t xml:space="preserve">عبدالعال سعيد مجاهد عبدالعال </t>
  </si>
  <si>
    <t>احمد ابراهيم باز عبد الرحيم</t>
  </si>
  <si>
    <t>تامر السيد عبد الحميد</t>
  </si>
  <si>
    <t>مسعود صالح قاسمي</t>
  </si>
  <si>
    <t>نظر الإسلام شاديم علي</t>
  </si>
  <si>
    <t>محمد سليم دهالي</t>
  </si>
  <si>
    <t>نجم الحسين عامر حسين ديوان</t>
  </si>
  <si>
    <t>ساوين فقير</t>
  </si>
  <si>
    <t xml:space="preserve">برويز عالم </t>
  </si>
  <si>
    <t>محمد لال مياه</t>
  </si>
  <si>
    <t>ﺟﻮﺟﻴﻨﺪﺭﺍ ﺳﺎﺩﺍي</t>
  </si>
  <si>
    <t>دريسك سيجاوا</t>
  </si>
  <si>
    <t>رام بهجان باتار</t>
  </si>
  <si>
    <t>ديل بهادور سونار</t>
  </si>
  <si>
    <t>مان كومار تامانج</t>
  </si>
  <si>
    <t>محمد رجيب مطلب بيباري</t>
  </si>
  <si>
    <t>محمد عبدالأحد</t>
  </si>
  <si>
    <t>ديدارول اسلام دولا مياح</t>
  </si>
  <si>
    <t>محمد عبدور الرحمن</t>
  </si>
  <si>
    <t>ﺍﻻﺟﻴﺎﻩ ﺳﻴﻔﺎﺭﺍﺳﺎ ﻓﺎﺳﺎﻧﺴﺮﺍﺳﺎ</t>
  </si>
  <si>
    <t>ناند كيشور داس</t>
  </si>
  <si>
    <t>جاسم سيكدار مصطفى سيكدار</t>
  </si>
  <si>
    <t>توصيف الاحي ساقب سودهري</t>
  </si>
  <si>
    <t>فهيم احمد محيب الرحمان</t>
  </si>
  <si>
    <t>خالد احمد منير علي</t>
  </si>
  <si>
    <t>ﻧﻮﺭ ﺍﻟﻜﺎﺩﺭ ﺍﺑﻮ ﺍﺣﻤﺪ</t>
  </si>
  <si>
    <t>ﻛﻤﺎﻝ ﻭﺩﻳﻦ</t>
  </si>
  <si>
    <t>ﻣﻨﺼﻮﺭ ﻋﻼﺍﻡ</t>
  </si>
  <si>
    <t>نجرول اسلام احمد علي</t>
  </si>
  <si>
    <t>ﻣﺤﻤﺪ ﻣﺤﻤﻮﺩ ﺣﺎﻣﺪ ﺃﺣﻤﺪ ﺳﻠﻄﺎﻥ</t>
  </si>
  <si>
    <t>ديف ناث ياداف</t>
  </si>
  <si>
    <t>ميتيلا مهاتو</t>
  </si>
  <si>
    <t>محمد عاشق الهي كمال الدين</t>
  </si>
  <si>
    <t>ﺳﻠﻄﺎﻥ ﺍﺣﻤﺪ ﻣﺤﻴﺐ ﺍﻟﺮﺣﻤﺎﻥ</t>
  </si>
  <si>
    <t>ﺷﻬﺎﻥ ﺍﺣﻤﺪ ﺧﺎﻥ</t>
  </si>
  <si>
    <t>شيام مندال</t>
  </si>
  <si>
    <t>رنجيت كومار مندل</t>
  </si>
  <si>
    <t>شفيق الإسلام أحمد علي</t>
  </si>
  <si>
    <t>علم أبو طهير شيخ</t>
  </si>
  <si>
    <t xml:space="preserve">شهيد الرحمن مجميل على </t>
  </si>
  <si>
    <t>مرادول اسلام محمد مجنول حق</t>
  </si>
  <si>
    <t>ﻋﺒﺪ ﺍﻟﻤﺠﻴﺪ ﺟﻲ</t>
  </si>
  <si>
    <t>سانجاي سينان</t>
  </si>
  <si>
    <t>منجات رام باوان كومار</t>
  </si>
  <si>
    <t>إبراهيم ايمي جمعة نكيما</t>
  </si>
  <si>
    <t xml:space="preserve">جوميل احمد تشودري </t>
  </si>
  <si>
    <t>متليش داس</t>
  </si>
  <si>
    <t>ايمدي رضا ايمدي تسليم</t>
  </si>
  <si>
    <t>ﺭﻳﺤﺎﻝ ﻣﺤﻤﺪ ﺗﺎﻣﺒﻲ ﻏﻔﻮﺭ</t>
  </si>
  <si>
    <t>محمد شاهجاده نور محمد</t>
  </si>
  <si>
    <t xml:space="preserve">نوشاد أنصاري </t>
  </si>
  <si>
    <t>ﺍﺭﺷﺎﺩ ﻋﻼﺍﻡ</t>
  </si>
  <si>
    <t>ﺭﺍﻡ ﺍﺷﻴﺶ</t>
  </si>
  <si>
    <t>ﺗﻮﺣﻴﺪ ﻣﻴﺎ</t>
  </si>
  <si>
    <t>ﺳﻮﻓﻴﺜﺎﻥ ﺳﻴﻨﺎﺛﻮﺭﺍﻱ ﻧﻔﺎﺭﺳﺎ</t>
  </si>
  <si>
    <t>وسيم احمد عبد المالك</t>
  </si>
  <si>
    <t>ﺳﻮﺟﻴﺖ ﻛﻮﻣﺎﺭ ﻳﺎﺩﺍﻑ</t>
  </si>
  <si>
    <t>ﺑﺎﺑﻠﻮ ﺑﺎﺭﻛﻼﻩ</t>
  </si>
  <si>
    <t>ﺍﺑﻮﻝ ﻛﻼﻡ ﻣﺤﻤﺪ ﺳﻴﺮﺍﺝ</t>
  </si>
  <si>
    <t>ﻣﺤﻤﺪ ﺭﻳﺪﻭﻥ ﺩﻭﻻ ﻣﻴﺎ</t>
  </si>
  <si>
    <t>بهوان راي</t>
  </si>
  <si>
    <t>ﻓﺎﻧﻮﺩ ﻛﻮﻣﺎﺭ</t>
  </si>
  <si>
    <t xml:space="preserve">جلال عبدالمؤمن برهان مصطفى </t>
  </si>
  <si>
    <t>محمد صويب</t>
  </si>
  <si>
    <t>محمد ارمان</t>
  </si>
  <si>
    <t>ﻧﺎﻧﺪﺍﻥ ﺷﻮﻫﺎﻥ</t>
  </si>
  <si>
    <t>دلشاد احمد وحيد احمد</t>
  </si>
  <si>
    <t>ﻫﺎﺟﺮﺍﺕ ﺟﺎﻫﻮﺭ ﻣﻴﺎ</t>
  </si>
  <si>
    <t>ﺃﻧﺼﺎﺭ ﺃﻻﻡ</t>
  </si>
  <si>
    <t xml:space="preserve">شاه نجار </t>
  </si>
  <si>
    <t>كولاب ميان</t>
  </si>
  <si>
    <t>ﺩﻫﺎﻥ ﺑﻬﺎﺩﻭﺭ ﺭﺍي</t>
  </si>
  <si>
    <t>السيد امام ابوالفتوح حسن</t>
  </si>
  <si>
    <t>باهر عبدالفتاح إبراهيم</t>
  </si>
  <si>
    <t>ﻛﻠﻴﻢ ﺍﻟﻠﻪ ﻋﺒﺪ ﺍﻟﻜﻼﻡ</t>
  </si>
  <si>
    <t>احمد عبد الرحمن احمد الجزار</t>
  </si>
  <si>
    <t xml:space="preserve">مسعود محمد محمود الطيب </t>
  </si>
  <si>
    <t>صباغ</t>
  </si>
  <si>
    <t>Count of Status_Code</t>
  </si>
  <si>
    <t>↑ 7,480</t>
  </si>
  <si>
    <t>Absent Days</t>
  </si>
  <si>
    <t>HR Analysis</t>
  </si>
  <si>
    <t>Total Employees</t>
  </si>
  <si>
    <t>Employee by Grade</t>
  </si>
  <si>
    <t>Count of Dept_ID</t>
  </si>
  <si>
    <t>#Department</t>
  </si>
  <si>
    <t>Count of Project_ID</t>
  </si>
  <si>
    <t>Count of Flag_Status</t>
  </si>
  <si>
    <t>مصري – Egyptian</t>
  </si>
  <si>
    <t>هندي – Indian</t>
  </si>
  <si>
    <t>بنغالي – Bangladeshi</t>
  </si>
  <si>
    <t>باكستاني – Pakistani</t>
  </si>
  <si>
    <t>نيبالي – Nepali</t>
  </si>
  <si>
    <t>فلبيني – Filipino</t>
  </si>
  <si>
    <t>سريلانكي – Sri Lankan</t>
  </si>
  <si>
    <t>سوداني – Sudanese</t>
  </si>
  <si>
    <t>إثيوبي – Ethiopian</t>
  </si>
  <si>
    <t>كيني – Kenyan</t>
  </si>
  <si>
    <t>أوغندي – Ugandan</t>
  </si>
  <si>
    <t>إندونيسي – Indonesian</t>
  </si>
  <si>
    <t>تايلاندي – Thai</t>
  </si>
  <si>
    <t>فيتنامي – Vietnamese</t>
  </si>
  <si>
    <t>صيني – Chinese</t>
  </si>
  <si>
    <t>تركي – Turkish</t>
  </si>
  <si>
    <t>مغربي – Moroccan</t>
  </si>
  <si>
    <t>تونسي – Tunisian</t>
  </si>
  <si>
    <t>جزائري – Algerian</t>
  </si>
  <si>
    <t>أردني – Jordanian</t>
  </si>
  <si>
    <t>سوري – Syrian</t>
  </si>
  <si>
    <t>لبناني – Lebanese</t>
  </si>
  <si>
    <t>Employees by Job Title</t>
  </si>
  <si>
    <t>Sum of Total_Salary</t>
  </si>
  <si>
    <t>Salary by Job Title</t>
  </si>
  <si>
    <t>Count of Nationality</t>
  </si>
  <si>
    <t>Employee By Status</t>
  </si>
  <si>
    <t>Employee By Department</t>
  </si>
  <si>
    <t>Employee By Sponsership</t>
  </si>
  <si>
    <r>
      <t xml:space="preserve">👷  Master Employee – </t>
    </r>
    <r>
      <rPr>
        <b/>
        <sz val="13"/>
        <color rgb="FFFFFFFF"/>
        <rFont val="FreeSans"/>
        <family val="2"/>
      </rPr>
      <t>سجل بيانات الموظفين</t>
    </r>
  </si>
  <si>
    <t>OT Cost</t>
  </si>
  <si>
    <t>Normal Cost</t>
  </si>
  <si>
    <t>Total Days</t>
  </si>
  <si>
    <t>Valid Worker</t>
  </si>
  <si>
    <t>Projects per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</si>
</sst>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yyyy\-mm\-dd;@"/>
    <numFmt numFmtId="165" formatCode="0.0"/>
    <numFmt numFmtId="166" formatCode="mmm\-yyyy"/>
    <numFmt numFmtId="167" formatCode="yyyy\-mm"/>
    <numFmt numFmtId="168" formatCode="_(* #,##0_);_(* \(#,##0\);_(* &quot;-&quot;??_);_(@_)"/>
  </numFmts>
  <fonts count="28">
    <font>
      <sz val="11"/>
      <color theme="1"/>
      <name val="Calibri"/>
      <family val="2"/>
      <charset val="1"/>
    </font>
    <font>
      <sz val="11"/>
      <color theme="1"/>
      <name val="FreeSans"/>
      <family val="2"/>
    </font>
    <font>
      <b/>
      <sz val="13"/>
      <color rgb="FFFFFFFF"/>
      <name val="Calibri"/>
      <family val="2"/>
    </font>
    <font>
      <b/>
      <sz val="13"/>
      <color rgb="FFFFFFFF"/>
      <name val="FreeSans"/>
      <family val="2"/>
    </font>
    <font>
      <b/>
      <sz val="10"/>
      <color rgb="FFFFFFFF"/>
      <name val="Calibri"/>
      <family val="2"/>
    </font>
    <font>
      <sz val="10"/>
      <color rgb="FF222222"/>
      <name val="Calibri"/>
      <family val="2"/>
    </font>
    <font>
      <sz val="10"/>
      <color rgb="FF222222"/>
      <name val="FreeSans"/>
      <family val="2"/>
    </font>
    <font>
      <b/>
      <sz val="9"/>
      <color rgb="FFFFFFFF"/>
      <name val="Calibri"/>
      <family val="2"/>
    </font>
    <font>
      <b/>
      <sz val="11"/>
      <color rgb="FFFFFFFF"/>
      <name val="Calibri"/>
      <family val="2"/>
    </font>
    <font>
      <b/>
      <sz val="11"/>
      <color theme="0"/>
      <name val="Calibri"/>
      <family val="2"/>
      <charset val="1"/>
    </font>
    <font>
      <sz val="16"/>
      <color theme="1"/>
      <name val="Calibri"/>
      <family val="2"/>
      <charset val="1"/>
    </font>
    <font>
      <sz val="18"/>
      <color theme="0"/>
      <name val="Calibri"/>
      <family val="2"/>
      <charset val="1"/>
    </font>
    <font>
      <sz val="10"/>
      <color theme="1"/>
      <name val="Arial"/>
      <family val="2"/>
    </font>
    <font>
      <sz val="11"/>
      <color theme="0"/>
      <name val="Calibri"/>
      <family val="2"/>
      <charset val="1"/>
    </font>
    <font>
      <b/>
      <sz val="26"/>
      <color theme="0"/>
      <name val="Arial"/>
      <family val="2"/>
    </font>
    <font>
      <sz val="8"/>
      <name val="Calibri"/>
      <family val="2"/>
      <charset val="1"/>
    </font>
    <font>
      <sz val="9"/>
      <color rgb="FF222222"/>
      <name val="Calibri"/>
      <family val="2"/>
    </font>
    <font>
      <sz val="11"/>
      <color theme="1"/>
      <name val="Calibri"/>
      <family val="2"/>
    </font>
    <font>
      <b/>
      <sz val="14"/>
      <color theme="0"/>
      <name val="FreeSans"/>
      <family val="2"/>
    </font>
    <font>
      <b/>
      <sz val="14"/>
      <color theme="0"/>
      <name val="Calibri"/>
      <family val="2"/>
    </font>
    <font>
      <sz val="11"/>
      <color rgb="FF222222"/>
      <name val="Calibri"/>
      <family val="2"/>
    </font>
    <font>
      <sz val="9"/>
      <color theme="0"/>
      <name val="Calibri"/>
      <family val="2"/>
      <charset val="1"/>
    </font>
    <font>
      <sz val="11"/>
      <color theme="1"/>
      <name val="Calibri"/>
      <family val="2"/>
      <charset val="1"/>
    </font>
    <font>
      <sz val="11"/>
      <color rgb="FFFF0000"/>
      <name val="Calibri"/>
      <family val="2"/>
      <charset val="1"/>
    </font>
    <font>
      <sz val="12"/>
      <color theme="0"/>
      <name val="Arial"/>
      <family val="2"/>
    </font>
    <font>
      <sz val="14"/>
      <color theme="0"/>
      <name val="Calibri"/>
      <family val="2"/>
      <charset val="1"/>
    </font>
    <font>
      <sz val="16"/>
      <color theme="0"/>
      <name val="Calibri"/>
      <family val="2"/>
      <charset val="1"/>
    </font>
    <font>
      <sz val="14"/>
      <color theme="1"/>
      <name val="Calibri"/>
      <family val="2"/>
      <charset val="1"/>
      <scheme val="minor"/>
    </font>
  </fonts>
  <fills count="23">
    <fill>
      <patternFill patternType="none"/>
    </fill>
    <fill>
      <patternFill patternType="gray125"/>
    </fill>
    <fill>
      <patternFill patternType="solid">
        <fgColor rgb="FF0A6B58"/>
        <bgColor rgb="FF0A7A6E"/>
      </patternFill>
    </fill>
    <fill>
      <patternFill patternType="solid">
        <fgColor rgb="FF0A7A6E"/>
        <bgColor rgb="FF0A6B58"/>
      </patternFill>
    </fill>
    <fill>
      <patternFill patternType="solid">
        <fgColor rgb="FF1A5C8E"/>
        <bgColor rgb="FF0A6B58"/>
      </patternFill>
    </fill>
    <fill>
      <patternFill patternType="solid">
        <fgColor rgb="FF2D6B2D"/>
        <bgColor rgb="FF0A6B58"/>
      </patternFill>
    </fill>
    <fill>
      <patternFill patternType="solid">
        <fgColor rgb="FF7A4F1A"/>
        <bgColor rgb="FF7A4F00"/>
      </patternFill>
    </fill>
    <fill>
      <patternFill patternType="solid">
        <fgColor rgb="FF4A1A7A"/>
        <bgColor rgb="FF660066"/>
      </patternFill>
    </fill>
    <fill>
      <patternFill patternType="solid">
        <fgColor rgb="FF7A1A1A"/>
        <bgColor rgb="FF800000"/>
      </patternFill>
    </fill>
    <fill>
      <patternFill patternType="solid">
        <fgColor rgb="FFCC4948"/>
        <bgColor rgb="FFFF6300"/>
      </patternFill>
    </fill>
    <fill>
      <patternFill patternType="solid">
        <fgColor theme="8"/>
        <bgColor rgb="FF0A7A6E"/>
      </patternFill>
    </fill>
    <fill>
      <patternFill patternType="solid">
        <fgColor theme="4"/>
        <bgColor theme="4"/>
      </patternFill>
    </fill>
    <fill>
      <patternFill patternType="solid">
        <fgColor rgb="FF0A6B58"/>
        <bgColor indexed="64"/>
      </patternFill>
    </fill>
    <fill>
      <patternFill patternType="solid">
        <fgColor theme="4" tint="-0.249977111117893"/>
        <bgColor indexed="64"/>
      </patternFill>
    </fill>
    <fill>
      <patternFill patternType="solid">
        <fgColor rgb="FF0A6B58"/>
        <bgColor rgb="FFFF9900"/>
      </patternFill>
    </fill>
    <fill>
      <patternFill patternType="solid">
        <fgColor rgb="FF2D6B2D"/>
        <bgColor indexed="64"/>
      </patternFill>
    </fill>
    <fill>
      <patternFill patternType="solid">
        <fgColor rgb="FF7A4F1A"/>
        <bgColor indexed="64"/>
      </patternFill>
    </fill>
    <fill>
      <patternFill patternType="solid">
        <fgColor rgb="FF7030A0"/>
        <bgColor indexed="64"/>
      </patternFill>
    </fill>
    <fill>
      <patternFill patternType="solid">
        <fgColor theme="4"/>
        <bgColor rgb="FF800000"/>
      </patternFill>
    </fill>
    <fill>
      <patternFill patternType="solid">
        <fgColor theme="4"/>
        <bgColor indexed="64"/>
      </patternFill>
    </fill>
    <fill>
      <patternFill patternType="solid">
        <fgColor theme="4" tint="-0.249977111117893"/>
        <bgColor theme="4" tint="0.79998168889431442"/>
      </patternFill>
    </fill>
    <fill>
      <patternFill patternType="solid">
        <fgColor theme="2" tint="-0.499984740745262"/>
        <bgColor indexed="64"/>
      </patternFill>
    </fill>
    <fill>
      <patternFill patternType="solid">
        <fgColor theme="2"/>
        <bgColor indexed="64"/>
      </patternFill>
    </fill>
  </fills>
  <borders count="29">
    <border>
      <left/>
      <right/>
      <top/>
      <bottom/>
      <diagonal/>
    </border>
    <border>
      <left style="thin">
        <color rgb="FFCCDDDA"/>
      </left>
      <right style="thin">
        <color rgb="FFCCDDDA"/>
      </right>
      <top style="thin">
        <color rgb="FFCCDDDA"/>
      </top>
      <bottom style="thin">
        <color rgb="FFCCDDDA"/>
      </bottom>
      <diagonal/>
    </border>
    <border>
      <left style="thin">
        <color rgb="FFCCDDDA"/>
      </left>
      <right/>
      <top style="thin">
        <color rgb="FFCCDDDA"/>
      </top>
      <bottom style="thin">
        <color rgb="FFCCDDDA"/>
      </bottom>
      <diagonal/>
    </border>
    <border>
      <left/>
      <right style="thin">
        <color rgb="FFCCDDDA"/>
      </right>
      <top style="thin">
        <color rgb="FFCCDDDA"/>
      </top>
      <bottom style="thin">
        <color rgb="FFCCDDDA"/>
      </bottom>
      <diagonal/>
    </border>
    <border>
      <left style="thin">
        <color rgb="FFCCDDDA"/>
      </left>
      <right/>
      <top/>
      <bottom style="thin">
        <color rgb="FFCCDDDA"/>
      </bottom>
      <diagonal/>
    </border>
    <border>
      <left style="thin">
        <color rgb="FFCCDDDA"/>
      </left>
      <right style="thin">
        <color rgb="FFCCDDDA"/>
      </right>
      <top/>
      <bottom style="thin">
        <color rgb="FFCCDDDA"/>
      </bottom>
      <diagonal/>
    </border>
    <border>
      <left/>
      <right style="thin">
        <color rgb="FFCCDDDA"/>
      </right>
      <top/>
      <bottom style="thin">
        <color rgb="FFCCDDDA"/>
      </bottom>
      <diagonal/>
    </border>
    <border>
      <left style="thin">
        <color rgb="FFCCDDDA"/>
      </left>
      <right/>
      <top style="thin">
        <color rgb="FFCCDDDA"/>
      </top>
      <bottom/>
      <diagonal/>
    </border>
    <border>
      <left style="thin">
        <color rgb="FFCCDDDA"/>
      </left>
      <right style="thin">
        <color rgb="FFCCDDDA"/>
      </right>
      <top style="thin">
        <color rgb="FFCCDDDA"/>
      </top>
      <bottom/>
      <diagonal/>
    </border>
    <border>
      <left/>
      <right style="thin">
        <color rgb="FFCCDDDA"/>
      </right>
      <top style="thin">
        <color rgb="FFCCDDDA"/>
      </top>
      <bottom/>
      <diagonal/>
    </border>
    <border>
      <left/>
      <right/>
      <top style="thin">
        <color rgb="FFCCDDDA"/>
      </top>
      <bottom/>
      <diagonal/>
    </border>
    <border>
      <left style="thin">
        <color rgb="FFCCDDDA"/>
      </left>
      <right/>
      <top/>
      <bottom/>
      <diagonal/>
    </border>
    <border>
      <left/>
      <right style="thin">
        <color rgb="FFCCDDDA"/>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rgb="FFCCDDDA"/>
      </left>
      <right style="thin">
        <color rgb="FFCCDDDA"/>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22" fillId="0" borderId="0" applyFont="0" applyFill="0" applyBorder="0" applyAlignment="0" applyProtection="0"/>
  </cellStyleXfs>
  <cellXfs count="132">
    <xf numFmtId="0" fontId="0" fillId="0" borderId="0" xfId="0"/>
    <xf numFmtId="0" fontId="1" fillId="0" borderId="0" xfId="0" applyFont="1"/>
    <xf numFmtId="0" fontId="5" fillId="0" borderId="1" xfId="0" applyFont="1" applyBorder="1" applyAlignment="1">
      <alignment vertical="center" wrapText="1"/>
    </xf>
    <xf numFmtId="0" fontId="6" fillId="0" borderId="1" xfId="0" applyFont="1" applyBorder="1" applyAlignment="1">
      <alignment vertical="center" wrapText="1"/>
    </xf>
    <xf numFmtId="0" fontId="2" fillId="10" borderId="0" xfId="0" applyFont="1" applyFill="1" applyAlignment="1">
      <alignment horizontal="center" vertical="center"/>
    </xf>
    <xf numFmtId="164" fontId="5" fillId="0" borderId="1" xfId="0" applyNumberFormat="1"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5" fillId="0" borderId="7"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4" fillId="12" borderId="4" xfId="0" applyFont="1" applyFill="1" applyBorder="1" applyAlignment="1">
      <alignment horizontal="center" vertical="center" wrapText="1"/>
    </xf>
    <xf numFmtId="0" fontId="4" fillId="12" borderId="5" xfId="0" applyFont="1" applyFill="1" applyBorder="1" applyAlignment="1">
      <alignment horizontal="center" vertical="center" wrapText="1"/>
    </xf>
    <xf numFmtId="0" fontId="4" fillId="12" borderId="6" xfId="0" applyFont="1" applyFill="1" applyBorder="1" applyAlignment="1">
      <alignment horizontal="center" vertical="center" wrapText="1"/>
    </xf>
    <xf numFmtId="0" fontId="4" fillId="13" borderId="5" xfId="0" applyFont="1" applyFill="1" applyBorder="1" applyAlignment="1">
      <alignment horizontal="center" vertical="center" wrapText="1"/>
    </xf>
    <xf numFmtId="2" fontId="5" fillId="0" borderId="1" xfId="0" applyNumberFormat="1" applyFont="1" applyBorder="1" applyAlignment="1">
      <alignment vertical="center" wrapText="1"/>
    </xf>
    <xf numFmtId="165" fontId="5" fillId="0" borderId="1" xfId="0" applyNumberFormat="1" applyFont="1" applyBorder="1" applyAlignment="1">
      <alignment vertical="center" wrapText="1"/>
    </xf>
    <xf numFmtId="0" fontId="0" fillId="0" borderId="0" xfId="0" applyAlignment="1">
      <alignment horizontal="center" vertical="center"/>
    </xf>
    <xf numFmtId="0" fontId="0" fillId="0" borderId="0" xfId="0" applyAlignment="1">
      <alignment horizontal="center"/>
    </xf>
    <xf numFmtId="0" fontId="11" fillId="13" borderId="0" xfId="0" applyFont="1" applyFill="1" applyAlignment="1">
      <alignment horizontal="center" vertical="center"/>
    </xf>
    <xf numFmtId="0" fontId="12" fillId="0" borderId="0" xfId="0" applyFont="1" applyAlignment="1">
      <alignment horizontal="center" vertical="center"/>
    </xf>
    <xf numFmtId="49" fontId="5" fillId="0" borderId="1" xfId="0" applyNumberFormat="1" applyFont="1" applyBorder="1" applyAlignment="1">
      <alignment vertical="center" wrapText="1"/>
    </xf>
    <xf numFmtId="0" fontId="0" fillId="0" borderId="0" xfId="0" applyAlignment="1">
      <alignment horizontal="right"/>
    </xf>
    <xf numFmtId="0" fontId="12" fillId="0" borderId="0" xfId="0" applyFont="1" applyAlignment="1">
      <alignment vertical="center"/>
    </xf>
    <xf numFmtId="0" fontId="4" fillId="15" borderId="5" xfId="0" applyFont="1" applyFill="1" applyBorder="1" applyAlignment="1">
      <alignment horizontal="center" vertical="center" wrapText="1"/>
    </xf>
    <xf numFmtId="0" fontId="4" fillId="16" borderId="5" xfId="0" applyFont="1" applyFill="1" applyBorder="1" applyAlignment="1">
      <alignment horizontal="center" vertical="center" wrapText="1"/>
    </xf>
    <xf numFmtId="0" fontId="4" fillId="17" borderId="5" xfId="0" applyFont="1" applyFill="1" applyBorder="1" applyAlignment="1">
      <alignment horizontal="center" vertical="center" wrapText="1"/>
    </xf>
    <xf numFmtId="0" fontId="6" fillId="0" borderId="7" xfId="0" applyFont="1" applyBorder="1" applyAlignment="1">
      <alignment vertical="center" wrapText="1"/>
    </xf>
    <xf numFmtId="0" fontId="4" fillId="0" borderId="11" xfId="0" applyFont="1" applyBorder="1" applyAlignment="1">
      <alignment horizontal="center" vertical="center" wrapText="1"/>
    </xf>
    <xf numFmtId="0" fontId="4" fillId="0" borderId="16" xfId="0" applyFont="1" applyBorder="1" applyAlignment="1">
      <alignment horizontal="center" vertical="center" wrapText="1"/>
    </xf>
    <xf numFmtId="0" fontId="0" fillId="0" borderId="10" xfId="0" applyBorder="1"/>
    <xf numFmtId="0" fontId="0" fillId="0" borderId="1" xfId="0" applyBorder="1" applyAlignment="1">
      <alignment vertical="center" wrapText="1"/>
    </xf>
    <xf numFmtId="0" fontId="0" fillId="0" borderId="8" xfId="0" applyBorder="1" applyAlignment="1">
      <alignment vertical="center" wrapText="1"/>
    </xf>
    <xf numFmtId="0" fontId="4" fillId="9" borderId="4" xfId="0" applyFont="1" applyFill="1" applyBorder="1" applyAlignment="1">
      <alignment horizontal="center" vertical="center" wrapText="1"/>
    </xf>
    <xf numFmtId="0" fontId="4" fillId="9" borderId="5" xfId="0" applyFont="1" applyFill="1" applyBorder="1" applyAlignment="1">
      <alignment horizontal="center" vertical="center" wrapText="1"/>
    </xf>
    <xf numFmtId="0" fontId="4" fillId="9" borderId="6"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horizontal="center" vertical="center" wrapText="1"/>
    </xf>
    <xf numFmtId="0" fontId="5" fillId="0" borderId="8" xfId="0" applyFont="1" applyBorder="1" applyAlignment="1">
      <alignment horizontal="center" vertical="center" wrapText="1"/>
    </xf>
    <xf numFmtId="0" fontId="0" fillId="0" borderId="1" xfId="0" applyBorder="1" applyAlignment="1">
      <alignment horizontal="center" vertical="center" wrapText="1"/>
    </xf>
    <xf numFmtId="0" fontId="4" fillId="13" borderId="5" xfId="0" applyFont="1" applyFill="1" applyBorder="1" applyAlignment="1">
      <alignment horizontal="center" vertical="center"/>
    </xf>
    <xf numFmtId="0" fontId="4" fillId="19" borderId="5" xfId="0" applyFont="1" applyFill="1" applyBorder="1" applyAlignment="1">
      <alignment horizontal="center" vertical="center" wrapText="1"/>
    </xf>
    <xf numFmtId="0" fontId="13" fillId="20" borderId="15" xfId="0" applyFont="1" applyFill="1" applyBorder="1" applyAlignment="1">
      <alignment horizontal="center" vertical="center"/>
    </xf>
    <xf numFmtId="0" fontId="9" fillId="11" borderId="15" xfId="0" applyFont="1" applyFill="1" applyBorder="1" applyAlignment="1">
      <alignment horizontal="center" vertical="center"/>
    </xf>
    <xf numFmtId="0" fontId="9" fillId="0" borderId="15" xfId="0" applyFont="1" applyBorder="1" applyAlignment="1">
      <alignment horizontal="center" vertical="center"/>
    </xf>
    <xf numFmtId="0" fontId="6" fillId="0" borderId="10" xfId="0" applyFont="1" applyBorder="1" applyAlignment="1">
      <alignment vertical="center" wrapText="1"/>
    </xf>
    <xf numFmtId="0" fontId="9" fillId="11" borderId="13" xfId="0" applyFont="1" applyFill="1" applyBorder="1" applyAlignment="1">
      <alignment horizontal="center" vertical="center"/>
    </xf>
    <xf numFmtId="0" fontId="9" fillId="11" borderId="14" xfId="0" applyFont="1" applyFill="1" applyBorder="1" applyAlignment="1">
      <alignment horizontal="center" vertical="center"/>
    </xf>
    <xf numFmtId="0" fontId="9" fillId="11" borderId="0" xfId="0" applyFont="1" applyFill="1" applyAlignment="1">
      <alignment horizontal="center" vertical="center"/>
    </xf>
    <xf numFmtId="0" fontId="7" fillId="19" borderId="5" xfId="0" applyFont="1" applyFill="1" applyBorder="1" applyAlignment="1">
      <alignment horizontal="center" vertical="center" wrapText="1"/>
    </xf>
    <xf numFmtId="0" fontId="16" fillId="0" borderId="0" xfId="0" applyFont="1" applyAlignment="1">
      <alignment vertical="center" wrapText="1"/>
    </xf>
    <xf numFmtId="0" fontId="0" fillId="0" borderId="0" xfId="0" applyAlignment="1">
      <alignment horizontal="center" vertical="center" wrapText="1"/>
    </xf>
    <xf numFmtId="0" fontId="8" fillId="3" borderId="0" xfId="0" applyFont="1" applyFill="1" applyAlignment="1">
      <alignment horizontal="center" vertical="center"/>
    </xf>
    <xf numFmtId="0" fontId="17" fillId="0" borderId="0" xfId="0" applyFont="1"/>
    <xf numFmtId="0" fontId="12" fillId="0" borderId="0" xfId="0" applyFont="1" applyAlignment="1">
      <alignment wrapText="1"/>
    </xf>
    <xf numFmtId="0" fontId="6" fillId="0" borderId="1" xfId="0" applyFont="1" applyBorder="1" applyAlignment="1">
      <alignment horizontal="center" vertical="center" wrapText="1"/>
    </xf>
    <xf numFmtId="0" fontId="13" fillId="12" borderId="18" xfId="0" applyFont="1" applyFill="1" applyBorder="1" applyAlignment="1">
      <alignment horizontal="center" vertical="center"/>
    </xf>
    <xf numFmtId="0" fontId="0" fillId="0" borderId="1" xfId="0" applyBorder="1" applyAlignment="1">
      <alignment horizontal="left" vertical="center" wrapText="1"/>
    </xf>
    <xf numFmtId="0" fontId="21" fillId="12" borderId="18" xfId="0" applyFont="1" applyFill="1" applyBorder="1" applyAlignment="1">
      <alignment horizontal="center" vertical="center" wrapText="1"/>
    </xf>
    <xf numFmtId="0" fontId="5" fillId="0" borderId="1" xfId="0" applyFont="1" applyBorder="1" applyAlignment="1">
      <alignment horizontal="left" vertical="center" wrapText="1"/>
    </xf>
    <xf numFmtId="0" fontId="13" fillId="12" borderId="19" xfId="0" applyFont="1" applyFill="1" applyBorder="1" applyAlignment="1">
      <alignment horizontal="center" vertical="center"/>
    </xf>
    <xf numFmtId="0" fontId="10" fillId="22" borderId="7" xfId="0" applyFont="1" applyFill="1" applyBorder="1" applyAlignment="1">
      <alignment horizontal="center" vertical="center"/>
    </xf>
    <xf numFmtId="0" fontId="13" fillId="0" borderId="0" xfId="0" applyFont="1"/>
    <xf numFmtId="0" fontId="8" fillId="9" borderId="18" xfId="0" applyFont="1" applyFill="1" applyBorder="1" applyAlignment="1">
      <alignment horizontal="center"/>
    </xf>
    <xf numFmtId="166" fontId="12" fillId="0" borderId="0" xfId="0" applyNumberFormat="1" applyFont="1" applyAlignment="1">
      <alignment horizontal="center" vertical="center"/>
    </xf>
    <xf numFmtId="167" fontId="12" fillId="0" borderId="0" xfId="0" applyNumberFormat="1" applyFont="1" applyAlignment="1">
      <alignment horizontal="center" vertical="center"/>
    </xf>
    <xf numFmtId="0" fontId="0" fillId="0" borderId="1" xfId="0" applyBorder="1" applyAlignment="1">
      <alignment horizontal="right" vertical="center" wrapText="1"/>
    </xf>
    <xf numFmtId="0" fontId="23" fillId="0" borderId="0" xfId="0" applyFont="1"/>
    <xf numFmtId="0" fontId="13" fillId="12" borderId="0" xfId="0" applyFont="1" applyFill="1" applyAlignment="1">
      <alignment horizontal="center" vertical="center"/>
    </xf>
    <xf numFmtId="164" fontId="0" fillId="0" borderId="0" xfId="0" applyNumberFormat="1"/>
    <xf numFmtId="0" fontId="4" fillId="17" borderId="6" xfId="0" applyFont="1" applyFill="1" applyBorder="1" applyAlignment="1">
      <alignment horizontal="center" vertical="center" wrapText="1"/>
    </xf>
    <xf numFmtId="165" fontId="5" fillId="0" borderId="3" xfId="0" applyNumberFormat="1" applyFont="1" applyBorder="1" applyAlignment="1">
      <alignment vertical="center" wrapText="1"/>
    </xf>
    <xf numFmtId="164" fontId="20" fillId="0" borderId="6" xfId="0" applyNumberFormat="1" applyFont="1" applyBorder="1" applyAlignment="1">
      <alignment horizontal="center" vertical="center" wrapText="1"/>
    </xf>
    <xf numFmtId="168" fontId="0" fillId="0" borderId="1" xfId="1" applyNumberFormat="1" applyFont="1" applyBorder="1" applyAlignment="1">
      <alignment vertical="center" wrapText="1"/>
    </xf>
    <xf numFmtId="168" fontId="0" fillId="0" borderId="8" xfId="1" applyNumberFormat="1" applyFont="1" applyBorder="1" applyAlignment="1">
      <alignment vertical="center" wrapText="1"/>
    </xf>
    <xf numFmtId="2" fontId="0" fillId="0" borderId="3" xfId="0" applyNumberFormat="1" applyBorder="1" applyAlignment="1">
      <alignment vertical="center" wrapText="1"/>
    </xf>
    <xf numFmtId="2" fontId="0" fillId="0" borderId="9" xfId="0" applyNumberFormat="1" applyBorder="1" applyAlignment="1">
      <alignment vertical="center" wrapText="1"/>
    </xf>
    <xf numFmtId="168" fontId="0" fillId="0" borderId="0" xfId="0" applyNumberFormat="1"/>
    <xf numFmtId="0" fontId="7" fillId="2" borderId="8" xfId="0" applyFont="1" applyFill="1" applyBorder="1" applyAlignment="1">
      <alignment horizontal="center" vertical="center" wrapText="1"/>
    </xf>
    <xf numFmtId="0" fontId="7" fillId="8" borderId="8" xfId="0" applyFont="1" applyFill="1" applyBorder="1" applyAlignment="1">
      <alignment horizontal="center" vertical="center" wrapText="1"/>
    </xf>
    <xf numFmtId="0" fontId="8" fillId="8" borderId="5"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4" borderId="17"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6" borderId="17"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7" fillId="8" borderId="17" xfId="0" applyFont="1" applyFill="1" applyBorder="1" applyAlignment="1">
      <alignment horizontal="center" vertical="center" wrapText="1"/>
    </xf>
    <xf numFmtId="0" fontId="7" fillId="18" borderId="17" xfId="0" applyFont="1" applyFill="1" applyBorder="1" applyAlignment="1">
      <alignment horizontal="center" vertical="center" wrapText="1"/>
    </xf>
    <xf numFmtId="0" fontId="0" fillId="0" borderId="0" xfId="0" pivotButton="1"/>
    <xf numFmtId="43" fontId="0" fillId="0" borderId="0" xfId="0" applyNumberFormat="1"/>
    <xf numFmtId="0" fontId="0" fillId="0" borderId="0" xfId="0" applyAlignment="1">
      <alignment horizontal="right" indent="1"/>
    </xf>
    <xf numFmtId="14" fontId="0" fillId="0" borderId="0" xfId="0" applyNumberFormat="1" applyAlignment="1">
      <alignment horizontal="right"/>
    </xf>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27" fillId="0" borderId="0" xfId="0" applyFont="1"/>
    <xf numFmtId="168" fontId="0" fillId="0" borderId="0" xfId="1" applyNumberFormat="1" applyFont="1"/>
    <xf numFmtId="0" fontId="26" fillId="19" borderId="0" xfId="0" applyFont="1" applyFill="1" applyAlignment="1">
      <alignment horizontal="center"/>
    </xf>
    <xf numFmtId="0" fontId="0" fillId="0" borderId="0" xfId="0" applyAlignment="1">
      <alignment horizontal="center"/>
    </xf>
    <xf numFmtId="0" fontId="25" fillId="13" borderId="0" xfId="0" applyFont="1" applyFill="1" applyAlignment="1">
      <alignment horizontal="center"/>
    </xf>
    <xf numFmtId="0" fontId="2" fillId="10" borderId="0" xfId="0" applyFont="1" applyFill="1" applyAlignment="1">
      <alignment horizontal="center" vertical="center"/>
    </xf>
    <xf numFmtId="0" fontId="2" fillId="3" borderId="0" xfId="0" applyFont="1" applyFill="1" applyAlignment="1">
      <alignment horizontal="center" vertical="center"/>
    </xf>
    <xf numFmtId="0" fontId="7" fillId="4" borderId="11" xfId="0" applyFont="1" applyFill="1" applyBorder="1" applyAlignment="1">
      <alignment horizontal="center" vertical="center" wrapText="1"/>
    </xf>
    <xf numFmtId="0" fontId="7" fillId="4" borderId="0" xfId="0" applyFont="1" applyFill="1" applyAlignment="1">
      <alignment horizontal="center" vertical="center" wrapText="1"/>
    </xf>
    <xf numFmtId="0" fontId="7" fillId="4" borderId="12" xfId="0" applyFont="1" applyFill="1" applyBorder="1" applyAlignment="1">
      <alignment horizontal="center" vertical="center" wrapText="1"/>
    </xf>
    <xf numFmtId="0" fontId="2" fillId="2" borderId="0" xfId="0" applyFont="1" applyFill="1" applyAlignment="1">
      <alignment horizontal="center" vertical="center"/>
    </xf>
    <xf numFmtId="0" fontId="7" fillId="5" borderId="11"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12"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0" xfId="0" applyFont="1" applyFill="1" applyAlignment="1">
      <alignment horizontal="center" vertical="center" wrapText="1"/>
    </xf>
    <xf numFmtId="0" fontId="7" fillId="6" borderId="12" xfId="0" applyFont="1" applyFill="1" applyBorder="1" applyAlignment="1">
      <alignment horizontal="center" vertical="center" wrapText="1"/>
    </xf>
    <xf numFmtId="0" fontId="7" fillId="18" borderId="7" xfId="0" applyFont="1" applyFill="1" applyBorder="1" applyAlignment="1">
      <alignment horizontal="center" vertical="center" wrapText="1"/>
    </xf>
    <xf numFmtId="0" fontId="7" fillId="18" borderId="9" xfId="0" applyFont="1" applyFill="1" applyBorder="1" applyAlignment="1">
      <alignment horizontal="center" vertical="center" wrapText="1"/>
    </xf>
    <xf numFmtId="0" fontId="7" fillId="7" borderId="11" xfId="0" applyFont="1" applyFill="1" applyBorder="1" applyAlignment="1">
      <alignment horizontal="center" vertical="center" wrapText="1"/>
    </xf>
    <xf numFmtId="0" fontId="7" fillId="7" borderId="0" xfId="0" applyFont="1" applyFill="1" applyAlignment="1">
      <alignment horizontal="center" vertical="center" wrapText="1"/>
    </xf>
    <xf numFmtId="0" fontId="7" fillId="7" borderId="12"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12" xfId="0" applyFont="1" applyFill="1" applyBorder="1" applyAlignment="1">
      <alignment horizontal="center" vertical="center" wrapText="1"/>
    </xf>
    <xf numFmtId="0" fontId="2" fillId="9" borderId="0" xfId="0" applyFont="1" applyFill="1" applyAlignment="1">
      <alignment horizontal="center" vertical="center"/>
    </xf>
    <xf numFmtId="0" fontId="18" fillId="21" borderId="1" xfId="0" applyFont="1" applyFill="1" applyBorder="1" applyAlignment="1">
      <alignment horizontal="center" vertical="center" wrapText="1"/>
    </xf>
    <xf numFmtId="0" fontId="2" fillId="14" borderId="0" xfId="0" applyFont="1" applyFill="1" applyAlignment="1">
      <alignment horizontal="center" vertical="center"/>
    </xf>
    <xf numFmtId="0" fontId="11" fillId="13" borderId="0" xfId="0" applyFont="1" applyFill="1" applyAlignment="1">
      <alignment horizontal="center" vertical="center"/>
    </xf>
    <xf numFmtId="0" fontId="14" fillId="13" borderId="0" xfId="0" applyFont="1" applyFill="1" applyAlignment="1">
      <alignment horizontal="center" vertical="center"/>
    </xf>
    <xf numFmtId="0" fontId="24" fillId="13" borderId="0" xfId="0" applyFont="1" applyFill="1" applyAlignment="1">
      <alignment horizontal="center" vertical="center"/>
    </xf>
  </cellXfs>
  <cellStyles count="2">
    <cellStyle name="Comma" xfId="1" builtinId="3"/>
    <cellStyle name="Normal" xfId="0" builtinId="0"/>
  </cellStyles>
  <dxfs count="137">
    <dxf>
      <fill>
        <patternFill>
          <bgColor rgb="FFFF7C80"/>
        </patternFill>
      </fill>
    </dxf>
    <dxf>
      <fill>
        <patternFill>
          <bgColor rgb="FFFFFF99"/>
        </patternFill>
      </fill>
    </dxf>
    <dxf>
      <fill>
        <patternFill>
          <bgColor rgb="FF92D050"/>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numFmt numFmtId="166" formatCode="m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166" formatCode="mmm\-yyyy"/>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alignment horizontal="center" textRotation="0" wrapText="0" indent="0" justifyLastLine="0" shrinkToFit="0" readingOrder="0"/>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alignment horizontal="center" vertical="bottom" textRotation="0" wrapText="0" indent="0" justifyLastLine="0" shrinkToFit="0" readingOrder="0"/>
    </dxf>
    <dxf>
      <font>
        <strike val="0"/>
        <outline val="0"/>
        <shadow val="0"/>
        <u val="none"/>
        <vertAlign val="baseline"/>
        <sz val="10"/>
        <color theme="1"/>
        <name val="Arial"/>
        <family val="2"/>
        <scheme val="none"/>
      </font>
      <numFmt numFmtId="167" formatCode="yyyy\-mm"/>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center" vertical="center" textRotation="0" wrapText="1"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trike val="0"/>
        <outline val="0"/>
        <shadow val="0"/>
        <u val="none"/>
        <vertAlign val="baseline"/>
        <sz val="10"/>
        <color theme="1"/>
        <name val="Arial"/>
        <family val="2"/>
        <scheme val="none"/>
      </font>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1"/>
        <color theme="1"/>
        <name val="Calibri"/>
        <family val="2"/>
        <charset val="1"/>
        <scheme val="none"/>
      </font>
      <alignment horizontal="center" vertical="center" textRotation="0" wrapText="0" indent="0" justifyLastLine="0" shrinkToFit="0" readingOrder="0"/>
    </dxf>
    <dxf>
      <font>
        <strike val="0"/>
        <outline val="0"/>
        <shadow val="0"/>
        <u val="none"/>
        <vertAlign val="baseline"/>
        <sz val="11"/>
        <color theme="1"/>
        <name val="Calibri"/>
        <family val="2"/>
        <charset val="1"/>
        <scheme val="none"/>
      </font>
      <alignment horizontal="center" vertical="center" textRotation="0" wrapText="0" indent="0" justifyLastLine="0" shrinkToFit="0" readingOrder="0"/>
    </dxf>
    <dxf>
      <font>
        <strike val="0"/>
        <outline val="0"/>
        <shadow val="0"/>
        <u val="none"/>
        <vertAlign val="baseline"/>
        <sz val="11"/>
        <color theme="1"/>
        <name val="Calibri"/>
        <family val="2"/>
        <charset val="1"/>
        <scheme val="none"/>
      </font>
      <alignment horizontal="center" vertical="center" textRotation="0" wrapText="0" indent="0" justifyLastLine="0" shrinkToFit="0" readingOrder="0"/>
    </dxf>
    <dxf>
      <font>
        <strike val="0"/>
        <outline val="0"/>
        <shadow val="0"/>
        <u val="none"/>
        <vertAlign val="baseline"/>
        <sz val="11"/>
        <color theme="1"/>
        <name val="Calibri"/>
        <family val="2"/>
        <charset val="1"/>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numFmt numFmtId="0" formatCode="General"/>
    </dxf>
    <dxf>
      <numFmt numFmtId="0" formatCode="General"/>
    </dxf>
    <dxf>
      <font>
        <strike val="0"/>
        <outline val="0"/>
        <shadow val="0"/>
        <u val="none"/>
        <vertAlign val="baseline"/>
        <sz val="10"/>
        <color theme="1"/>
        <name val="Arial"/>
        <family val="2"/>
        <scheme val="none"/>
      </font>
      <alignment horizontal="center" vertical="center" textRotation="0" wrapText="0" indent="0" justifyLastLine="0" shrinkToFit="0" readingOrder="0"/>
    </dxf>
    <dxf>
      <font>
        <sz val="10"/>
        <name val="Arial"/>
        <family val="2"/>
      </font>
      <alignment horizontal="center" vertical="center" textRotation="0" wrapText="0" indent="0" justifyLastLine="0" shrinkToFit="0" readingOrder="0"/>
    </dxf>
    <dxf>
      <font>
        <sz val="10"/>
        <name val="Arial"/>
        <family val="2"/>
      </font>
      <alignment horizontal="center" vertical="center" textRotation="0" wrapText="0" indent="0" justifyLastLine="0" shrinkToFit="0" readingOrder="0"/>
    </dxf>
    <dxf>
      <font>
        <sz val="10"/>
        <name val="Arial"/>
        <family val="2"/>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0"/>
        <color rgb="FF222222"/>
        <name val="Calibri"/>
        <family val="2"/>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168" formatCode="_(* #,##0_);_(* \(#,##0\);_(* &quot;-&quot;??_);_(@_)"/>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numFmt numFmtId="0" formatCode="General"/>
    </dxf>
    <dxf>
      <numFmt numFmtId="0" formatCode="General"/>
    </dxf>
    <dxf>
      <font>
        <b val="0"/>
        <i val="0"/>
        <strike val="0"/>
        <condense val="0"/>
        <extend val="0"/>
        <outline val="0"/>
        <shadow val="0"/>
        <u val="none"/>
        <vertAlign val="baseline"/>
        <sz val="11"/>
        <color theme="1"/>
        <name val="Calibri"/>
        <family val="2"/>
        <charset val="1"/>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0" formatCode="General"/>
      <fill>
        <patternFill patternType="none">
          <fgColor indexed="64"/>
          <bgColor indexed="65"/>
        </patternFill>
      </fill>
      <alignment horizontal="left"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1"/>
        <color theme="1"/>
        <name val="Calibri"/>
        <family val="2"/>
        <charset val="1"/>
        <scheme val="none"/>
      </font>
      <numFmt numFmtId="0" formatCode="General"/>
      <fill>
        <patternFill patternType="none">
          <fgColor indexed="64"/>
          <bgColor indexed="65"/>
        </patternFill>
      </fill>
      <alignment horizontal="right"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border outline="0">
        <right style="thin">
          <color rgb="FFCCDDDA"/>
        </right>
      </border>
    </dxf>
    <dxf>
      <font>
        <b val="0"/>
        <i val="0"/>
        <strike val="0"/>
        <condense val="0"/>
        <extend val="0"/>
        <outline val="0"/>
        <shadow val="0"/>
        <u val="none"/>
        <vertAlign val="baseline"/>
        <sz val="11"/>
        <color rgb="FF222222"/>
        <name val="Calibri"/>
        <family val="2"/>
        <scheme val="none"/>
      </font>
      <numFmt numFmtId="164" formatCode="yyyy\-mm\-dd;@"/>
      <fill>
        <patternFill patternType="none">
          <fgColor indexed="64"/>
          <bgColor indexed="65"/>
        </patternFill>
      </fill>
      <alignment horizontal="center" vertical="center" textRotation="0" wrapText="1" indent="0" justifyLastLine="0" shrinkToFit="0" readingOrder="0"/>
      <border diagonalUp="0" diagonalDown="0">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top style="thin">
          <color rgb="FFCCDDDA"/>
        </top>
        <bottom style="thin">
          <color rgb="FFCCDDDA"/>
        </bottom>
        <vertical/>
        <horizontal/>
      </border>
    </dxf>
    <dxf>
      <border outline="0">
        <top style="thin">
          <color rgb="FFCCDDDA"/>
        </top>
      </border>
    </dxf>
    <dxf>
      <border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dxf>
    <dxf>
      <border outline="0">
        <bottom style="thin">
          <color rgb="FFCCDDDA"/>
        </bottom>
      </border>
    </dxf>
    <dxf>
      <font>
        <b/>
        <i val="0"/>
        <strike val="0"/>
        <condense val="0"/>
        <extend val="0"/>
        <outline val="0"/>
        <shadow val="0"/>
        <u val="none"/>
        <vertAlign val="baseline"/>
        <sz val="10"/>
        <color rgb="FFFFFFFF"/>
        <name val="Calibri"/>
        <family val="2"/>
        <scheme val="none"/>
      </font>
      <fill>
        <patternFill patternType="solid">
          <fgColor indexed="64"/>
          <bgColor rgb="FF0A6B58"/>
        </patternFill>
      </fill>
      <alignment horizontal="center" vertical="center" textRotation="0" wrapText="1" indent="0" justifyLastLine="0" shrinkToFit="0" readingOrder="0"/>
      <border diagonalUp="0" diagonalDown="0" outline="0">
        <left style="thin">
          <color rgb="FFCCDDDA"/>
        </left>
        <right style="thin">
          <color rgb="FFCCDDDA"/>
        </right>
        <top/>
        <bottom/>
      </border>
    </dxf>
    <dxf>
      <numFmt numFmtId="164" formatCode="yyyy\-mm\-dd;@"/>
    </dxf>
    <dxf>
      <numFmt numFmtId="0" formatCode="General"/>
    </dxf>
    <dxf>
      <alignment horizontal="center" vertical="center" textRotation="0" wrapText="0" indent="0" justifyLastLine="0" shrinkToFit="0" readingOrder="0"/>
    </dxf>
    <dxf>
      <border outline="0">
        <top style="thin">
          <color rgb="FFCCDDDA"/>
        </top>
      </border>
    </dxf>
    <dxf>
      <border outline="0">
        <left style="thin">
          <color rgb="FFCCDDDA"/>
        </left>
        <right style="thin">
          <color rgb="FFCCDDDA"/>
        </right>
        <top style="thin">
          <color rgb="FFCCDDDA"/>
        </top>
        <bottom style="thin">
          <color rgb="FFCCDDDA"/>
        </bottom>
      </border>
    </dxf>
    <dxf>
      <border outline="0">
        <bottom style="thin">
          <color rgb="FFCCDDDA"/>
        </bottom>
      </border>
    </dxf>
    <dxf>
      <font>
        <b/>
        <i val="0"/>
        <strike val="0"/>
        <condense val="0"/>
        <extend val="0"/>
        <outline val="0"/>
        <shadow val="0"/>
        <u val="none"/>
        <vertAlign val="baseline"/>
        <sz val="10"/>
        <color rgb="FFFFFFFF"/>
        <name val="Calibri"/>
        <family val="2"/>
        <scheme val="none"/>
      </font>
      <fill>
        <patternFill patternType="solid">
          <fgColor rgb="FFFF6300"/>
          <bgColor rgb="FFCC4948"/>
        </patternFill>
      </fill>
      <alignment horizontal="center" vertical="center" textRotation="0" wrapText="1" indent="0" justifyLastLine="0" shrinkToFit="0" readingOrder="0"/>
      <border diagonalUp="0" diagonalDown="0" outline="0">
        <left style="thin">
          <color rgb="FFCCDDDA"/>
        </left>
        <right style="thin">
          <color rgb="FFCCDDDA"/>
        </right>
        <top/>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165" formatCode="0.0"/>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numFmt numFmtId="165" formatCode="0.0"/>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2" formatCode="0.00"/>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numFmt numFmtId="2" formatCode="0.00"/>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0" formatCode="Genera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FreeSans"/>
        <family val="2"/>
        <scheme val="none"/>
      </font>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FreeSans"/>
        <family val="2"/>
        <scheme val="none"/>
      </font>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FreeSans"/>
        <family val="2"/>
        <scheme val="none"/>
      </font>
      <numFmt numFmtId="0" formatCode="Genera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FreeSans"/>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FreeSans"/>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FreeSans"/>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164" formatCode="yyyy\-mm\-dd;@"/>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numFmt numFmtId="164" formatCode="yyyy\-mm\-dd;@"/>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numFmt numFmtId="164" formatCode="yyyy\-mm\-dd;@"/>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164" formatCode="yyyy\-mm\-dd;@"/>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30" formatCode="@"/>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left"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0" formatCode="Genera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FreeSans"/>
        <family val="2"/>
        <scheme val="none"/>
      </font>
      <numFmt numFmtId="0" formatCode="General"/>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vertical/>
        <horizontal/>
      </border>
    </dxf>
    <dxf>
      <font>
        <b val="0"/>
        <i val="0"/>
        <strike val="0"/>
        <condense val="0"/>
        <extend val="0"/>
        <outline val="0"/>
        <shadow val="0"/>
        <u val="none"/>
        <vertAlign val="baseline"/>
        <sz val="10"/>
        <color rgb="FF222222"/>
        <name val="FreeSans"/>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rgb="FFCCDDDA"/>
        </left>
        <right style="thin">
          <color rgb="FFCCDDDA"/>
        </right>
        <top style="thin">
          <color rgb="FFCCDDDA"/>
        </top>
        <bottom style="thin">
          <color rgb="FFCCDDDA"/>
        </bottom>
      </border>
    </dxf>
    <dxf>
      <border outline="0">
        <top style="thin">
          <color rgb="FFCCDDDA"/>
        </top>
      </border>
    </dxf>
    <dxf>
      <border outline="0">
        <left style="thin">
          <color rgb="FFCCDDDA"/>
        </left>
        <right style="thin">
          <color rgb="FFCCDDDA"/>
        </right>
        <top style="thin">
          <color rgb="FFCCDDDA"/>
        </top>
        <bottom style="thin">
          <color rgb="FFCCDDDA"/>
        </bottom>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dxf>
    <dxf>
      <border outline="0">
        <bottom style="thin">
          <color rgb="FFCCDDDA"/>
        </bottom>
      </border>
    </dxf>
    <dxf>
      <font>
        <b/>
        <i val="0"/>
        <strike val="0"/>
        <condense val="0"/>
        <extend val="0"/>
        <outline val="0"/>
        <shadow val="0"/>
        <u val="none"/>
        <vertAlign val="baseline"/>
        <sz val="10"/>
        <color rgb="FFFFFFFF"/>
        <name val="Calibri"/>
        <family val="2"/>
        <scheme val="none"/>
      </font>
      <fill>
        <patternFill patternType="solid">
          <fgColor indexed="64"/>
          <bgColor rgb="FF0A6B58"/>
        </patternFill>
      </fill>
      <alignment horizontal="center" vertical="center" textRotation="0" wrapText="1" indent="0" justifyLastLine="0" shrinkToFit="0" readingOrder="0"/>
      <border diagonalUp="0" diagonalDown="0" outline="0">
        <left style="thin">
          <color rgb="FFCCDDDA"/>
        </left>
        <right style="thin">
          <color rgb="FFCCDDDA"/>
        </right>
        <top/>
        <bottom/>
      </border>
    </dxf>
    <dxf>
      <numFmt numFmtId="0" formatCode="General"/>
    </dxf>
    <dxf>
      <numFmt numFmtId="164" formatCode="yyyy\-mm\-dd;@"/>
    </dxf>
    <dxf>
      <numFmt numFmtId="164" formatCode="yyyy\-mm\-dd;@"/>
    </dxf>
    <dxf>
      <font>
        <strike val="0"/>
        <outline val="0"/>
        <shadow val="0"/>
        <u val="none"/>
        <vertAlign val="baseline"/>
        <sz val="11"/>
        <color theme="0"/>
        <name val="Calibri"/>
        <family val="2"/>
        <charset val="1"/>
        <scheme val="none"/>
      </font>
      <fill>
        <patternFill patternType="solid">
          <fgColor indexed="64"/>
          <bgColor rgb="FF0A6B58"/>
        </patternFill>
      </fill>
      <alignment horizontal="center" vertical="center" textRotation="0" wrapText="0" indent="0" justifyLastLine="0" shrinkToFit="0" readingOrder="0"/>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style="thin">
          <color rgb="FFCCDDDA"/>
        </right>
        <top style="thin">
          <color rgb="FFCCDDDA"/>
        </top>
        <bottom/>
        <vertical/>
        <horizontal/>
      </border>
    </dxf>
    <dxf>
      <font>
        <b val="0"/>
        <i val="0"/>
        <strike val="0"/>
        <condense val="0"/>
        <extend val="0"/>
        <outline val="0"/>
        <shadow val="0"/>
        <u val="none"/>
        <vertAlign val="baseline"/>
        <sz val="10"/>
        <color rgb="FF222222"/>
        <name val="Free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top/>
        <bottom/>
        <vertical/>
        <horizontal/>
      </border>
    </dxf>
    <dxf>
      <font>
        <b val="0"/>
        <i val="0"/>
        <strike val="0"/>
        <condense val="0"/>
        <extend val="0"/>
        <outline val="0"/>
        <shadow val="0"/>
        <u val="none"/>
        <vertAlign val="baseline"/>
        <sz val="10"/>
        <color rgb="FF222222"/>
        <name val="FreeSans"/>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top style="thin">
          <color rgb="FFCCDDDA"/>
        </top>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top style="thin">
          <color rgb="FFCCDDDA"/>
        </top>
        <bottom/>
        <vertical/>
        <horizontal/>
      </border>
    </dxf>
    <dxf>
      <font>
        <b val="0"/>
        <i val="0"/>
        <strike val="0"/>
        <condense val="0"/>
        <extend val="0"/>
        <outline val="0"/>
        <shadow val="0"/>
        <u val="none"/>
        <vertAlign val="baseline"/>
        <sz val="10"/>
        <color rgb="FF222222"/>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rgb="FFCCDDDA"/>
        </left>
        <right/>
        <top style="thin">
          <color rgb="FFCCDDDA"/>
        </top>
        <bottom/>
        <vertical/>
        <horizontal/>
      </border>
    </dxf>
    <dxf>
      <border outline="0">
        <top style="thin">
          <color rgb="FFCCDDDA"/>
        </top>
        <bottom style="medium">
          <color theme="1"/>
        </bottom>
      </border>
    </dxf>
    <dxf>
      <font>
        <b/>
        <i val="0"/>
        <strike val="0"/>
        <condense val="0"/>
        <extend val="0"/>
        <outline val="0"/>
        <shadow val="0"/>
        <u val="none"/>
        <vertAlign val="baseline"/>
        <sz val="10"/>
        <color rgb="FFFFFFFF"/>
        <name val="Calibri"/>
        <family val="2"/>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rgb="FFCCDDDA"/>
        </left>
        <right style="thin">
          <color rgb="FFCCDDDA"/>
        </right>
        <top/>
        <bottom/>
      </border>
    </dxf>
    <dxf>
      <font>
        <sz val="11"/>
        <color theme="0"/>
        <name val="Calibri"/>
        <family val="2"/>
        <scheme val="minor"/>
      </font>
    </dxf>
    <dxf>
      <font>
        <sz val="10"/>
        <color theme="0"/>
      </font>
      <fill>
        <patternFill patternType="solid">
          <fgColor theme="0"/>
          <bgColor rgb="FF5DADE2"/>
        </patternFill>
      </fill>
      <border>
        <left style="thin">
          <color rgb="FFE5E7E9"/>
        </left>
        <right style="thin">
          <color rgb="FFE5E7E9"/>
        </right>
        <top style="thin">
          <color rgb="FFE5E7E9"/>
        </top>
        <bottom style="thin">
          <color rgb="FFE5E7E9"/>
        </bottom>
      </border>
    </dxf>
    <dxf>
      <font>
        <b/>
        <i val="0"/>
        <sz val="10"/>
        <color theme="0"/>
      </font>
    </dxf>
    <dxf>
      <fill>
        <patternFill>
          <bgColor rgb="FF5DADE2"/>
        </patternFill>
      </fill>
    </dxf>
  </dxfs>
  <tableStyles count="2" defaultTableStyle="TableStyleMedium2" defaultPivotStyle="PivotStyleLight16">
    <tableStyle name="Slicer Style 1" pivot="0" table="0" count="10" xr9:uid="{EEC5F3E7-9FE5-4D79-BC02-2CC9F0F082CF}">
      <tableStyleElement type="wholeTable" dxfId="136"/>
      <tableStyleElement type="headerRow" dxfId="135"/>
    </tableStyle>
    <tableStyle name="Timeline Style 1" pivot="0" table="0" count="8" xr9:uid="{378A26F7-3E75-4EB0-857C-4AD086A2F5C4}">
      <tableStyleElement type="wholeTable" dxfId="134"/>
      <tableStyleElement type="headerRow" dxfId="133"/>
    </tableStyle>
  </tableStyles>
  <colors>
    <indexedColors>
      <rgbColor rgb="FF000000"/>
      <rgbColor rgb="FFFFFFFF"/>
      <rgbColor rgb="FFFF0000"/>
      <rgbColor rgb="FF00FF00"/>
      <rgbColor rgb="FF0000FF"/>
      <rgbColor rgb="FFFFFF00"/>
      <rgbColor rgb="FFFF00FF"/>
      <rgbColor rgb="FF00FFFF"/>
      <rgbColor rgb="FF7A1A1A"/>
      <rgbColor rgb="FF2D6B2D"/>
      <rgbColor rgb="FF000080"/>
      <rgbColor rgb="FF8B6000"/>
      <rgbColor rgb="FF800080"/>
      <rgbColor rgb="FF0A7A6E"/>
      <rgbColor rgb="FFD1B671"/>
      <rgbColor rgb="FF888888"/>
      <rgbColor rgb="FF9999FF"/>
      <rgbColor rgb="FFCC4948"/>
      <rgbColor rgb="FFFFFDE7"/>
      <rgbColor rgb="FFEAF4F2"/>
      <rgbColor rgb="FF660066"/>
      <rgbColor rgb="FFFF8080"/>
      <rgbColor rgb="FF1A5C8E"/>
      <rgbColor rgb="FFCCDDDA"/>
      <rgbColor rgb="FF000080"/>
      <rgbColor rgb="FFFF00FF"/>
      <rgbColor rgb="FFFFFF00"/>
      <rgbColor rgb="FF00FFFF"/>
      <rgbColor rgb="FF800080"/>
      <rgbColor rgb="FF800000"/>
      <rgbColor rgb="FF0A6B58"/>
      <rgbColor rgb="FF0000FF"/>
      <rgbColor rgb="FF00CCFF"/>
      <rgbColor rgb="FFF5F9F8"/>
      <rgbColor rgb="FFCCFFCC"/>
      <rgbColor rgb="FFFFF2CC"/>
      <rgbColor rgb="FF99CCFF"/>
      <rgbColor rgb="FFFF99CC"/>
      <rgbColor rgb="FFCC99FF"/>
      <rgbColor rgb="FFFFCC99"/>
      <rgbColor rgb="FF3366FF"/>
      <rgbColor rgb="FF1AC8BF"/>
      <rgbColor rgb="FF99CC00"/>
      <rgbColor rgb="FFFFCC00"/>
      <rgbColor rgb="FFFF9900"/>
      <rgbColor rgb="FFFF6300"/>
      <rgbColor rgb="FF666666"/>
      <rgbColor rgb="FF70C16F"/>
      <rgbColor rgb="FF085648"/>
      <rgbColor rgb="FF339966"/>
      <rgbColor rgb="FF111111"/>
      <rgbColor rgb="FF222222"/>
      <rgbColor rgb="FF7A4F00"/>
      <rgbColor rgb="FF7A4F1A"/>
      <rgbColor rgb="FF4A1A7A"/>
      <rgbColor rgb="FF333333"/>
      <rgbColor rgb="00003366"/>
      <rgbColor rgb="00339966"/>
      <rgbColor rgb="00003300"/>
      <rgbColor rgb="00333300"/>
      <rgbColor rgb="00993300"/>
      <rgbColor rgb="00993366"/>
      <rgbColor rgb="00333399"/>
      <rgbColor rgb="00333333"/>
    </indexedColors>
    <mruColors>
      <color rgb="FFE5E7E9"/>
      <color rgb="FF5DADE2"/>
      <color rgb="FF66FFFF"/>
      <color rgb="FF003366"/>
      <color rgb="FF1268A2"/>
      <color rgb="FF2E9EEA"/>
      <color rgb="FF1388D7"/>
      <color rgb="FF0E66A2"/>
      <color rgb="FF155179"/>
      <color rgb="FFCCFFFF"/>
    </mruColors>
  </colors>
  <extLst>
    <ext xmlns:x14="http://schemas.microsoft.com/office/spreadsheetml/2009/9/main" uri="{46F421CA-312F-682f-3DD2-61675219B42D}">
      <x14:dxfs count="8">
        <dxf>
          <fill>
            <patternFill>
              <bgColor theme="0" tint="-0.14996795556505021"/>
            </patternFill>
          </fill>
        </dxf>
        <dxf>
          <fill>
            <patternFill>
              <bgColor theme="0" tint="-4.9989318521683403E-2"/>
            </patternFill>
          </fill>
        </dxf>
        <dxf>
          <fill>
            <patternFill>
              <bgColor theme="0" tint="-0.14996795556505021"/>
            </patternFill>
          </fill>
        </dxf>
        <dxf>
          <fill>
            <patternFill>
              <bgColor theme="0" tint="-4.9989318521683403E-2"/>
            </patternFill>
          </fill>
        </dxf>
        <dxf>
          <fill>
            <patternFill>
              <bgColor rgb="FFE9ECEF"/>
            </patternFill>
          </fill>
        </dxf>
        <dxf>
          <fill>
            <patternFill>
              <bgColor rgb="FFE9ECEF"/>
            </patternFill>
          </fill>
        </dxf>
        <dxf>
          <fill>
            <patternFill>
              <bgColor rgb="FFE9ECEF"/>
            </patternFill>
          </fill>
        </dxf>
        <dxf>
          <fill>
            <patternFill>
              <bgColor rgb="FFE9ECE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0"/>
            <name val="Calibri"/>
            <family val="2"/>
            <scheme val="minor"/>
          </font>
        </dxf>
        <dxf>
          <font>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microsoft.com/office/2007/relationships/slicerCache" Target="slicerCaches/slicerCache6.xml"/><Relationship Id="rId47" Type="http://schemas.openxmlformats.org/officeDocument/2006/relationships/connections" Target="connections.xml"/><Relationship Id="rId63" Type="http://schemas.openxmlformats.org/officeDocument/2006/relationships/customXml" Target="../customXml/item11.xml"/><Relationship Id="rId68" Type="http://schemas.openxmlformats.org/officeDocument/2006/relationships/customXml" Target="../customXml/item16.xml"/><Relationship Id="rId84" Type="http://schemas.openxmlformats.org/officeDocument/2006/relationships/customXml" Target="../customXml/item32.xml"/><Relationship Id="rId89" Type="http://schemas.openxmlformats.org/officeDocument/2006/relationships/customXml" Target="../customXml/item37.xml"/><Relationship Id="rId16" Type="http://schemas.openxmlformats.org/officeDocument/2006/relationships/pivotCacheDefinition" Target="pivotCache/pivotCacheDefinition5.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microsoft.com/office/2007/relationships/slicerCache" Target="slicerCaches/slicerCache1.xml"/><Relationship Id="rId53" Type="http://schemas.openxmlformats.org/officeDocument/2006/relationships/customXml" Target="../customXml/item1.xml"/><Relationship Id="rId58" Type="http://schemas.openxmlformats.org/officeDocument/2006/relationships/customXml" Target="../customXml/item6.xml"/><Relationship Id="rId74" Type="http://schemas.openxmlformats.org/officeDocument/2006/relationships/customXml" Target="../customXml/item22.xml"/><Relationship Id="rId79" Type="http://schemas.openxmlformats.org/officeDocument/2006/relationships/customXml" Target="../customXml/item27.xml"/><Relationship Id="rId102" Type="http://schemas.openxmlformats.org/officeDocument/2006/relationships/customXml" Target="../customXml/item50.xml"/><Relationship Id="rId5" Type="http://schemas.openxmlformats.org/officeDocument/2006/relationships/worksheet" Target="worksheets/sheet5.xml"/><Relationship Id="rId90" Type="http://schemas.openxmlformats.org/officeDocument/2006/relationships/customXml" Target="../customXml/item38.xml"/><Relationship Id="rId95" Type="http://schemas.openxmlformats.org/officeDocument/2006/relationships/customXml" Target="../customXml/item43.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microsoft.com/office/2007/relationships/slicerCache" Target="slicerCaches/slicerCache7.xml"/><Relationship Id="rId48" Type="http://schemas.openxmlformats.org/officeDocument/2006/relationships/styles" Target="styles.xml"/><Relationship Id="rId64" Type="http://schemas.openxmlformats.org/officeDocument/2006/relationships/customXml" Target="../customXml/item12.xml"/><Relationship Id="rId69" Type="http://schemas.openxmlformats.org/officeDocument/2006/relationships/customXml" Target="../customXml/item17.xml"/><Relationship Id="rId80" Type="http://schemas.openxmlformats.org/officeDocument/2006/relationships/customXml" Target="../customXml/item28.xml"/><Relationship Id="rId85" Type="http://schemas.openxmlformats.org/officeDocument/2006/relationships/customXml" Target="../customXml/item3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pivotCacheDefinition" Target="pivotCache/pivotCacheDefinition22.xml"/><Relationship Id="rId38" Type="http://schemas.microsoft.com/office/2007/relationships/slicerCache" Target="slicerCaches/slicerCache2.xml"/><Relationship Id="rId59" Type="http://schemas.openxmlformats.org/officeDocument/2006/relationships/customXml" Target="../customXml/item7.xml"/><Relationship Id="rId103" Type="http://schemas.openxmlformats.org/officeDocument/2006/relationships/customXml" Target="../customXml/item51.xml"/><Relationship Id="rId20" Type="http://schemas.openxmlformats.org/officeDocument/2006/relationships/pivotCacheDefinition" Target="pivotCache/pivotCacheDefinition9.xml"/><Relationship Id="rId41" Type="http://schemas.microsoft.com/office/2007/relationships/slicerCache" Target="slicerCaches/slicerCache5.xml"/><Relationship Id="rId54" Type="http://schemas.openxmlformats.org/officeDocument/2006/relationships/customXml" Target="../customXml/item2.xml"/><Relationship Id="rId62" Type="http://schemas.openxmlformats.org/officeDocument/2006/relationships/customXml" Target="../customXml/item10.xml"/><Relationship Id="rId70" Type="http://schemas.openxmlformats.org/officeDocument/2006/relationships/customXml" Target="../customXml/item18.xml"/><Relationship Id="rId75" Type="http://schemas.openxmlformats.org/officeDocument/2006/relationships/customXml" Target="../customXml/item23.xml"/><Relationship Id="rId83" Type="http://schemas.openxmlformats.org/officeDocument/2006/relationships/customXml" Target="../customXml/item31.xml"/><Relationship Id="rId88" Type="http://schemas.openxmlformats.org/officeDocument/2006/relationships/customXml" Target="../customXml/item36.xml"/><Relationship Id="rId91" Type="http://schemas.openxmlformats.org/officeDocument/2006/relationships/customXml" Target="../customXml/item39.xml"/><Relationship Id="rId96" Type="http://schemas.openxmlformats.org/officeDocument/2006/relationships/customXml" Target="../customXml/item4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sharedStrings" Target="sharedStrings.xml"/><Relationship Id="rId57" Type="http://schemas.openxmlformats.org/officeDocument/2006/relationships/customXml" Target="../customXml/item5.xml"/><Relationship Id="rId106" Type="http://schemas.openxmlformats.org/officeDocument/2006/relationships/customXml" Target="../customXml/item54.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pivotCacheDefinition" Target="pivotCache/pivotCacheDefinition26.xml"/><Relationship Id="rId52" Type="http://schemas.openxmlformats.org/officeDocument/2006/relationships/calcChain" Target="calcChain.xml"/><Relationship Id="rId60" Type="http://schemas.openxmlformats.org/officeDocument/2006/relationships/customXml" Target="../customXml/item8.xml"/><Relationship Id="rId65" Type="http://schemas.openxmlformats.org/officeDocument/2006/relationships/customXml" Target="../customXml/item13.xml"/><Relationship Id="rId73" Type="http://schemas.openxmlformats.org/officeDocument/2006/relationships/customXml" Target="../customXml/item21.xml"/><Relationship Id="rId78" Type="http://schemas.openxmlformats.org/officeDocument/2006/relationships/customXml" Target="../customXml/item26.xml"/><Relationship Id="rId81" Type="http://schemas.openxmlformats.org/officeDocument/2006/relationships/customXml" Target="../customXml/item29.xml"/><Relationship Id="rId86" Type="http://schemas.openxmlformats.org/officeDocument/2006/relationships/customXml" Target="../customXml/item34.xml"/><Relationship Id="rId94" Type="http://schemas.openxmlformats.org/officeDocument/2006/relationships/customXml" Target="../customXml/item42.xml"/><Relationship Id="rId99" Type="http://schemas.openxmlformats.org/officeDocument/2006/relationships/customXml" Target="../customXml/item47.xml"/><Relationship Id="rId101"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microsoft.com/office/2007/relationships/slicerCache" Target="slicerCaches/slicerCache3.xml"/><Relationship Id="rId34" Type="http://schemas.openxmlformats.org/officeDocument/2006/relationships/pivotCacheDefinition" Target="pivotCache/pivotCacheDefinition23.xml"/><Relationship Id="rId50" Type="http://schemas.openxmlformats.org/officeDocument/2006/relationships/sheetMetadata" Target="metadata.xml"/><Relationship Id="rId55" Type="http://schemas.openxmlformats.org/officeDocument/2006/relationships/customXml" Target="../customXml/item3.xml"/><Relationship Id="rId76" Type="http://schemas.openxmlformats.org/officeDocument/2006/relationships/customXml" Target="../customXml/item24.xml"/><Relationship Id="rId97" Type="http://schemas.openxmlformats.org/officeDocument/2006/relationships/customXml" Target="../customXml/item45.xml"/><Relationship Id="rId104" Type="http://schemas.openxmlformats.org/officeDocument/2006/relationships/customXml" Target="../customXml/item52.xml"/><Relationship Id="rId7" Type="http://schemas.openxmlformats.org/officeDocument/2006/relationships/worksheet" Target="worksheets/sheet7.xml"/><Relationship Id="rId71" Type="http://schemas.openxmlformats.org/officeDocument/2006/relationships/customXml" Target="../customXml/item19.xml"/><Relationship Id="rId92" Type="http://schemas.openxmlformats.org/officeDocument/2006/relationships/customXml" Target="../customXml/item40.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microsoft.com/office/2007/relationships/slicerCache" Target="slicerCaches/slicerCache4.xml"/><Relationship Id="rId45" Type="http://schemas.microsoft.com/office/2011/relationships/timelineCache" Target="timelineCaches/timelineCache1.xml"/><Relationship Id="rId66" Type="http://schemas.openxmlformats.org/officeDocument/2006/relationships/customXml" Target="../customXml/item14.xml"/><Relationship Id="rId87" Type="http://schemas.openxmlformats.org/officeDocument/2006/relationships/customXml" Target="../customXml/item35.xml"/><Relationship Id="rId61" Type="http://schemas.openxmlformats.org/officeDocument/2006/relationships/customXml" Target="../customXml/item9.xml"/><Relationship Id="rId82" Type="http://schemas.openxmlformats.org/officeDocument/2006/relationships/customXml" Target="../customXml/item30.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customXml" Target="../customXml/item4.xml"/><Relationship Id="rId77" Type="http://schemas.openxmlformats.org/officeDocument/2006/relationships/customXml" Target="../customXml/item25.xml"/><Relationship Id="rId100" Type="http://schemas.openxmlformats.org/officeDocument/2006/relationships/customXml" Target="../customXml/item48.xml"/><Relationship Id="rId105" Type="http://schemas.openxmlformats.org/officeDocument/2006/relationships/customXml" Target="../customXml/item53.xml"/><Relationship Id="rId8" Type="http://schemas.openxmlformats.org/officeDocument/2006/relationships/worksheet" Target="worksheets/sheet8.xml"/><Relationship Id="rId51" Type="http://schemas.openxmlformats.org/officeDocument/2006/relationships/powerPivotData" Target="model/item.data"/><Relationship Id="rId72" Type="http://schemas.openxmlformats.org/officeDocument/2006/relationships/customXml" Target="../customXml/item20.xml"/><Relationship Id="rId93" Type="http://schemas.openxmlformats.org/officeDocument/2006/relationships/customXml" Target="../customXml/item41.xml"/><Relationship Id="rId98" Type="http://schemas.openxmlformats.org/officeDocument/2006/relationships/customXml" Target="../customXml/item46.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theme" Target="theme/theme1.xml"/><Relationship Id="rId67"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System.xlsx]Pivot_Tables!Emp_Grade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2"/>
          </a:solidFill>
          <a:ln w="19050">
            <a:solidFill>
              <a:schemeClr val="lt1"/>
            </a:solidFill>
          </a:ln>
          <a:effectLst/>
        </c:spPr>
        <c:dLbl>
          <c:idx val="0"/>
          <c:layout>
            <c:manualLayout>
              <c:x val="7.6680198466396024E-2"/>
              <c:y val="0"/>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66FFFF"/>
          </a:solidFill>
          <a:ln w="19050">
            <a:solidFill>
              <a:schemeClr val="lt1"/>
            </a:solidFill>
          </a:ln>
          <a:effectLst/>
        </c:spPr>
        <c:dLbl>
          <c:idx val="0"/>
          <c:layout>
            <c:manualLayout>
              <c:x val="0.10945982902340168"/>
              <c:y val="0.26157924054457221"/>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75000"/>
                      </a:schemeClr>
                    </a:solidFill>
                    <a:latin typeface="+mn-lt"/>
                    <a:ea typeface="+mn-ea"/>
                    <a:cs typeface="+mn-cs"/>
                  </a:defRPr>
                </a:pPr>
                <a:fld id="{F97315F1-E16C-4540-894E-D6F162AEF448}" type="CATEGORYNAME">
                  <a:rPr lang="en-US" sz="900" b="1"/>
                  <a:pPr>
                    <a:defRPr b="1">
                      <a:solidFill>
                        <a:schemeClr val="tx2">
                          <a:lumMod val="75000"/>
                        </a:schemeClr>
                      </a:solidFill>
                    </a:defRPr>
                  </a:pPr>
                  <a:t>[CATEGORY NAME]</a:t>
                </a:fld>
                <a:r>
                  <a:rPr lang="en-US" sz="900" b="1" baseline="0"/>
                  <a:t>, </a:t>
                </a:r>
                <a:fld id="{AC71C8C3-EC8C-4AB7-A5BF-DA5A286645F3}" type="VALUE">
                  <a:rPr lang="en-US" sz="900" b="1" baseline="0"/>
                  <a:pPr>
                    <a:defRPr b="1">
                      <a:solidFill>
                        <a:schemeClr val="tx2">
                          <a:lumMod val="75000"/>
                        </a:schemeClr>
                      </a:solidFill>
                    </a:defRPr>
                  </a:pPr>
                  <a:t>[VALUE]</a:t>
                </a:fld>
                <a:r>
                  <a:rPr lang="en-US" sz="900" b="1" baseline="0"/>
                  <a:t>,</a:t>
                </a:r>
                <a:br>
                  <a:rPr lang="en-US" sz="900" b="1" baseline="0"/>
                </a:br>
                <a:r>
                  <a:rPr lang="en-US" sz="900" b="1" baseline="0"/>
                  <a:t> </a:t>
                </a:r>
                <a:fld id="{963482D3-FE68-4230-A3E2-AF55BC5945B8}" type="PERCENTAGE">
                  <a:rPr lang="en-US" sz="900" b="1" baseline="0"/>
                  <a:pPr>
                    <a:defRPr b="1">
                      <a:solidFill>
                        <a:schemeClr val="tx2">
                          <a:lumMod val="75000"/>
                        </a:schemeClr>
                      </a:solidFill>
                    </a:defRPr>
                  </a:pPr>
                  <a:t>[PERCENTAGE]</a:t>
                </a:fld>
                <a:endParaRPr lang="en-US" sz="900" b="1" baseline="0"/>
              </a:p>
            </c:rich>
          </c:tx>
          <c:spPr>
            <a:xfrm>
              <a:off x="2154620" y="554119"/>
              <a:ext cx="608365" cy="646680"/>
            </a:xfrm>
            <a:no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11251"/>
                    <a:gd name="adj2" fmla="val -33675"/>
                  </a:avLst>
                </a:prstGeom>
                <a:noFill/>
                <a:ln>
                  <a:noFill/>
                </a:ln>
              </c15:spPr>
              <c15:layout>
                <c:manualLayout>
                  <c:w val="0.21607016646599825"/>
                  <c:h val="0.30527389112332182"/>
                </c:manualLayout>
              </c15:layout>
              <c15:dlblFieldTable/>
              <c15:showDataLabelsRange val="0"/>
            </c:ext>
          </c:extLst>
        </c:dLbl>
      </c:pivotFmt>
      <c:pivotFmt>
        <c:idx val="8"/>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w="19050">
            <a:solidFill>
              <a:schemeClr val="lt1"/>
            </a:solidFill>
          </a:ln>
          <a:effectLst/>
        </c:spPr>
      </c:pivotFmt>
    </c:pivotFmts>
    <c:plotArea>
      <c:layout>
        <c:manualLayout>
          <c:layoutTarget val="inner"/>
          <c:xMode val="edge"/>
          <c:yMode val="edge"/>
          <c:x val="0.24985171846753257"/>
          <c:y val="0.18479342510243776"/>
          <c:w val="0.47826791931281881"/>
          <c:h val="0.62808705767661344"/>
        </c:manualLayout>
      </c:layout>
      <c:pieChart>
        <c:varyColors val="1"/>
        <c:ser>
          <c:idx val="0"/>
          <c:order val="0"/>
          <c:tx>
            <c:strRef>
              <c:f>Pivot_Tables!$AJ$9</c:f>
              <c:strCache>
                <c:ptCount val="1"/>
                <c:pt idx="0">
                  <c:v>Total</c:v>
                </c:pt>
              </c:strCache>
            </c:strRef>
          </c:tx>
          <c:dPt>
            <c:idx val="0"/>
            <c:bubble3D val="0"/>
            <c:spPr>
              <a:solidFill>
                <a:schemeClr val="tx2"/>
              </a:solidFill>
              <a:ln w="19050">
                <a:solidFill>
                  <a:schemeClr val="lt1"/>
                </a:solidFill>
              </a:ln>
              <a:effectLst/>
            </c:spPr>
            <c:extLst>
              <c:ext xmlns:c16="http://schemas.microsoft.com/office/drawing/2014/chart" uri="{C3380CC4-5D6E-409C-BE32-E72D297353CC}">
                <c16:uniqueId val="{00000001-0358-4858-8BF5-FF96D781DE83}"/>
              </c:ext>
            </c:extLst>
          </c:dPt>
          <c:dPt>
            <c:idx val="1"/>
            <c:bubble3D val="0"/>
            <c:spPr>
              <a:solidFill>
                <a:srgbClr val="66FFFF"/>
              </a:solidFill>
              <a:ln w="19050">
                <a:solidFill>
                  <a:schemeClr val="lt1"/>
                </a:solidFill>
              </a:ln>
              <a:effectLst/>
            </c:spPr>
            <c:extLst>
              <c:ext xmlns:c16="http://schemas.microsoft.com/office/drawing/2014/chart" uri="{C3380CC4-5D6E-409C-BE32-E72D297353CC}">
                <c16:uniqueId val="{00000003-0358-4858-8BF5-FF96D781DE83}"/>
              </c:ext>
            </c:extLst>
          </c:dPt>
          <c:dPt>
            <c:idx val="2"/>
            <c:bubble3D val="0"/>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w="19050">
                <a:solidFill>
                  <a:schemeClr val="lt1"/>
                </a:solidFill>
              </a:ln>
              <a:effectLst/>
            </c:spPr>
            <c:extLst>
              <c:ext xmlns:c16="http://schemas.microsoft.com/office/drawing/2014/chart" uri="{C3380CC4-5D6E-409C-BE32-E72D297353CC}">
                <c16:uniqueId val="{00000005-0358-4858-8BF5-FF96D781DE83}"/>
              </c:ext>
            </c:extLst>
          </c:dPt>
          <c:dLbls>
            <c:dLbl>
              <c:idx val="0"/>
              <c:layout>
                <c:manualLayout>
                  <c:x val="7.6680198466396024E-2"/>
                  <c:y val="0"/>
                </c:manualLayout>
              </c:layout>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358-4858-8BF5-FF96D781DE83}"/>
                </c:ext>
              </c:extLst>
            </c:dLbl>
            <c:dLbl>
              <c:idx val="1"/>
              <c:layout>
                <c:manualLayout>
                  <c:x val="0.10945982902340168"/>
                  <c:y val="0.26157924054457221"/>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75000"/>
                          </a:schemeClr>
                        </a:solidFill>
                        <a:latin typeface="+mn-lt"/>
                        <a:ea typeface="+mn-ea"/>
                        <a:cs typeface="+mn-cs"/>
                      </a:defRPr>
                    </a:pPr>
                    <a:fld id="{F97315F1-E16C-4540-894E-D6F162AEF448}" type="CATEGORYNAME">
                      <a:rPr lang="en-US" sz="900" b="1"/>
                      <a:pPr>
                        <a:defRPr b="1">
                          <a:solidFill>
                            <a:schemeClr val="tx2">
                              <a:lumMod val="75000"/>
                            </a:schemeClr>
                          </a:solidFill>
                        </a:defRPr>
                      </a:pPr>
                      <a:t>[CATEGORY NAME]</a:t>
                    </a:fld>
                    <a:r>
                      <a:rPr lang="en-US" sz="900" b="1" baseline="0"/>
                      <a:t>, </a:t>
                    </a:r>
                    <a:fld id="{AC71C8C3-EC8C-4AB7-A5BF-DA5A286645F3}" type="VALUE">
                      <a:rPr lang="en-US" sz="900" b="1" baseline="0"/>
                      <a:pPr>
                        <a:defRPr b="1">
                          <a:solidFill>
                            <a:schemeClr val="tx2">
                              <a:lumMod val="75000"/>
                            </a:schemeClr>
                          </a:solidFill>
                        </a:defRPr>
                      </a:pPr>
                      <a:t>[VALUE]</a:t>
                    </a:fld>
                    <a:r>
                      <a:rPr lang="en-US" sz="900" b="1" baseline="0"/>
                      <a:t>,</a:t>
                    </a:r>
                    <a:br>
                      <a:rPr lang="en-US" sz="900" b="1" baseline="0"/>
                    </a:br>
                    <a:r>
                      <a:rPr lang="en-US" sz="900" b="1" baseline="0"/>
                      <a:t> </a:t>
                    </a:r>
                    <a:fld id="{963482D3-FE68-4230-A3E2-AF55BC5945B8}" type="PERCENTAGE">
                      <a:rPr lang="en-US" sz="900" b="1" baseline="0"/>
                      <a:pPr>
                        <a:defRPr b="1">
                          <a:solidFill>
                            <a:schemeClr val="tx2">
                              <a:lumMod val="75000"/>
                            </a:schemeClr>
                          </a:solidFill>
                        </a:defRPr>
                      </a:pPr>
                      <a:t>[PERCENTAGE]</a:t>
                    </a:fld>
                    <a:endParaRPr lang="en-US" sz="900" b="1" baseline="0"/>
                  </a:p>
                </c:rich>
              </c:tx>
              <c:spPr>
                <a:xfrm>
                  <a:off x="2154620" y="554119"/>
                  <a:ext cx="608365" cy="646680"/>
                </a:xfrm>
                <a:noFill/>
                <a:ln w="9525" cap="flat" cmpd="sng" algn="ctr">
                  <a:solidFill>
                    <a:srgbClr val="000000">
                      <a:lumMod val="25000"/>
                      <a:lumOff val="75000"/>
                    </a:srgb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tx2">
                          <a:lumMod val="75000"/>
                        </a:schemeClr>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gd name="adj1" fmla="val -111251"/>
                        <a:gd name="adj2" fmla="val -33675"/>
                      </a:avLst>
                    </a:prstGeom>
                    <a:noFill/>
                    <a:ln>
                      <a:noFill/>
                    </a:ln>
                  </c15:spPr>
                  <c15:layout>
                    <c:manualLayout>
                      <c:w val="0.21607016646599825"/>
                      <c:h val="0.30527389112332182"/>
                    </c:manualLayout>
                  </c15:layout>
                  <c15:dlblFieldTable/>
                  <c15:showDataLabelsRange val="0"/>
                </c:ext>
                <c:ext xmlns:c16="http://schemas.microsoft.com/office/drawing/2014/chart" uri="{C3380CC4-5D6E-409C-BE32-E72D297353CC}">
                  <c16:uniqueId val="{00000003-0358-4858-8BF5-FF96D781DE83}"/>
                </c:ext>
              </c:extLst>
            </c:dLbl>
            <c:spPr>
              <a:no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Pivot_Tables!$AI$10:$AI$13</c:f>
              <c:strCache>
                <c:ptCount val="3"/>
                <c:pt idx="0">
                  <c:v>Manager</c:v>
                </c:pt>
                <c:pt idx="1">
                  <c:v>Supervisor</c:v>
                </c:pt>
                <c:pt idx="2">
                  <c:v>Worker</c:v>
                </c:pt>
              </c:strCache>
            </c:strRef>
          </c:cat>
          <c:val>
            <c:numRef>
              <c:f>Pivot_Tables!$AJ$10:$AJ$13</c:f>
              <c:numCache>
                <c:formatCode>General</c:formatCode>
                <c:ptCount val="3"/>
                <c:pt idx="0">
                  <c:v>2</c:v>
                </c:pt>
                <c:pt idx="1">
                  <c:v>2</c:v>
                </c:pt>
                <c:pt idx="2">
                  <c:v>22</c:v>
                </c:pt>
              </c:numCache>
            </c:numRef>
          </c:val>
          <c:extLst>
            <c:ext xmlns:c16="http://schemas.microsoft.com/office/drawing/2014/chart" uri="{C3380CC4-5D6E-409C-BE32-E72D297353CC}">
              <c16:uniqueId val="{00000006-F432-47BD-B396-5DE01FED7B24}"/>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System.xlsx]Pivot_Tables!Emp_Title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1102087848775E-2"/>
          <c:y val="4.0749669186526394E-2"/>
          <c:w val="0.95081035602257036"/>
          <c:h val="0.56937004382179457"/>
        </c:manualLayout>
      </c:layout>
      <c:barChart>
        <c:barDir val="col"/>
        <c:grouping val="clustered"/>
        <c:varyColors val="0"/>
        <c:ser>
          <c:idx val="0"/>
          <c:order val="0"/>
          <c:tx>
            <c:strRef>
              <c:f>Pivot_Tables!$AM$9</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Pivot_Tables!$AL$10:$AL$25</c:f>
              <c:strCache>
                <c:ptCount val="15"/>
                <c:pt idx="0">
                  <c:v>فني عزل</c:v>
                </c:pt>
                <c:pt idx="1">
                  <c:v>سائق</c:v>
                </c:pt>
                <c:pt idx="2">
                  <c:v>فني بلاستر</c:v>
                </c:pt>
                <c:pt idx="3">
                  <c:v>معلم جبس بورد</c:v>
                </c:pt>
                <c:pt idx="4">
                  <c:v>صباغ</c:v>
                </c:pt>
                <c:pt idx="5">
                  <c:v>فنى</c:v>
                </c:pt>
                <c:pt idx="6">
                  <c:v>معلم  تشطيب</c:v>
                </c:pt>
                <c:pt idx="7">
                  <c:v>فورمان</c:v>
                </c:pt>
                <c:pt idx="8">
                  <c:v>مساعد كهربائي</c:v>
                </c:pt>
                <c:pt idx="9">
                  <c:v>عامل</c:v>
                </c:pt>
                <c:pt idx="10">
                  <c:v>ناطور</c:v>
                </c:pt>
                <c:pt idx="11">
                  <c:v>سباك</c:v>
                </c:pt>
                <c:pt idx="12">
                  <c:v>عامل الثرى دى</c:v>
                </c:pt>
                <c:pt idx="13">
                  <c:v>كهربائي</c:v>
                </c:pt>
                <c:pt idx="14">
                  <c:v>مشرف_موقع</c:v>
                </c:pt>
              </c:strCache>
            </c:strRef>
          </c:cat>
          <c:val>
            <c:numRef>
              <c:f>Pivot_Tables!$AM$10:$AM$25</c:f>
              <c:numCache>
                <c:formatCode>General</c:formatCode>
                <c:ptCount val="15"/>
                <c:pt idx="0">
                  <c:v>1</c:v>
                </c:pt>
                <c:pt idx="1">
                  <c:v>1</c:v>
                </c:pt>
                <c:pt idx="2">
                  <c:v>1</c:v>
                </c:pt>
                <c:pt idx="3">
                  <c:v>1</c:v>
                </c:pt>
                <c:pt idx="4">
                  <c:v>1</c:v>
                </c:pt>
                <c:pt idx="5">
                  <c:v>1</c:v>
                </c:pt>
                <c:pt idx="6">
                  <c:v>1</c:v>
                </c:pt>
                <c:pt idx="7">
                  <c:v>2</c:v>
                </c:pt>
                <c:pt idx="8">
                  <c:v>2</c:v>
                </c:pt>
                <c:pt idx="9">
                  <c:v>2</c:v>
                </c:pt>
                <c:pt idx="10">
                  <c:v>2</c:v>
                </c:pt>
                <c:pt idx="11">
                  <c:v>2</c:v>
                </c:pt>
                <c:pt idx="12">
                  <c:v>2</c:v>
                </c:pt>
                <c:pt idx="13">
                  <c:v>3</c:v>
                </c:pt>
                <c:pt idx="14">
                  <c:v>4</c:v>
                </c:pt>
              </c:numCache>
            </c:numRef>
          </c:val>
          <c:extLst>
            <c:ext xmlns:c16="http://schemas.microsoft.com/office/drawing/2014/chart" uri="{C3380CC4-5D6E-409C-BE32-E72D297353CC}">
              <c16:uniqueId val="{00000000-00F5-4304-A402-E117399F9D8B}"/>
            </c:ext>
          </c:extLst>
        </c:ser>
        <c:dLbls>
          <c:dLblPos val="outEnd"/>
          <c:showLegendKey val="0"/>
          <c:showVal val="1"/>
          <c:showCatName val="0"/>
          <c:showSerName val="0"/>
          <c:showPercent val="0"/>
          <c:showBubbleSize val="0"/>
        </c:dLbls>
        <c:gapWidth val="85"/>
        <c:axId val="1797604223"/>
        <c:axId val="1797601823"/>
      </c:barChart>
      <c:catAx>
        <c:axId val="1797604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97601823"/>
        <c:crosses val="autoZero"/>
        <c:auto val="1"/>
        <c:lblAlgn val="ctr"/>
        <c:lblOffset val="100"/>
        <c:noMultiLvlLbl val="0"/>
      </c:catAx>
      <c:valAx>
        <c:axId val="179760182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760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System.xlsx]Pivot_Tables!Emp_Status#</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Pivot_Tables!$AP$9</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Pivot_Tables!$AO$10:$AO$13</c:f>
              <c:strCache>
                <c:ptCount val="3"/>
                <c:pt idx="0">
                  <c:v>New appointment - تعيين جديد</c:v>
                </c:pt>
                <c:pt idx="1">
                  <c:v>vacation - إجازة</c:v>
                </c:pt>
                <c:pt idx="2">
                  <c:v>works - يعمل</c:v>
                </c:pt>
              </c:strCache>
            </c:strRef>
          </c:cat>
          <c:val>
            <c:numRef>
              <c:f>Pivot_Tables!$AP$10:$AP$13</c:f>
              <c:numCache>
                <c:formatCode>General</c:formatCode>
                <c:ptCount val="3"/>
                <c:pt idx="0">
                  <c:v>1</c:v>
                </c:pt>
                <c:pt idx="1">
                  <c:v>3</c:v>
                </c:pt>
                <c:pt idx="2">
                  <c:v>22</c:v>
                </c:pt>
              </c:numCache>
            </c:numRef>
          </c:val>
          <c:extLst>
            <c:ext xmlns:c16="http://schemas.microsoft.com/office/drawing/2014/chart" uri="{C3380CC4-5D6E-409C-BE32-E72D297353CC}">
              <c16:uniqueId val="{00000000-8790-46EA-B461-4EBADE5F5CD8}"/>
            </c:ext>
          </c:extLst>
        </c:ser>
        <c:dLbls>
          <c:dLblPos val="outEnd"/>
          <c:showLegendKey val="0"/>
          <c:showVal val="1"/>
          <c:showCatName val="0"/>
          <c:showSerName val="0"/>
          <c:showPercent val="0"/>
          <c:showBubbleSize val="0"/>
        </c:dLbls>
        <c:gapWidth val="116"/>
        <c:axId val="274286400"/>
        <c:axId val="274289280"/>
      </c:barChart>
      <c:catAx>
        <c:axId val="274286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274289280"/>
        <c:crosses val="autoZero"/>
        <c:auto val="1"/>
        <c:lblAlgn val="ctr"/>
        <c:lblOffset val="100"/>
        <c:noMultiLvlLbl val="0"/>
      </c:catAx>
      <c:valAx>
        <c:axId val="274289280"/>
        <c:scaling>
          <c:orientation val="minMax"/>
        </c:scaling>
        <c:delete val="1"/>
        <c:axPos val="b"/>
        <c:numFmt formatCode="General" sourceLinked="1"/>
        <c:majorTickMark val="none"/>
        <c:minorTickMark val="none"/>
        <c:tickLblPos val="nextTo"/>
        <c:crossAx val="27428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System.xlsx]Pivot_Tables!#Emp_Spons</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w="19050">
            <a:solidFill>
              <a:schemeClr val="lt1"/>
            </a:solidFill>
          </a:ln>
          <a:effectLst/>
        </c:spPr>
      </c:pivotFmt>
      <c:pivotFmt>
        <c:idx val="6"/>
        <c:spPr>
          <a:solidFill>
            <a:srgbClr val="66FFFF"/>
          </a:solidFill>
          <a:ln w="19050">
            <a:solidFill>
              <a:schemeClr val="lt1"/>
            </a:solidFill>
          </a:ln>
          <a:effectLst/>
        </c:spPr>
      </c:pivotFmt>
    </c:pivotFmts>
    <c:plotArea>
      <c:layout/>
      <c:pieChart>
        <c:varyColors val="1"/>
        <c:ser>
          <c:idx val="0"/>
          <c:order val="0"/>
          <c:tx>
            <c:strRef>
              <c:f>Pivot_Tables!$AW$9</c:f>
              <c:strCache>
                <c:ptCount val="1"/>
                <c:pt idx="0">
                  <c:v>Total</c:v>
                </c:pt>
              </c:strCache>
            </c:strRef>
          </c:tx>
          <c:dPt>
            <c:idx val="0"/>
            <c:bubble3D val="0"/>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w="19050">
                <a:solidFill>
                  <a:schemeClr val="lt1"/>
                </a:solidFill>
              </a:ln>
              <a:effectLst/>
            </c:spPr>
            <c:extLst>
              <c:ext xmlns:c16="http://schemas.microsoft.com/office/drawing/2014/chart" uri="{C3380CC4-5D6E-409C-BE32-E72D297353CC}">
                <c16:uniqueId val="{00000001-7D5C-4BBF-A37C-F045F784AA3D}"/>
              </c:ext>
            </c:extLst>
          </c:dPt>
          <c:dPt>
            <c:idx val="1"/>
            <c:bubble3D val="0"/>
            <c:spPr>
              <a:solidFill>
                <a:srgbClr val="66FFFF"/>
              </a:solidFill>
              <a:ln w="19050">
                <a:solidFill>
                  <a:schemeClr val="lt1"/>
                </a:solidFill>
              </a:ln>
              <a:effectLst/>
            </c:spPr>
            <c:extLst>
              <c:ext xmlns:c16="http://schemas.microsoft.com/office/drawing/2014/chart" uri="{C3380CC4-5D6E-409C-BE32-E72D297353CC}">
                <c16:uniqueId val="{00000003-7D5C-4BBF-A37C-F045F784AA3D}"/>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Pivot_Tables!$AV$10:$AV$12</c:f>
              <c:strCache>
                <c:ptCount val="2"/>
                <c:pt idx="0">
                  <c:v>غير كفالة-NoSponsership</c:v>
                </c:pt>
                <c:pt idx="1">
                  <c:v>كفالة-Sponsership</c:v>
                </c:pt>
              </c:strCache>
            </c:strRef>
          </c:cat>
          <c:val>
            <c:numRef>
              <c:f>Pivot_Tables!$AW$10:$AW$12</c:f>
              <c:numCache>
                <c:formatCode>General</c:formatCode>
                <c:ptCount val="2"/>
                <c:pt idx="0">
                  <c:v>8</c:v>
                </c:pt>
                <c:pt idx="1">
                  <c:v>18</c:v>
                </c:pt>
              </c:numCache>
            </c:numRef>
          </c:val>
          <c:extLst>
            <c:ext xmlns:c16="http://schemas.microsoft.com/office/drawing/2014/chart" uri="{C3380CC4-5D6E-409C-BE32-E72D297353CC}">
              <c16:uniqueId val="{00000005-5212-4476-84A0-C4C61CCB466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System.xlsx]Pivot_Tables!#Emp_Dep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Pivot_Tables!$AT$9</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Pivot_Tables!$AS$10:$AS$13</c:f>
              <c:strCache>
                <c:ptCount val="3"/>
                <c:pt idx="0">
                  <c:v>الإدارة</c:v>
                </c:pt>
                <c:pt idx="1">
                  <c:v>الإنشاءات</c:v>
                </c:pt>
                <c:pt idx="2">
                  <c:v>التشطيبات</c:v>
                </c:pt>
              </c:strCache>
            </c:strRef>
          </c:cat>
          <c:val>
            <c:numRef>
              <c:f>Pivot_Tables!$AT$10:$AT$13</c:f>
              <c:numCache>
                <c:formatCode>General</c:formatCode>
                <c:ptCount val="3"/>
                <c:pt idx="0">
                  <c:v>6</c:v>
                </c:pt>
                <c:pt idx="1">
                  <c:v>10</c:v>
                </c:pt>
                <c:pt idx="2">
                  <c:v>10</c:v>
                </c:pt>
              </c:numCache>
            </c:numRef>
          </c:val>
          <c:extLst>
            <c:ext xmlns:c16="http://schemas.microsoft.com/office/drawing/2014/chart" uri="{C3380CC4-5D6E-409C-BE32-E72D297353CC}">
              <c16:uniqueId val="{00000001-B5C1-48BF-8E53-0F827CD3F425}"/>
            </c:ext>
          </c:extLst>
        </c:ser>
        <c:dLbls>
          <c:dLblPos val="outEnd"/>
          <c:showLegendKey val="0"/>
          <c:showVal val="1"/>
          <c:showCatName val="0"/>
          <c:showSerName val="0"/>
          <c:showPercent val="0"/>
          <c:showBubbleSize val="0"/>
        </c:dLbls>
        <c:gapWidth val="114"/>
        <c:axId val="1734510719"/>
        <c:axId val="1734511679"/>
      </c:barChart>
      <c:catAx>
        <c:axId val="173451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34511679"/>
        <c:crosses val="autoZero"/>
        <c:auto val="1"/>
        <c:lblAlgn val="ctr"/>
        <c:lblOffset val="100"/>
        <c:noMultiLvlLbl val="0"/>
      </c:catAx>
      <c:valAx>
        <c:axId val="1734511679"/>
        <c:scaling>
          <c:orientation val="minMax"/>
        </c:scaling>
        <c:delete val="1"/>
        <c:axPos val="b"/>
        <c:numFmt formatCode="General" sourceLinked="1"/>
        <c:majorTickMark val="none"/>
        <c:minorTickMark val="none"/>
        <c:tickLblPos val="nextTo"/>
        <c:crossAx val="173451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System.xlsx]Pivot_Tables!Salary_Job_Tile</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121106608805138E-2"/>
          <c:y val="6.2943871778993327E-2"/>
          <c:w val="0.94181562239917738"/>
          <c:h val="0.59124256981816947"/>
        </c:manualLayout>
      </c:layout>
      <c:barChart>
        <c:barDir val="col"/>
        <c:grouping val="clustered"/>
        <c:varyColors val="0"/>
        <c:ser>
          <c:idx val="0"/>
          <c:order val="0"/>
          <c:tx>
            <c:strRef>
              <c:f>Pivot_Tables!$BA$9</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Pivot_Tables!$AZ$10:$AZ$29</c:f>
              <c:multiLvlStrCache>
                <c:ptCount val="16"/>
                <c:lvl>
                  <c:pt idx="0">
                    <c:v>مشرف_موقع</c:v>
                  </c:pt>
                  <c:pt idx="1">
                    <c:v>مشرف_موقع</c:v>
                  </c:pt>
                  <c:pt idx="2">
                    <c:v>سائق</c:v>
                  </c:pt>
                  <c:pt idx="3">
                    <c:v>سباك</c:v>
                  </c:pt>
                  <c:pt idx="4">
                    <c:v>صباغ</c:v>
                  </c:pt>
                  <c:pt idx="5">
                    <c:v>عامل</c:v>
                  </c:pt>
                  <c:pt idx="6">
                    <c:v>عامل الثرى دى</c:v>
                  </c:pt>
                  <c:pt idx="7">
                    <c:v>فنى</c:v>
                  </c:pt>
                  <c:pt idx="8">
                    <c:v>فني بلاستر</c:v>
                  </c:pt>
                  <c:pt idx="9">
                    <c:v>فني عزل</c:v>
                  </c:pt>
                  <c:pt idx="10">
                    <c:v>فورمان</c:v>
                  </c:pt>
                  <c:pt idx="11">
                    <c:v>كهربائي</c:v>
                  </c:pt>
                  <c:pt idx="12">
                    <c:v>مساعد كهربائي</c:v>
                  </c:pt>
                  <c:pt idx="13">
                    <c:v>معلم  تشطيب</c:v>
                  </c:pt>
                  <c:pt idx="14">
                    <c:v>معلم جبس بورد</c:v>
                  </c:pt>
                  <c:pt idx="15">
                    <c:v>ناطور</c:v>
                  </c:pt>
                </c:lvl>
                <c:lvl>
                  <c:pt idx="0">
                    <c:v>Manager</c:v>
                  </c:pt>
                  <c:pt idx="1">
                    <c:v>Supervisor</c:v>
                  </c:pt>
                  <c:pt idx="2">
                    <c:v>Worker</c:v>
                  </c:pt>
                </c:lvl>
              </c:multiLvlStrCache>
            </c:multiLvlStrRef>
          </c:cat>
          <c:val>
            <c:numRef>
              <c:f>Pivot_Tables!$BA$10:$BA$29</c:f>
              <c:numCache>
                <c:formatCode>General</c:formatCode>
                <c:ptCount val="16"/>
                <c:pt idx="0">
                  <c:v>3200</c:v>
                </c:pt>
                <c:pt idx="1">
                  <c:v>3400</c:v>
                </c:pt>
                <c:pt idx="2">
                  <c:v>1700</c:v>
                </c:pt>
                <c:pt idx="3">
                  <c:v>2600</c:v>
                </c:pt>
                <c:pt idx="4">
                  <c:v>1400</c:v>
                </c:pt>
                <c:pt idx="5">
                  <c:v>3500</c:v>
                </c:pt>
                <c:pt idx="6">
                  <c:v>4500</c:v>
                </c:pt>
                <c:pt idx="7">
                  <c:v>2500</c:v>
                </c:pt>
                <c:pt idx="8">
                  <c:v>2500</c:v>
                </c:pt>
                <c:pt idx="9">
                  <c:v>3500</c:v>
                </c:pt>
                <c:pt idx="10">
                  <c:v>4000</c:v>
                </c:pt>
                <c:pt idx="11">
                  <c:v>5000</c:v>
                </c:pt>
                <c:pt idx="12">
                  <c:v>2700</c:v>
                </c:pt>
                <c:pt idx="13">
                  <c:v>1700</c:v>
                </c:pt>
                <c:pt idx="14">
                  <c:v>1300</c:v>
                </c:pt>
                <c:pt idx="15">
                  <c:v>3100</c:v>
                </c:pt>
              </c:numCache>
            </c:numRef>
          </c:val>
          <c:extLst>
            <c:ext xmlns:c16="http://schemas.microsoft.com/office/drawing/2014/chart" uri="{C3380CC4-5D6E-409C-BE32-E72D297353CC}">
              <c16:uniqueId val="{00000001-117A-472E-B9E2-91C5CCF981FC}"/>
            </c:ext>
          </c:extLst>
        </c:ser>
        <c:dLbls>
          <c:dLblPos val="outEnd"/>
          <c:showLegendKey val="0"/>
          <c:showVal val="1"/>
          <c:showCatName val="0"/>
          <c:showSerName val="0"/>
          <c:showPercent val="0"/>
          <c:showBubbleSize val="0"/>
        </c:dLbls>
        <c:gapWidth val="139"/>
        <c:axId val="1116588063"/>
        <c:axId val="1116587583"/>
      </c:barChart>
      <c:catAx>
        <c:axId val="111658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28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6587583"/>
        <c:crosses val="autoZero"/>
        <c:auto val="1"/>
        <c:lblAlgn val="ctr"/>
        <c:lblOffset val="100"/>
        <c:noMultiLvlLbl val="0"/>
      </c:catAx>
      <c:valAx>
        <c:axId val="1116587583"/>
        <c:scaling>
          <c:orientation val="minMax"/>
        </c:scaling>
        <c:delete val="1"/>
        <c:axPos val="l"/>
        <c:numFmt formatCode="General" sourceLinked="1"/>
        <c:majorTickMark val="none"/>
        <c:minorTickMark val="none"/>
        <c:tickLblPos val="nextTo"/>
        <c:crossAx val="111658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System.xlsx]Pivot_Tables!Cost_Pro</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dLbl>
          <c:idx val="0"/>
          <c:layout>
            <c:manualLayout>
              <c:x val="-1.4151382801813339E-3"/>
              <c:y val="-4.2917058981809683E-2"/>
            </c:manualLayout>
          </c:layout>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dLbl>
          <c:idx val="0"/>
          <c:layout>
            <c:manualLayout>
              <c:x val="9.9059679612693349E-3"/>
              <c:y val="-9.6627589332745331E-2"/>
            </c:manualLayout>
          </c:layout>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5.0923806726430813E-2"/>
                  <c:h val="0.17872293870337255"/>
                </c:manualLayout>
              </c15:layout>
            </c:ext>
          </c:extLst>
        </c:dLbl>
      </c:pivotFmt>
    </c:pivotFmts>
    <c:plotArea>
      <c:layout>
        <c:manualLayout>
          <c:layoutTarget val="inner"/>
          <c:xMode val="edge"/>
          <c:yMode val="edge"/>
          <c:x val="3.2101353317908699E-2"/>
          <c:y val="0"/>
          <c:w val="0.95393348482446405"/>
          <c:h val="0.59420231084707542"/>
        </c:manualLayout>
      </c:layout>
      <c:barChart>
        <c:barDir val="col"/>
        <c:grouping val="clustered"/>
        <c:varyColors val="0"/>
        <c:ser>
          <c:idx val="0"/>
          <c:order val="0"/>
          <c:tx>
            <c:strRef>
              <c:f>Pivot_Tables!$C$69</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Pt>
            <c:idx val="20"/>
            <c:invertIfNegative val="0"/>
            <c:bubble3D val="0"/>
            <c:extLst>
              <c:ext xmlns:c16="http://schemas.microsoft.com/office/drawing/2014/chart" uri="{C3380CC4-5D6E-409C-BE32-E72D297353CC}">
                <c16:uniqueId val="{00000000-F01A-4310-ACFE-5FF442C9D06B}"/>
              </c:ext>
            </c:extLst>
          </c:dPt>
          <c:dPt>
            <c:idx val="21"/>
            <c:invertIfNegative val="0"/>
            <c:bubble3D val="0"/>
            <c:extLst>
              <c:ext xmlns:c16="http://schemas.microsoft.com/office/drawing/2014/chart" uri="{C3380CC4-5D6E-409C-BE32-E72D297353CC}">
                <c16:uniqueId val="{00000001-F01A-4310-ACFE-5FF442C9D06B}"/>
              </c:ext>
            </c:extLst>
          </c:dPt>
          <c:dLbls>
            <c:dLbl>
              <c:idx val="20"/>
              <c:layout>
                <c:manualLayout>
                  <c:x val="9.9059679612693349E-3"/>
                  <c:y val="-9.662758933274533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5.0923806726430813E-2"/>
                      <c:h val="0.17872293870337255"/>
                    </c:manualLayout>
                  </c15:layout>
                </c:ext>
                <c:ext xmlns:c16="http://schemas.microsoft.com/office/drawing/2014/chart" uri="{C3380CC4-5D6E-409C-BE32-E72D297353CC}">
                  <c16:uniqueId val="{00000000-F01A-4310-ACFE-5FF442C9D06B}"/>
                </c:ext>
              </c:extLst>
            </c:dLbl>
            <c:dLbl>
              <c:idx val="21"/>
              <c:layout>
                <c:manualLayout>
                  <c:x val="-1.4151382801813339E-3"/>
                  <c:y val="-4.291705898180968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1A-4310-ACFE-5FF442C9D06B}"/>
                </c:ext>
              </c:extLst>
            </c:dLbl>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Pivot_Tables!$B$70:$B$96</c:f>
              <c:strCache>
                <c:ptCount val="26"/>
                <c:pt idx="0">
                  <c:v>امل الشمري</c:v>
                </c:pt>
                <c:pt idx="1">
                  <c:v>جابر سالم الغواص</c:v>
                </c:pt>
                <c:pt idx="2">
                  <c:v>جابر قحيز المري</c:v>
                </c:pt>
                <c:pt idx="3">
                  <c:v>حمد المعاضيد</c:v>
                </c:pt>
                <c:pt idx="4">
                  <c:v>حمد عايض حسين الاحبابي</c:v>
                </c:pt>
                <c:pt idx="5">
                  <c:v>سعد الدوسري</c:v>
                </c:pt>
                <c:pt idx="6">
                  <c:v>سعد عزران</c:v>
                </c:pt>
                <c:pt idx="7">
                  <c:v>سعود الأحبابي</c:v>
                </c:pt>
                <c:pt idx="8">
                  <c:v>سعود الفهد</c:v>
                </c:pt>
                <c:pt idx="9">
                  <c:v>سعود نقدان</c:v>
                </c:pt>
                <c:pt idx="10">
                  <c:v>سعود وعبدالرحمن  ناقادان</c:v>
                </c:pt>
                <c:pt idx="11">
                  <c:v>سعيد صالح الجحيش</c:v>
                </c:pt>
                <c:pt idx="12">
                  <c:v>صالح العذبة</c:v>
                </c:pt>
                <c:pt idx="13">
                  <c:v>عبد الهادي السهلي</c:v>
                </c:pt>
                <c:pt idx="14">
                  <c:v>عبدالرحمن نقدان</c:v>
                </c:pt>
                <c:pt idx="15">
                  <c:v>عبدالعزيز قحيز المري</c:v>
                </c:pt>
                <c:pt idx="16">
                  <c:v>عبدالهادي الماجد</c:v>
                </c:pt>
                <c:pt idx="17">
                  <c:v>عمارة الدوسري</c:v>
                </c:pt>
                <c:pt idx="18">
                  <c:v>عمير راشد المري</c:v>
                </c:pt>
                <c:pt idx="19">
                  <c:v>فهد ظافر القحطاني</c:v>
                </c:pt>
                <c:pt idx="20">
                  <c:v>فهد ونواف الكربى</c:v>
                </c:pt>
                <c:pt idx="21">
                  <c:v>فيصل محمد العذبة</c:v>
                </c:pt>
                <c:pt idx="22">
                  <c:v>مصطفى</c:v>
                </c:pt>
                <c:pt idx="23">
                  <c:v>ناصر الحايف</c:v>
                </c:pt>
                <c:pt idx="24">
                  <c:v>نايف الموسى</c:v>
                </c:pt>
                <c:pt idx="25">
                  <c:v>هزاع مبارك الهاجري</c:v>
                </c:pt>
              </c:strCache>
            </c:strRef>
          </c:cat>
          <c:val>
            <c:numRef>
              <c:f>Pivot_Tables!$C$70:$C$96</c:f>
              <c:numCache>
                <c:formatCode>General</c:formatCode>
                <c:ptCount val="26"/>
                <c:pt idx="0">
                  <c:v>260</c:v>
                </c:pt>
                <c:pt idx="1">
                  <c:v>660</c:v>
                </c:pt>
                <c:pt idx="2">
                  <c:v>207.5</c:v>
                </c:pt>
                <c:pt idx="3">
                  <c:v>658.75</c:v>
                </c:pt>
                <c:pt idx="4">
                  <c:v>93.333333333333329</c:v>
                </c:pt>
                <c:pt idx="5">
                  <c:v>170</c:v>
                </c:pt>
                <c:pt idx="6">
                  <c:v>240</c:v>
                </c:pt>
                <c:pt idx="7">
                  <c:v>690</c:v>
                </c:pt>
                <c:pt idx="8">
                  <c:v>669.16666666666663</c:v>
                </c:pt>
                <c:pt idx="9">
                  <c:v>733.33333333333326</c:v>
                </c:pt>
                <c:pt idx="10">
                  <c:v>206.66666666666666</c:v>
                </c:pt>
                <c:pt idx="11">
                  <c:v>572.5</c:v>
                </c:pt>
                <c:pt idx="12">
                  <c:v>306.66666666666669</c:v>
                </c:pt>
                <c:pt idx="13">
                  <c:v>506.66666666666663</c:v>
                </c:pt>
                <c:pt idx="14">
                  <c:v>540</c:v>
                </c:pt>
                <c:pt idx="15">
                  <c:v>553.33333333333326</c:v>
                </c:pt>
                <c:pt idx="16">
                  <c:v>615</c:v>
                </c:pt>
                <c:pt idx="17">
                  <c:v>806.66666666666663</c:v>
                </c:pt>
                <c:pt idx="18">
                  <c:v>830</c:v>
                </c:pt>
                <c:pt idx="19">
                  <c:v>173.33333333333334</c:v>
                </c:pt>
                <c:pt idx="20">
                  <c:v>1334.1666666666665</c:v>
                </c:pt>
                <c:pt idx="21">
                  <c:v>766.66666666666674</c:v>
                </c:pt>
                <c:pt idx="22">
                  <c:v>958.33333333333337</c:v>
                </c:pt>
                <c:pt idx="23">
                  <c:v>433.33333333333337</c:v>
                </c:pt>
                <c:pt idx="24">
                  <c:v>433.33333333333337</c:v>
                </c:pt>
                <c:pt idx="25">
                  <c:v>177.5</c:v>
                </c:pt>
              </c:numCache>
            </c:numRef>
          </c:val>
          <c:extLst>
            <c:ext xmlns:c16="http://schemas.microsoft.com/office/drawing/2014/chart" uri="{C3380CC4-5D6E-409C-BE32-E72D297353CC}">
              <c16:uniqueId val="{00000000-6837-4056-90A3-DE1FB78BB022}"/>
            </c:ext>
          </c:extLst>
        </c:ser>
        <c:dLbls>
          <c:dLblPos val="outEnd"/>
          <c:showLegendKey val="0"/>
          <c:showVal val="1"/>
          <c:showCatName val="0"/>
          <c:showSerName val="0"/>
          <c:showPercent val="0"/>
          <c:showBubbleSize val="0"/>
        </c:dLbls>
        <c:gapWidth val="219"/>
        <c:overlap val="-27"/>
        <c:axId val="1737415487"/>
        <c:axId val="1737417407"/>
      </c:barChart>
      <c:catAx>
        <c:axId val="173741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417407"/>
        <c:crosses val="autoZero"/>
        <c:auto val="1"/>
        <c:lblAlgn val="ctr"/>
        <c:lblOffset val="100"/>
        <c:noMultiLvlLbl val="0"/>
      </c:catAx>
      <c:valAx>
        <c:axId val="173741740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741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System.xlsx]Pivot_Tables!PivotTable27</c:name>
    <c:fmtId val="7"/>
  </c:pivotSource>
  <c:chart>
    <c:autoTitleDeleted val="0"/>
    <c:pivotFmts>
      <c:pivotFmt>
        <c:idx val="0"/>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66FFFF"/>
          </a:solidFill>
          <a:ln>
            <a:noFill/>
          </a:ln>
          <a:effectLst/>
        </c:spPr>
        <c:marker>
          <c:symbol val="none"/>
        </c:marker>
        <c:dLbl>
          <c:idx val="0"/>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06523403324584E-2"/>
          <c:y val="6.3191153238546599E-2"/>
          <c:w val="0.95484937755176447"/>
          <c:h val="0.5360162207212249"/>
        </c:manualLayout>
      </c:layout>
      <c:barChart>
        <c:barDir val="col"/>
        <c:grouping val="clustered"/>
        <c:varyColors val="0"/>
        <c:ser>
          <c:idx val="0"/>
          <c:order val="0"/>
          <c:tx>
            <c:strRef>
              <c:f>Pivot_Tables!$AE$55</c:f>
              <c:strCache>
                <c:ptCount val="1"/>
                <c:pt idx="0">
                  <c:v>Sum of Normal_Cost</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Pivot_Tables!$AD$56:$AD$84</c:f>
              <c:strCache>
                <c:ptCount val="28"/>
                <c:pt idx="0">
                  <c:v>الحجر</c:v>
                </c:pt>
                <c:pt idx="1">
                  <c:v>(blank)</c:v>
                </c:pt>
                <c:pt idx="2">
                  <c:v>حمد عايض حسين الاحبابي</c:v>
                </c:pt>
                <c:pt idx="3">
                  <c:v>هزاع مبارك الهاجري</c:v>
                </c:pt>
                <c:pt idx="4">
                  <c:v>سعد الدوسري</c:v>
                </c:pt>
                <c:pt idx="5">
                  <c:v>فهد ظافر القحطاني</c:v>
                </c:pt>
                <c:pt idx="6">
                  <c:v>جابر قحيز المري</c:v>
                </c:pt>
                <c:pt idx="7">
                  <c:v>سعود وعبدالرحمن  ناقادان</c:v>
                </c:pt>
                <c:pt idx="8">
                  <c:v>سعد عزران</c:v>
                </c:pt>
                <c:pt idx="9">
                  <c:v>امل الشمري</c:v>
                </c:pt>
                <c:pt idx="10">
                  <c:v>صالح العذبة</c:v>
                </c:pt>
                <c:pt idx="11">
                  <c:v>نايف الموسى</c:v>
                </c:pt>
                <c:pt idx="12">
                  <c:v>ناصر الحايف</c:v>
                </c:pt>
                <c:pt idx="13">
                  <c:v>عبد الهادي السهلي</c:v>
                </c:pt>
                <c:pt idx="14">
                  <c:v>حمد المعاضيد</c:v>
                </c:pt>
                <c:pt idx="15">
                  <c:v>عبدالرحمن نقدان</c:v>
                </c:pt>
                <c:pt idx="16">
                  <c:v>عبدالعزيز قحيز المري</c:v>
                </c:pt>
                <c:pt idx="17">
                  <c:v>سعيد صالح الجحيش</c:v>
                </c:pt>
                <c:pt idx="18">
                  <c:v>عبدالهادي الماجد</c:v>
                </c:pt>
                <c:pt idx="19">
                  <c:v>سعود الفهد</c:v>
                </c:pt>
                <c:pt idx="20">
                  <c:v>جابر سالم الغواص</c:v>
                </c:pt>
                <c:pt idx="21">
                  <c:v>سعود الأحبابي</c:v>
                </c:pt>
                <c:pt idx="22">
                  <c:v>سعود نقدان</c:v>
                </c:pt>
                <c:pt idx="23">
                  <c:v>فيصل محمد العذبة</c:v>
                </c:pt>
                <c:pt idx="24">
                  <c:v>عمارة الدوسري</c:v>
                </c:pt>
                <c:pt idx="25">
                  <c:v>عمير راشد المري</c:v>
                </c:pt>
                <c:pt idx="26">
                  <c:v>مصطفى</c:v>
                </c:pt>
                <c:pt idx="27">
                  <c:v>فهد ونواف الكربى</c:v>
                </c:pt>
              </c:strCache>
            </c:strRef>
          </c:cat>
          <c:val>
            <c:numRef>
              <c:f>Pivot_Tables!$AE$56:$AE$84</c:f>
              <c:numCache>
                <c:formatCode>General</c:formatCode>
                <c:ptCount val="28"/>
                <c:pt idx="0">
                  <c:v>0</c:v>
                </c:pt>
                <c:pt idx="1">
                  <c:v>0</c:v>
                </c:pt>
                <c:pt idx="2">
                  <c:v>93.333333333333329</c:v>
                </c:pt>
                <c:pt idx="3">
                  <c:v>160</c:v>
                </c:pt>
                <c:pt idx="4">
                  <c:v>170</c:v>
                </c:pt>
                <c:pt idx="5">
                  <c:v>173.33333333333334</c:v>
                </c:pt>
                <c:pt idx="6">
                  <c:v>186.66666666666666</c:v>
                </c:pt>
                <c:pt idx="7">
                  <c:v>206.66666666666666</c:v>
                </c:pt>
                <c:pt idx="8">
                  <c:v>240</c:v>
                </c:pt>
                <c:pt idx="9">
                  <c:v>260</c:v>
                </c:pt>
                <c:pt idx="10">
                  <c:v>306.66666666666669</c:v>
                </c:pt>
                <c:pt idx="11">
                  <c:v>433.33333333333337</c:v>
                </c:pt>
                <c:pt idx="12">
                  <c:v>433.33333333333337</c:v>
                </c:pt>
                <c:pt idx="13">
                  <c:v>460</c:v>
                </c:pt>
                <c:pt idx="14">
                  <c:v>516.66666666666663</c:v>
                </c:pt>
                <c:pt idx="15">
                  <c:v>540</c:v>
                </c:pt>
                <c:pt idx="16">
                  <c:v>553.33333333333326</c:v>
                </c:pt>
                <c:pt idx="17">
                  <c:v>560</c:v>
                </c:pt>
                <c:pt idx="18">
                  <c:v>606.66666666666674</c:v>
                </c:pt>
                <c:pt idx="19">
                  <c:v>636.66666666666663</c:v>
                </c:pt>
                <c:pt idx="20">
                  <c:v>660</c:v>
                </c:pt>
                <c:pt idx="21">
                  <c:v>690</c:v>
                </c:pt>
                <c:pt idx="22">
                  <c:v>733.33333333333326</c:v>
                </c:pt>
                <c:pt idx="23">
                  <c:v>766.66666666666674</c:v>
                </c:pt>
                <c:pt idx="24">
                  <c:v>806.66666666666663</c:v>
                </c:pt>
                <c:pt idx="25">
                  <c:v>830</c:v>
                </c:pt>
                <c:pt idx="26">
                  <c:v>933.33333333333337</c:v>
                </c:pt>
                <c:pt idx="27">
                  <c:v>1173.3333333333333</c:v>
                </c:pt>
              </c:numCache>
            </c:numRef>
          </c:val>
          <c:extLst>
            <c:ext xmlns:c16="http://schemas.microsoft.com/office/drawing/2014/chart" uri="{C3380CC4-5D6E-409C-BE32-E72D297353CC}">
              <c16:uniqueId val="{00000003-6E55-4001-948C-93A721523DEF}"/>
            </c:ext>
          </c:extLst>
        </c:ser>
        <c:ser>
          <c:idx val="1"/>
          <c:order val="1"/>
          <c:tx>
            <c:strRef>
              <c:f>Pivot_Tables!$AF$55</c:f>
              <c:strCache>
                <c:ptCount val="1"/>
                <c:pt idx="0">
                  <c:v>Sum of OT_Cost</c:v>
                </c:pt>
              </c:strCache>
            </c:strRef>
          </c:tx>
          <c:spPr>
            <a:solidFill>
              <a:srgbClr val="66FFFF"/>
            </a:solidFill>
            <a:ln>
              <a:noFill/>
            </a:ln>
            <a:effectLst/>
          </c:spPr>
          <c:invertIfNegative val="0"/>
          <c:dLbls>
            <c:numFmt formatCode="#,##0.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Pivot_Tables!$AD$56:$AD$84</c:f>
              <c:strCache>
                <c:ptCount val="28"/>
                <c:pt idx="0">
                  <c:v>الحجر</c:v>
                </c:pt>
                <c:pt idx="1">
                  <c:v>(blank)</c:v>
                </c:pt>
                <c:pt idx="2">
                  <c:v>حمد عايض حسين الاحبابي</c:v>
                </c:pt>
                <c:pt idx="3">
                  <c:v>هزاع مبارك الهاجري</c:v>
                </c:pt>
                <c:pt idx="4">
                  <c:v>سعد الدوسري</c:v>
                </c:pt>
                <c:pt idx="5">
                  <c:v>فهد ظافر القحطاني</c:v>
                </c:pt>
                <c:pt idx="6">
                  <c:v>جابر قحيز المري</c:v>
                </c:pt>
                <c:pt idx="7">
                  <c:v>سعود وعبدالرحمن  ناقادان</c:v>
                </c:pt>
                <c:pt idx="8">
                  <c:v>سعد عزران</c:v>
                </c:pt>
                <c:pt idx="9">
                  <c:v>امل الشمري</c:v>
                </c:pt>
                <c:pt idx="10">
                  <c:v>صالح العذبة</c:v>
                </c:pt>
                <c:pt idx="11">
                  <c:v>نايف الموسى</c:v>
                </c:pt>
                <c:pt idx="12">
                  <c:v>ناصر الحايف</c:v>
                </c:pt>
                <c:pt idx="13">
                  <c:v>عبد الهادي السهلي</c:v>
                </c:pt>
                <c:pt idx="14">
                  <c:v>حمد المعاضيد</c:v>
                </c:pt>
                <c:pt idx="15">
                  <c:v>عبدالرحمن نقدان</c:v>
                </c:pt>
                <c:pt idx="16">
                  <c:v>عبدالعزيز قحيز المري</c:v>
                </c:pt>
                <c:pt idx="17">
                  <c:v>سعيد صالح الجحيش</c:v>
                </c:pt>
                <c:pt idx="18">
                  <c:v>عبدالهادي الماجد</c:v>
                </c:pt>
                <c:pt idx="19">
                  <c:v>سعود الفهد</c:v>
                </c:pt>
                <c:pt idx="20">
                  <c:v>جابر سالم الغواص</c:v>
                </c:pt>
                <c:pt idx="21">
                  <c:v>سعود الأحبابي</c:v>
                </c:pt>
                <c:pt idx="22">
                  <c:v>سعود نقدان</c:v>
                </c:pt>
                <c:pt idx="23">
                  <c:v>فيصل محمد العذبة</c:v>
                </c:pt>
                <c:pt idx="24">
                  <c:v>عمارة الدوسري</c:v>
                </c:pt>
                <c:pt idx="25">
                  <c:v>عمير راشد المري</c:v>
                </c:pt>
                <c:pt idx="26">
                  <c:v>مصطفى</c:v>
                </c:pt>
                <c:pt idx="27">
                  <c:v>فهد ونواف الكربى</c:v>
                </c:pt>
              </c:strCache>
            </c:strRef>
          </c:cat>
          <c:val>
            <c:numRef>
              <c:f>Pivot_Tables!$AF$56:$AF$84</c:f>
              <c:numCache>
                <c:formatCode>General</c:formatCode>
                <c:ptCount val="28"/>
                <c:pt idx="0">
                  <c:v>0</c:v>
                </c:pt>
                <c:pt idx="1">
                  <c:v>0</c:v>
                </c:pt>
                <c:pt idx="2">
                  <c:v>0</c:v>
                </c:pt>
                <c:pt idx="3">
                  <c:v>17.5</c:v>
                </c:pt>
                <c:pt idx="4">
                  <c:v>0</c:v>
                </c:pt>
                <c:pt idx="5">
                  <c:v>0</c:v>
                </c:pt>
                <c:pt idx="6">
                  <c:v>20.833333333333336</c:v>
                </c:pt>
                <c:pt idx="7">
                  <c:v>0</c:v>
                </c:pt>
                <c:pt idx="8">
                  <c:v>0</c:v>
                </c:pt>
                <c:pt idx="9">
                  <c:v>0</c:v>
                </c:pt>
                <c:pt idx="10">
                  <c:v>0</c:v>
                </c:pt>
                <c:pt idx="11">
                  <c:v>0</c:v>
                </c:pt>
                <c:pt idx="12">
                  <c:v>0</c:v>
                </c:pt>
                <c:pt idx="13">
                  <c:v>46.666666666666664</c:v>
                </c:pt>
                <c:pt idx="14">
                  <c:v>142.08333333333331</c:v>
                </c:pt>
                <c:pt idx="15">
                  <c:v>0</c:v>
                </c:pt>
                <c:pt idx="16">
                  <c:v>0</c:v>
                </c:pt>
                <c:pt idx="17">
                  <c:v>12.5</c:v>
                </c:pt>
                <c:pt idx="18">
                  <c:v>8.3333333333333339</c:v>
                </c:pt>
                <c:pt idx="19">
                  <c:v>32.5</c:v>
                </c:pt>
                <c:pt idx="20">
                  <c:v>0</c:v>
                </c:pt>
                <c:pt idx="21">
                  <c:v>0</c:v>
                </c:pt>
                <c:pt idx="22">
                  <c:v>0</c:v>
                </c:pt>
                <c:pt idx="23">
                  <c:v>0</c:v>
                </c:pt>
                <c:pt idx="24">
                  <c:v>0</c:v>
                </c:pt>
                <c:pt idx="25">
                  <c:v>0</c:v>
                </c:pt>
                <c:pt idx="26">
                  <c:v>25</c:v>
                </c:pt>
                <c:pt idx="27">
                  <c:v>160.83333333333334</c:v>
                </c:pt>
              </c:numCache>
            </c:numRef>
          </c:val>
          <c:extLst>
            <c:ext xmlns:c16="http://schemas.microsoft.com/office/drawing/2014/chart" uri="{C3380CC4-5D6E-409C-BE32-E72D297353CC}">
              <c16:uniqueId val="{00000004-6E55-4001-948C-93A721523DEF}"/>
            </c:ext>
          </c:extLst>
        </c:ser>
        <c:dLbls>
          <c:dLblPos val="outEnd"/>
          <c:showLegendKey val="0"/>
          <c:showVal val="1"/>
          <c:showCatName val="0"/>
          <c:showSerName val="0"/>
          <c:showPercent val="0"/>
          <c:showBubbleSize val="0"/>
        </c:dLbls>
        <c:gapWidth val="219"/>
        <c:overlap val="-27"/>
        <c:axId val="150535600"/>
        <c:axId val="150538480"/>
      </c:barChart>
      <c:catAx>
        <c:axId val="15053560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38480"/>
        <c:crosses val="autoZero"/>
        <c:auto val="1"/>
        <c:lblAlgn val="ctr"/>
        <c:lblOffset val="100"/>
        <c:noMultiLvlLbl val="0"/>
      </c:catAx>
      <c:valAx>
        <c:axId val="150538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0535600"/>
        <c:crosses val="autoZero"/>
        <c:crossBetween val="between"/>
      </c:valAx>
      <c:spPr>
        <a:noFill/>
        <a:ln>
          <a:noFill/>
        </a:ln>
        <a:effectLst/>
      </c:spPr>
    </c:plotArea>
    <c:legend>
      <c:legendPos val="r"/>
      <c:layout>
        <c:manualLayout>
          <c:xMode val="edge"/>
          <c:yMode val="edge"/>
          <c:x val="0.86064541411490225"/>
          <c:y val="0.77251085320496071"/>
          <c:w val="0.13193860866464985"/>
          <c:h val="0.21221246000853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System.xlsx]Pivot_Tables!PivotTable28</c:name>
    <c:fmtId val="11"/>
  </c:pivotSource>
  <c:chart>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 sourceLinked="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66FFFF"/>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6FFFF"/>
          </a:solidFill>
          <a:ln>
            <a:noFill/>
          </a:ln>
          <a:effectLst/>
        </c:spPr>
        <c:dLbl>
          <c:idx val="0"/>
          <c:layout>
            <c:manualLayout>
              <c:x val="1.386985272837477E-2"/>
              <c:y val="-1.5365703749231808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6.1938728445806161E-2"/>
          <c:w val="0.69910586176727907"/>
          <c:h val="0.81835936305249346"/>
        </c:manualLayout>
      </c:layout>
      <c:barChart>
        <c:barDir val="col"/>
        <c:grouping val="clustered"/>
        <c:varyColors val="0"/>
        <c:ser>
          <c:idx val="0"/>
          <c:order val="0"/>
          <c:tx>
            <c:strRef>
              <c:f>Pivot_Tables!$F$58</c:f>
              <c:strCache>
                <c:ptCount val="1"/>
                <c:pt idx="0">
                  <c:v>Sum of Normal_Cost</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Pivot_Tables!$E$59:$E$63</c:f>
              <c:strCache>
                <c:ptCount val="4"/>
                <c:pt idx="0">
                  <c:v>ADM_D01</c:v>
                </c:pt>
                <c:pt idx="1">
                  <c:v>CON_D03</c:v>
                </c:pt>
                <c:pt idx="2">
                  <c:v>FIN_D02</c:v>
                </c:pt>
                <c:pt idx="3">
                  <c:v>(blank)</c:v>
                </c:pt>
              </c:strCache>
            </c:strRef>
          </c:cat>
          <c:val>
            <c:numRef>
              <c:f>Pivot_Tables!$F$59:$F$63</c:f>
              <c:numCache>
                <c:formatCode>General</c:formatCode>
                <c:ptCount val="4"/>
                <c:pt idx="0">
                  <c:v>2980</c:v>
                </c:pt>
                <c:pt idx="1">
                  <c:v>2950</c:v>
                </c:pt>
                <c:pt idx="2">
                  <c:v>7200.0000000000018</c:v>
                </c:pt>
                <c:pt idx="3">
                  <c:v>0</c:v>
                </c:pt>
              </c:numCache>
            </c:numRef>
          </c:val>
          <c:extLst>
            <c:ext xmlns:c16="http://schemas.microsoft.com/office/drawing/2014/chart" uri="{C3380CC4-5D6E-409C-BE32-E72D297353CC}">
              <c16:uniqueId val="{00000003-93E8-4DA8-AE50-A6E1D478E491}"/>
            </c:ext>
          </c:extLst>
        </c:ser>
        <c:ser>
          <c:idx val="1"/>
          <c:order val="1"/>
          <c:tx>
            <c:strRef>
              <c:f>Pivot_Tables!$G$58</c:f>
              <c:strCache>
                <c:ptCount val="1"/>
                <c:pt idx="0">
                  <c:v>Sum of OT_Cost</c:v>
                </c:pt>
              </c:strCache>
            </c:strRef>
          </c:tx>
          <c:spPr>
            <a:solidFill>
              <a:srgbClr val="66FFFF"/>
            </a:solidFill>
            <a:ln>
              <a:noFill/>
            </a:ln>
            <a:effectLst/>
          </c:spPr>
          <c:invertIfNegative val="0"/>
          <c:dPt>
            <c:idx val="1"/>
            <c:invertIfNegative val="0"/>
            <c:bubble3D val="0"/>
            <c:extLst>
              <c:ext xmlns:c16="http://schemas.microsoft.com/office/drawing/2014/chart" uri="{C3380CC4-5D6E-409C-BE32-E72D297353CC}">
                <c16:uniqueId val="{00000000-81FD-49FC-89DB-36173306E7DD}"/>
              </c:ext>
            </c:extLst>
          </c:dPt>
          <c:dLbls>
            <c:dLbl>
              <c:idx val="1"/>
              <c:layout>
                <c:manualLayout>
                  <c:x val="1.386985272837477E-2"/>
                  <c:y val="-1.53657037492318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FD-49FC-89DB-36173306E7D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Pivot_Tables!$E$59:$E$63</c:f>
              <c:strCache>
                <c:ptCount val="4"/>
                <c:pt idx="0">
                  <c:v>ADM_D01</c:v>
                </c:pt>
                <c:pt idx="1">
                  <c:v>CON_D03</c:v>
                </c:pt>
                <c:pt idx="2">
                  <c:v>FIN_D02</c:v>
                </c:pt>
                <c:pt idx="3">
                  <c:v>(blank)</c:v>
                </c:pt>
              </c:strCache>
            </c:strRef>
          </c:cat>
          <c:val>
            <c:numRef>
              <c:f>Pivot_Tables!$G$59:$G$63</c:f>
              <c:numCache>
                <c:formatCode>General</c:formatCode>
                <c:ptCount val="4"/>
                <c:pt idx="0">
                  <c:v>0</c:v>
                </c:pt>
                <c:pt idx="1">
                  <c:v>395.41666666666663</c:v>
                </c:pt>
                <c:pt idx="2">
                  <c:v>70.833333333333343</c:v>
                </c:pt>
                <c:pt idx="3">
                  <c:v>0</c:v>
                </c:pt>
              </c:numCache>
            </c:numRef>
          </c:val>
          <c:extLst>
            <c:ext xmlns:c16="http://schemas.microsoft.com/office/drawing/2014/chart" uri="{C3380CC4-5D6E-409C-BE32-E72D297353CC}">
              <c16:uniqueId val="{00000004-93E8-4DA8-AE50-A6E1D478E491}"/>
            </c:ext>
          </c:extLst>
        </c:ser>
        <c:dLbls>
          <c:dLblPos val="outEnd"/>
          <c:showLegendKey val="0"/>
          <c:showVal val="1"/>
          <c:showCatName val="0"/>
          <c:showSerName val="0"/>
          <c:showPercent val="0"/>
          <c:showBubbleSize val="0"/>
        </c:dLbls>
        <c:gapWidth val="219"/>
        <c:overlap val="-27"/>
        <c:axId val="150514000"/>
        <c:axId val="150526480"/>
      </c:barChart>
      <c:catAx>
        <c:axId val="1505140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26480"/>
        <c:crosses val="autoZero"/>
        <c:auto val="1"/>
        <c:lblAlgn val="ctr"/>
        <c:lblOffset val="100"/>
        <c:noMultiLvlLbl val="0"/>
      </c:catAx>
      <c:valAx>
        <c:axId val="1505264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051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System.xlsx]Pivot_Tables!PivotTable29</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Pivot_Tables!$J$59</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Pivot_Tables!$I$60:$I$86</c:f>
              <c:strCache>
                <c:ptCount val="26"/>
                <c:pt idx="0">
                  <c:v>صالح العذبة</c:v>
                </c:pt>
                <c:pt idx="1">
                  <c:v>سعيد صالح الجحيش</c:v>
                </c:pt>
                <c:pt idx="2">
                  <c:v>امل الشمري</c:v>
                </c:pt>
                <c:pt idx="3">
                  <c:v>جابر قحيز المري</c:v>
                </c:pt>
                <c:pt idx="4">
                  <c:v>جابر سالم الغواص</c:v>
                </c:pt>
                <c:pt idx="5">
                  <c:v>سعد الدوسري</c:v>
                </c:pt>
                <c:pt idx="6">
                  <c:v>عبدالرحمن نقدان</c:v>
                </c:pt>
                <c:pt idx="7">
                  <c:v>سعود الأحبابي</c:v>
                </c:pt>
                <c:pt idx="8">
                  <c:v>عبدالهادي الماجد</c:v>
                </c:pt>
                <c:pt idx="9">
                  <c:v>نايف الموسى</c:v>
                </c:pt>
                <c:pt idx="10">
                  <c:v>عمارة الدوسري</c:v>
                </c:pt>
                <c:pt idx="11">
                  <c:v>سعد عزران</c:v>
                </c:pt>
                <c:pt idx="12">
                  <c:v>فهد ظافر القحطاني</c:v>
                </c:pt>
                <c:pt idx="13">
                  <c:v>حمد عايض حسين الاحبابي</c:v>
                </c:pt>
                <c:pt idx="14">
                  <c:v>فيصل محمد العذبة</c:v>
                </c:pt>
                <c:pt idx="15">
                  <c:v>سعود نقدان</c:v>
                </c:pt>
                <c:pt idx="16">
                  <c:v>ناصر الحايف</c:v>
                </c:pt>
                <c:pt idx="17">
                  <c:v>عبد الهادي السهلي</c:v>
                </c:pt>
                <c:pt idx="18">
                  <c:v>عبدالعزيز قحيز المري</c:v>
                </c:pt>
                <c:pt idx="19">
                  <c:v>مصطفى</c:v>
                </c:pt>
                <c:pt idx="20">
                  <c:v>سعود الفهد</c:v>
                </c:pt>
                <c:pt idx="21">
                  <c:v>حمد المعاضيد</c:v>
                </c:pt>
                <c:pt idx="22">
                  <c:v>عمير راشد المري</c:v>
                </c:pt>
                <c:pt idx="23">
                  <c:v>سعود وعبدالرحمن  ناقادان</c:v>
                </c:pt>
                <c:pt idx="24">
                  <c:v>فهد ونواف الكربى</c:v>
                </c:pt>
                <c:pt idx="25">
                  <c:v>هزاع مبارك الهاجري</c:v>
                </c:pt>
              </c:strCache>
            </c:strRef>
          </c:cat>
          <c:val>
            <c:numRef>
              <c:f>Pivot_Tables!$J$60:$J$86</c:f>
              <c:numCache>
                <c:formatCode>General</c:formatCode>
                <c:ptCount val="2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2</c:v>
                </c:pt>
                <c:pt idx="18">
                  <c:v>2</c:v>
                </c:pt>
                <c:pt idx="19">
                  <c:v>2</c:v>
                </c:pt>
                <c:pt idx="20">
                  <c:v>2</c:v>
                </c:pt>
                <c:pt idx="21">
                  <c:v>2</c:v>
                </c:pt>
                <c:pt idx="22">
                  <c:v>2</c:v>
                </c:pt>
                <c:pt idx="23">
                  <c:v>2</c:v>
                </c:pt>
                <c:pt idx="24">
                  <c:v>2</c:v>
                </c:pt>
                <c:pt idx="25">
                  <c:v>2</c:v>
                </c:pt>
              </c:numCache>
            </c:numRef>
          </c:val>
          <c:extLst>
            <c:ext xmlns:c16="http://schemas.microsoft.com/office/drawing/2014/chart" uri="{C3380CC4-5D6E-409C-BE32-E72D297353CC}">
              <c16:uniqueId val="{00000002-EAFF-4F08-8406-834167328F6B}"/>
            </c:ext>
          </c:extLst>
        </c:ser>
        <c:dLbls>
          <c:dLblPos val="outEnd"/>
          <c:showLegendKey val="0"/>
          <c:showVal val="1"/>
          <c:showCatName val="0"/>
          <c:showSerName val="0"/>
          <c:showPercent val="0"/>
          <c:showBubbleSize val="0"/>
        </c:dLbls>
        <c:gapWidth val="98"/>
        <c:axId val="679891520"/>
        <c:axId val="679884800"/>
      </c:barChart>
      <c:catAx>
        <c:axId val="6798915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884800"/>
        <c:crosses val="autoZero"/>
        <c:auto val="1"/>
        <c:lblAlgn val="ctr"/>
        <c:lblOffset val="100"/>
        <c:noMultiLvlLbl val="0"/>
      </c:catAx>
      <c:valAx>
        <c:axId val="67988480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7989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System.xlsx]Pivot_Tables!Salary_Payment</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numFmt formatCode="#,##0" sourceLinked="0"/>
          <c:spPr>
            <a:no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w="19050">
            <a:solidFill>
              <a:schemeClr val="lt1"/>
            </a:solidFill>
          </a:ln>
          <a:effectLst/>
        </c:spPr>
        <c:dLbl>
          <c:idx val="0"/>
          <c:layout>
            <c:manualLayout>
              <c:x val="9.4581493888953927E-2"/>
              <c:y val="-0.18097145691819502"/>
            </c:manualLayout>
          </c:layout>
          <c:numFmt formatCode="#,##0" sourceLinked="0"/>
          <c:spPr>
            <a:no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003366"/>
          </a:solidFill>
          <a:ln w="19050">
            <a:solidFill>
              <a:schemeClr val="lt1"/>
            </a:solidFill>
          </a:ln>
          <a:effectLst/>
        </c:spPr>
        <c:dLbl>
          <c:idx val="0"/>
          <c:layout>
            <c:manualLayout>
              <c:x val="0.32075463144949617"/>
              <c:y val="-1.0368036613494558E-16"/>
            </c:manualLayout>
          </c:layout>
          <c:numFmt formatCode="#,##0" sourceLinked="0"/>
          <c:spPr>
            <a:no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66FFFF"/>
          </a:solidFill>
          <a:ln w="19050">
            <a:solidFill>
              <a:schemeClr val="lt1"/>
            </a:solidFill>
          </a:ln>
          <a:effectLst/>
        </c:spPr>
        <c:dLbl>
          <c:idx val="0"/>
          <c:layout>
            <c:manualLayout>
              <c:x val="-4.1122388647371307E-3"/>
              <c:y val="-0.22055896311905021"/>
            </c:manualLayout>
          </c:layout>
          <c:numFmt formatCode="#,##0" sourceLinked="0"/>
          <c:spPr>
            <a:no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14604146820527"/>
          <c:y val="0.15894049761807011"/>
          <c:w val="0.48777175584828364"/>
          <c:h val="0.67080828870647269"/>
        </c:manualLayout>
      </c:layout>
      <c:doughnutChart>
        <c:varyColors val="1"/>
        <c:ser>
          <c:idx val="0"/>
          <c:order val="0"/>
          <c:tx>
            <c:strRef>
              <c:f>Pivot_Tables!$B$8</c:f>
              <c:strCache>
                <c:ptCount val="1"/>
                <c:pt idx="0">
                  <c:v>Total</c:v>
                </c:pt>
              </c:strCache>
            </c:strRef>
          </c:tx>
          <c:dPt>
            <c:idx val="0"/>
            <c:bubble3D val="0"/>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w="19050">
                <a:solidFill>
                  <a:schemeClr val="lt1"/>
                </a:solidFill>
              </a:ln>
              <a:effectLst/>
            </c:spPr>
            <c:extLst>
              <c:ext xmlns:c16="http://schemas.microsoft.com/office/drawing/2014/chart" uri="{C3380CC4-5D6E-409C-BE32-E72D297353CC}">
                <c16:uniqueId val="{00000001-37DE-4590-AFD9-ED43B78738BB}"/>
              </c:ext>
            </c:extLst>
          </c:dPt>
          <c:dPt>
            <c:idx val="1"/>
            <c:bubble3D val="0"/>
            <c:spPr>
              <a:solidFill>
                <a:srgbClr val="003366"/>
              </a:solidFill>
              <a:ln w="19050">
                <a:solidFill>
                  <a:schemeClr val="lt1"/>
                </a:solidFill>
              </a:ln>
              <a:effectLst/>
            </c:spPr>
            <c:extLst>
              <c:ext xmlns:c16="http://schemas.microsoft.com/office/drawing/2014/chart" uri="{C3380CC4-5D6E-409C-BE32-E72D297353CC}">
                <c16:uniqueId val="{00000003-37DE-4590-AFD9-ED43B78738BB}"/>
              </c:ext>
            </c:extLst>
          </c:dPt>
          <c:dPt>
            <c:idx val="2"/>
            <c:bubble3D val="0"/>
            <c:spPr>
              <a:solidFill>
                <a:srgbClr val="66FFFF"/>
              </a:solidFill>
              <a:ln w="19050">
                <a:solidFill>
                  <a:schemeClr val="lt1"/>
                </a:solidFill>
              </a:ln>
              <a:effectLst/>
            </c:spPr>
            <c:extLst>
              <c:ext xmlns:c16="http://schemas.microsoft.com/office/drawing/2014/chart" uri="{C3380CC4-5D6E-409C-BE32-E72D297353CC}">
                <c16:uniqueId val="{00000005-37DE-4590-AFD9-ED43B78738BB}"/>
              </c:ext>
            </c:extLst>
          </c:dPt>
          <c:dLbls>
            <c:dLbl>
              <c:idx val="0"/>
              <c:layout>
                <c:manualLayout>
                  <c:x val="9.4581493888953927E-2"/>
                  <c:y val="-0.1809714569181950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7DE-4590-AFD9-ED43B78738BB}"/>
                </c:ext>
              </c:extLst>
            </c:dLbl>
            <c:dLbl>
              <c:idx val="1"/>
              <c:layout>
                <c:manualLayout>
                  <c:x val="0.32075463144949617"/>
                  <c:y val="-1.0368036613494558E-16"/>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7DE-4590-AFD9-ED43B78738BB}"/>
                </c:ext>
              </c:extLst>
            </c:dLbl>
            <c:dLbl>
              <c:idx val="2"/>
              <c:layout>
                <c:manualLayout>
                  <c:x val="-4.1122388647371307E-3"/>
                  <c:y val="-0.22055896311905021"/>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37DE-4590-AFD9-ED43B78738BB}"/>
                </c:ext>
              </c:extLst>
            </c:dLbl>
            <c:numFmt formatCode="#,##0" sourceLinked="0"/>
            <c:spPr>
              <a:no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Pivot_Tables!$A$9:$A$12</c:f>
              <c:strCache>
                <c:ptCount val="3"/>
                <c:pt idx="0">
                  <c:v>Bank - بنك</c:v>
                </c:pt>
                <c:pt idx="1">
                  <c:v>cash - نقدا</c:v>
                </c:pt>
                <c:pt idx="2">
                  <c:v>Vodafone - فودافون</c:v>
                </c:pt>
              </c:strCache>
            </c:strRef>
          </c:cat>
          <c:val>
            <c:numRef>
              <c:f>Pivot_Tables!$B$9:$B$12</c:f>
              <c:numCache>
                <c:formatCode>General</c:formatCode>
                <c:ptCount val="3"/>
                <c:pt idx="0">
                  <c:v>4450.833333333333</c:v>
                </c:pt>
                <c:pt idx="1">
                  <c:v>3899.9999992799994</c:v>
                </c:pt>
                <c:pt idx="2">
                  <c:v>4495.4166665946659</c:v>
                </c:pt>
              </c:numCache>
            </c:numRef>
          </c:val>
          <c:extLst>
            <c:ext xmlns:c16="http://schemas.microsoft.com/office/drawing/2014/chart" uri="{C3380CC4-5D6E-409C-BE32-E72D297353CC}">
              <c16:uniqueId val="{00000006-37DE-4590-AFD9-ED43B78738B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System.xlsx]Pivot_Tables!Salary_Dep</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577739343907413E-2"/>
          <c:y val="0.17266677469502686"/>
          <c:w val="0.9105828473515617"/>
          <c:h val="0.65580547956115254"/>
        </c:manualLayout>
      </c:layout>
      <c:barChart>
        <c:barDir val="col"/>
        <c:grouping val="clustered"/>
        <c:varyColors val="0"/>
        <c:ser>
          <c:idx val="0"/>
          <c:order val="0"/>
          <c:tx>
            <c:strRef>
              <c:f>Pivot_Tables!$P$7</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Pivot_Tables!$O$8:$O$14</c:f>
              <c:multiLvlStrCache>
                <c:ptCount val="3"/>
                <c:lvl>
                  <c:pt idx="0">
                    <c:v>ADM_D01</c:v>
                  </c:pt>
                  <c:pt idx="1">
                    <c:v>CON_D03</c:v>
                  </c:pt>
                  <c:pt idx="2">
                    <c:v>FIN_D02</c:v>
                  </c:pt>
                </c:lvl>
                <c:lvl>
                  <c:pt idx="0">
                    <c:v>الإدارة</c:v>
                  </c:pt>
                  <c:pt idx="1">
                    <c:v>الإنشاءات</c:v>
                  </c:pt>
                  <c:pt idx="2">
                    <c:v>التشطيبات</c:v>
                  </c:pt>
                </c:lvl>
              </c:multiLvlStrCache>
            </c:multiLvlStrRef>
          </c:cat>
          <c:val>
            <c:numRef>
              <c:f>Pivot_Tables!$P$8:$P$14</c:f>
              <c:numCache>
                <c:formatCode>General</c:formatCode>
                <c:ptCount val="3"/>
                <c:pt idx="0">
                  <c:v>2780.0000000800001</c:v>
                </c:pt>
                <c:pt idx="1">
                  <c:v>2795.4166665146663</c:v>
                </c:pt>
                <c:pt idx="2">
                  <c:v>7270.8333326133325</c:v>
                </c:pt>
              </c:numCache>
            </c:numRef>
          </c:val>
          <c:extLst>
            <c:ext xmlns:c16="http://schemas.microsoft.com/office/drawing/2014/chart" uri="{C3380CC4-5D6E-409C-BE32-E72D297353CC}">
              <c16:uniqueId val="{00000000-B83F-487D-9060-5D3C39B6127D}"/>
            </c:ext>
          </c:extLst>
        </c:ser>
        <c:dLbls>
          <c:dLblPos val="outEnd"/>
          <c:showLegendKey val="0"/>
          <c:showVal val="1"/>
          <c:showCatName val="0"/>
          <c:showSerName val="0"/>
          <c:showPercent val="0"/>
          <c:showBubbleSize val="0"/>
        </c:dLbls>
        <c:gapWidth val="219"/>
        <c:overlap val="-27"/>
        <c:axId val="1272196543"/>
        <c:axId val="1272189343"/>
      </c:barChart>
      <c:catAx>
        <c:axId val="127219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2189343"/>
        <c:crosses val="autoZero"/>
        <c:auto val="1"/>
        <c:lblAlgn val="ctr"/>
        <c:lblOffset val="100"/>
        <c:noMultiLvlLbl val="0"/>
      </c:catAx>
      <c:valAx>
        <c:axId val="127218934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7219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System.xlsx]Pivot_Tables!Job_Salary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057674577558744E-2"/>
          <c:w val="0.99720376771008468"/>
          <c:h val="0.78875771498798397"/>
        </c:manualLayout>
      </c:layout>
      <c:barChart>
        <c:barDir val="col"/>
        <c:grouping val="clustered"/>
        <c:varyColors val="0"/>
        <c:ser>
          <c:idx val="0"/>
          <c:order val="0"/>
          <c:tx>
            <c:strRef>
              <c:f>Pivot_Tables!$H$8</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Pivot_Tables!$G$9:$G$16</c:f>
              <c:strCache>
                <c:ptCount val="7"/>
                <c:pt idx="0">
                  <c:v>مشرف_موقع</c:v>
                </c:pt>
                <c:pt idx="1">
                  <c:v>عامل</c:v>
                </c:pt>
                <c:pt idx="2">
                  <c:v>مساعد كهربائي</c:v>
                </c:pt>
                <c:pt idx="3">
                  <c:v>صباغ</c:v>
                </c:pt>
                <c:pt idx="4">
                  <c:v>فورمان</c:v>
                </c:pt>
                <c:pt idx="5">
                  <c:v>سائق</c:v>
                </c:pt>
                <c:pt idx="6">
                  <c:v>عامل الثرى دى</c:v>
                </c:pt>
              </c:strCache>
            </c:strRef>
          </c:cat>
          <c:val>
            <c:numRef>
              <c:f>Pivot_Tables!$H$9:$H$16</c:f>
              <c:numCache>
                <c:formatCode>General</c:formatCode>
                <c:ptCount val="7"/>
                <c:pt idx="0">
                  <c:v>960.8333332586667</c:v>
                </c:pt>
                <c:pt idx="1">
                  <c:v>1100.0000000800001</c:v>
                </c:pt>
                <c:pt idx="2">
                  <c:v>1233.3333334133333</c:v>
                </c:pt>
                <c:pt idx="3">
                  <c:v>1437.4999999199999</c:v>
                </c:pt>
                <c:pt idx="4">
                  <c:v>1680</c:v>
                </c:pt>
                <c:pt idx="5">
                  <c:v>1934.5833332560001</c:v>
                </c:pt>
                <c:pt idx="6">
                  <c:v>4499.9999992799994</c:v>
                </c:pt>
              </c:numCache>
            </c:numRef>
          </c:val>
          <c:extLst>
            <c:ext xmlns:c16="http://schemas.microsoft.com/office/drawing/2014/chart" uri="{C3380CC4-5D6E-409C-BE32-E72D297353CC}">
              <c16:uniqueId val="{00000000-2DD6-45D5-9B96-2B5CD99A43EC}"/>
            </c:ext>
          </c:extLst>
        </c:ser>
        <c:dLbls>
          <c:dLblPos val="outEnd"/>
          <c:showLegendKey val="0"/>
          <c:showVal val="1"/>
          <c:showCatName val="0"/>
          <c:showSerName val="0"/>
          <c:showPercent val="0"/>
          <c:showBubbleSize val="0"/>
        </c:dLbls>
        <c:gapWidth val="182"/>
        <c:axId val="1272203743"/>
        <c:axId val="1272203263"/>
      </c:barChart>
      <c:catAx>
        <c:axId val="127220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72203263"/>
        <c:crosses val="autoZero"/>
        <c:auto val="1"/>
        <c:lblAlgn val="ctr"/>
        <c:lblOffset val="100"/>
        <c:noMultiLvlLbl val="0"/>
      </c:catAx>
      <c:valAx>
        <c:axId val="12722032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7220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System.xlsx]Pivot_Tables!Top_Salary</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303626561975719"/>
          <c:y val="7.6884672990514241E-2"/>
          <c:w val="0.63446408682181787"/>
          <c:h val="0.86192173227978952"/>
        </c:manualLayout>
      </c:layout>
      <c:barChart>
        <c:barDir val="bar"/>
        <c:grouping val="clustered"/>
        <c:varyColors val="0"/>
        <c:ser>
          <c:idx val="0"/>
          <c:order val="0"/>
          <c:tx>
            <c:strRef>
              <c:f>Pivot_Tables!$B$21</c:f>
              <c:strCache>
                <c:ptCount val="1"/>
                <c:pt idx="0">
                  <c:v>Total</c:v>
                </c:pt>
              </c:strCache>
            </c:strRef>
          </c:tx>
          <c:spPr>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Pivot_Tables!$A$22:$A$27</c:f>
              <c:strCache>
                <c:ptCount val="5"/>
                <c:pt idx="0">
                  <c:v>عبدالحكيم رستم انصاري</c:v>
                </c:pt>
                <c:pt idx="1">
                  <c:v>صلاح عبدالرحمن الحاج احمد</c:v>
                </c:pt>
                <c:pt idx="2">
                  <c:v>محمد اكبر صافي</c:v>
                </c:pt>
                <c:pt idx="3">
                  <c:v>محمد نور الأسلام</c:v>
                </c:pt>
                <c:pt idx="4">
                  <c:v>عبد الباسي عبد الرحمن اشير</c:v>
                </c:pt>
              </c:strCache>
            </c:strRef>
          </c:cat>
          <c:val>
            <c:numRef>
              <c:f>Pivot_Tables!$B$22:$B$27</c:f>
              <c:numCache>
                <c:formatCode>General</c:formatCode>
                <c:ptCount val="5"/>
                <c:pt idx="0">
                  <c:v>760.8333332586667</c:v>
                </c:pt>
                <c:pt idx="1">
                  <c:v>930</c:v>
                </c:pt>
                <c:pt idx="2">
                  <c:v>1084.5833332560001</c:v>
                </c:pt>
                <c:pt idx="3">
                  <c:v>1450.0000000800001</c:v>
                </c:pt>
                <c:pt idx="4">
                  <c:v>1549.9999992000003</c:v>
                </c:pt>
              </c:numCache>
            </c:numRef>
          </c:val>
          <c:extLst>
            <c:ext xmlns:c16="http://schemas.microsoft.com/office/drawing/2014/chart" uri="{C3380CC4-5D6E-409C-BE32-E72D297353CC}">
              <c16:uniqueId val="{00000000-6E4A-4CD2-91BB-88007D809CCC}"/>
            </c:ext>
          </c:extLst>
        </c:ser>
        <c:dLbls>
          <c:dLblPos val="outEnd"/>
          <c:showLegendKey val="0"/>
          <c:showVal val="1"/>
          <c:showCatName val="0"/>
          <c:showSerName val="0"/>
          <c:showPercent val="0"/>
          <c:showBubbleSize val="0"/>
        </c:dLbls>
        <c:gapWidth val="182"/>
        <c:axId val="1626609215"/>
        <c:axId val="1626607775"/>
      </c:barChart>
      <c:catAx>
        <c:axId val="162660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26607775"/>
        <c:crosses val="autoZero"/>
        <c:auto val="1"/>
        <c:lblAlgn val="ctr"/>
        <c:lblOffset val="100"/>
        <c:noMultiLvlLbl val="0"/>
      </c:catAx>
      <c:valAx>
        <c:axId val="1626607775"/>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660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System.xlsx]Pivot_Tables!Date_Salary</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Pivot_Tables!$X$7</c:f>
              <c:strCache>
                <c:ptCount val="1"/>
                <c:pt idx="0">
                  <c:v>Total</c:v>
                </c:pt>
              </c:strCache>
            </c:strRef>
          </c:tx>
          <c:spPr>
            <a:ln w="28575" cap="rnd">
              <a:solidFill>
                <a:schemeClr val="accent1"/>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Pivot_Tables!$W$8:$W$11</c:f>
              <c:strCache>
                <c:ptCount val="3"/>
                <c:pt idx="0">
                  <c:v>(blank)</c:v>
                </c:pt>
                <c:pt idx="1">
                  <c:v>3/1/2026</c:v>
                </c:pt>
                <c:pt idx="2">
                  <c:v>4/1/2026</c:v>
                </c:pt>
              </c:strCache>
            </c:strRef>
          </c:cat>
          <c:val>
            <c:numRef>
              <c:f>Pivot_Tables!$X$8:$X$11</c:f>
              <c:numCache>
                <c:formatCode>General</c:formatCode>
                <c:ptCount val="3"/>
                <c:pt idx="0">
                  <c:v>-750</c:v>
                </c:pt>
                <c:pt idx="1">
                  <c:v>5366.2499998480007</c:v>
                </c:pt>
                <c:pt idx="2">
                  <c:v>6729.9999993599995</c:v>
                </c:pt>
              </c:numCache>
            </c:numRef>
          </c:val>
          <c:smooth val="0"/>
          <c:extLst>
            <c:ext xmlns:c16="http://schemas.microsoft.com/office/drawing/2014/chart" uri="{C3380CC4-5D6E-409C-BE32-E72D297353CC}">
              <c16:uniqueId val="{00000000-BBCB-46F8-B1A4-BF66AEC53CEA}"/>
            </c:ext>
          </c:extLst>
        </c:ser>
        <c:dLbls>
          <c:dLblPos val="t"/>
          <c:showLegendKey val="0"/>
          <c:showVal val="1"/>
          <c:showCatName val="0"/>
          <c:showSerName val="0"/>
          <c:showPercent val="0"/>
          <c:showBubbleSize val="0"/>
        </c:dLbls>
        <c:smooth val="0"/>
        <c:axId val="1451293743"/>
        <c:axId val="1451302863"/>
      </c:lineChart>
      <c:catAx>
        <c:axId val="1451293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451302863"/>
        <c:crosses val="autoZero"/>
        <c:auto val="1"/>
        <c:lblAlgn val="ctr"/>
        <c:lblOffset val="100"/>
        <c:noMultiLvlLbl val="0"/>
      </c:catAx>
      <c:valAx>
        <c:axId val="1451302863"/>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5129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System.xlsx]Pivot_Tables!Salary_Dep</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Pivot_Tables!$P$7</c:f>
              <c:strCache>
                <c:ptCount val="1"/>
                <c:pt idx="0">
                  <c:v>Total</c:v>
                </c:pt>
              </c:strCache>
            </c:strRef>
          </c:tx>
          <c:spPr>
            <a:solidFill>
              <a:schemeClr val="accent1"/>
            </a:solidFill>
            <a:ln>
              <a:noFill/>
            </a:ln>
            <a:effectLst/>
          </c:spPr>
          <c:invertIfNegative val="0"/>
          <c:cat>
            <c:multiLvlStrRef>
              <c:f>Pivot_Tables!$O$8:$O$14</c:f>
              <c:multiLvlStrCache>
                <c:ptCount val="3"/>
                <c:lvl>
                  <c:pt idx="0">
                    <c:v>ADM_D01</c:v>
                  </c:pt>
                  <c:pt idx="1">
                    <c:v>CON_D03</c:v>
                  </c:pt>
                  <c:pt idx="2">
                    <c:v>FIN_D02</c:v>
                  </c:pt>
                </c:lvl>
                <c:lvl>
                  <c:pt idx="0">
                    <c:v>الإدارة</c:v>
                  </c:pt>
                  <c:pt idx="1">
                    <c:v>الإنشاءات</c:v>
                  </c:pt>
                  <c:pt idx="2">
                    <c:v>التشطيبات</c:v>
                  </c:pt>
                </c:lvl>
              </c:multiLvlStrCache>
            </c:multiLvlStrRef>
          </c:cat>
          <c:val>
            <c:numRef>
              <c:f>Pivot_Tables!$P$8:$P$14</c:f>
              <c:numCache>
                <c:formatCode>General</c:formatCode>
                <c:ptCount val="3"/>
                <c:pt idx="0">
                  <c:v>2780.0000000800001</c:v>
                </c:pt>
                <c:pt idx="1">
                  <c:v>2795.4166665146663</c:v>
                </c:pt>
                <c:pt idx="2">
                  <c:v>7270.8333326133325</c:v>
                </c:pt>
              </c:numCache>
            </c:numRef>
          </c:val>
          <c:extLst>
            <c:ext xmlns:c16="http://schemas.microsoft.com/office/drawing/2014/chart" uri="{C3380CC4-5D6E-409C-BE32-E72D297353CC}">
              <c16:uniqueId val="{00000002-386C-4F05-9F0E-1078D2770892}"/>
            </c:ext>
          </c:extLst>
        </c:ser>
        <c:dLbls>
          <c:showLegendKey val="0"/>
          <c:showVal val="0"/>
          <c:showCatName val="0"/>
          <c:showSerName val="0"/>
          <c:showPercent val="0"/>
          <c:showBubbleSize val="0"/>
        </c:dLbls>
        <c:gapWidth val="219"/>
        <c:overlap val="-27"/>
        <c:axId val="1272196543"/>
        <c:axId val="1272189343"/>
      </c:barChart>
      <c:catAx>
        <c:axId val="127219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89343"/>
        <c:crosses val="autoZero"/>
        <c:auto val="1"/>
        <c:lblAlgn val="ctr"/>
        <c:lblOffset val="100"/>
        <c:noMultiLvlLbl val="0"/>
      </c:catAx>
      <c:valAx>
        <c:axId val="1272189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19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System.xlsx]Pivot_Tables!Job_Salary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Pivot_Tables!$H$8</c:f>
              <c:strCache>
                <c:ptCount val="1"/>
                <c:pt idx="0">
                  <c:v>Total</c:v>
                </c:pt>
              </c:strCache>
            </c:strRef>
          </c:tx>
          <c:spPr>
            <a:solidFill>
              <a:schemeClr val="accent1"/>
            </a:solidFill>
            <a:ln>
              <a:noFill/>
            </a:ln>
            <a:effectLst/>
          </c:spPr>
          <c:invertIfNegative val="0"/>
          <c:cat>
            <c:strRef>
              <c:f>Pivot_Tables!$G$9:$G$16</c:f>
              <c:strCache>
                <c:ptCount val="7"/>
                <c:pt idx="0">
                  <c:v>مشرف_موقع</c:v>
                </c:pt>
                <c:pt idx="1">
                  <c:v>عامل</c:v>
                </c:pt>
                <c:pt idx="2">
                  <c:v>مساعد كهربائي</c:v>
                </c:pt>
                <c:pt idx="3">
                  <c:v>صباغ</c:v>
                </c:pt>
                <c:pt idx="4">
                  <c:v>فورمان</c:v>
                </c:pt>
                <c:pt idx="5">
                  <c:v>سائق</c:v>
                </c:pt>
                <c:pt idx="6">
                  <c:v>عامل الثرى دى</c:v>
                </c:pt>
              </c:strCache>
            </c:strRef>
          </c:cat>
          <c:val>
            <c:numRef>
              <c:f>Pivot_Tables!$H$9:$H$16</c:f>
              <c:numCache>
                <c:formatCode>General</c:formatCode>
                <c:ptCount val="7"/>
                <c:pt idx="0">
                  <c:v>960.8333332586667</c:v>
                </c:pt>
                <c:pt idx="1">
                  <c:v>1100.0000000800001</c:v>
                </c:pt>
                <c:pt idx="2">
                  <c:v>1233.3333334133333</c:v>
                </c:pt>
                <c:pt idx="3">
                  <c:v>1437.4999999199999</c:v>
                </c:pt>
                <c:pt idx="4">
                  <c:v>1680</c:v>
                </c:pt>
                <c:pt idx="5">
                  <c:v>1934.5833332560001</c:v>
                </c:pt>
                <c:pt idx="6">
                  <c:v>4499.9999992799994</c:v>
                </c:pt>
              </c:numCache>
            </c:numRef>
          </c:val>
          <c:extLst>
            <c:ext xmlns:c16="http://schemas.microsoft.com/office/drawing/2014/chart" uri="{C3380CC4-5D6E-409C-BE32-E72D297353CC}">
              <c16:uniqueId val="{00000000-A3C6-49AB-8FF1-9614B5A6AB94}"/>
            </c:ext>
          </c:extLst>
        </c:ser>
        <c:dLbls>
          <c:showLegendKey val="0"/>
          <c:showVal val="0"/>
          <c:showCatName val="0"/>
          <c:showSerName val="0"/>
          <c:showPercent val="0"/>
          <c:showBubbleSize val="0"/>
        </c:dLbls>
        <c:gapWidth val="182"/>
        <c:axId val="1272203743"/>
        <c:axId val="1272203263"/>
      </c:barChart>
      <c:catAx>
        <c:axId val="127220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203263"/>
        <c:crosses val="autoZero"/>
        <c:auto val="1"/>
        <c:lblAlgn val="ctr"/>
        <c:lblOffset val="100"/>
        <c:noMultiLvlLbl val="0"/>
      </c:catAx>
      <c:valAx>
        <c:axId val="1272203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220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System.xlsx]Pivot_Tables!Salary_Payment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Pivot_Tables!$B$8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6A-4BC7-BCCC-F28EB1EF24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6A-4BC7-BCCC-F28EB1EF24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6A-4BC7-BCCC-F28EB1EF2440}"/>
              </c:ext>
            </c:extLst>
          </c:dPt>
          <c:dLbls>
            <c:spPr>
              <a:solidFill>
                <a:srgbClr val="FFFFFF"/>
              </a:solidFill>
              <a:ln>
                <a:solidFill>
                  <a:srgbClr val="000000">
                    <a:lumMod val="25000"/>
                    <a:lumOff val="75000"/>
                    <a:alpha val="92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Pivot_Tables!$A$9:$A$12</c:f>
              <c:strCache>
                <c:ptCount val="3"/>
                <c:pt idx="0">
                  <c:v>Bank - بنك</c:v>
                </c:pt>
                <c:pt idx="1">
                  <c:v>cash - نقدا</c:v>
                </c:pt>
                <c:pt idx="2">
                  <c:v>Vodafone - فودافون</c:v>
                </c:pt>
              </c:strCache>
            </c:strRef>
          </c:cat>
          <c:val>
            <c:numRef>
              <c:f>Pivot_Tables!$B$9:$B$12</c:f>
              <c:numCache>
                <c:formatCode>General</c:formatCode>
                <c:ptCount val="3"/>
                <c:pt idx="0">
                  <c:v>4450.833333333333</c:v>
                </c:pt>
                <c:pt idx="1">
                  <c:v>3899.9999992799994</c:v>
                </c:pt>
                <c:pt idx="2">
                  <c:v>4495.4166665946659</c:v>
                </c:pt>
              </c:numCache>
            </c:numRef>
          </c:val>
          <c:extLst>
            <c:ext xmlns:c16="http://schemas.microsoft.com/office/drawing/2014/chart" uri="{C3380CC4-5D6E-409C-BE32-E72D297353CC}">
              <c16:uniqueId val="{00000005-2180-4330-B1AB-E7C903A3A9C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System.xlsx]Pivot_Tables!Date_Salary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Pivot_Tables!$X$7</c:f>
              <c:strCache>
                <c:ptCount val="1"/>
                <c:pt idx="0">
                  <c:v>Total</c:v>
                </c:pt>
              </c:strCache>
            </c:strRef>
          </c:tx>
          <c:spPr>
            <a:ln w="28575" cap="rnd">
              <a:solidFill>
                <a:schemeClr val="accent1"/>
              </a:solidFill>
              <a:round/>
            </a:ln>
            <a:effectLst/>
          </c:spPr>
          <c:marker>
            <c:symbol val="none"/>
          </c:marker>
          <c:cat>
            <c:strRef>
              <c:f>Pivot_Tables!$W$8:$W$11</c:f>
              <c:strCache>
                <c:ptCount val="3"/>
                <c:pt idx="0">
                  <c:v>(blank)</c:v>
                </c:pt>
                <c:pt idx="1">
                  <c:v>3/1/2026</c:v>
                </c:pt>
                <c:pt idx="2">
                  <c:v>4/1/2026</c:v>
                </c:pt>
              </c:strCache>
            </c:strRef>
          </c:cat>
          <c:val>
            <c:numRef>
              <c:f>Pivot_Tables!$X$8:$X$11</c:f>
              <c:numCache>
                <c:formatCode>General</c:formatCode>
                <c:ptCount val="3"/>
                <c:pt idx="0">
                  <c:v>-750</c:v>
                </c:pt>
                <c:pt idx="1">
                  <c:v>5366.2499998480007</c:v>
                </c:pt>
                <c:pt idx="2">
                  <c:v>6729.9999993599995</c:v>
                </c:pt>
              </c:numCache>
            </c:numRef>
          </c:val>
          <c:smooth val="0"/>
          <c:extLst>
            <c:ext xmlns:c16="http://schemas.microsoft.com/office/drawing/2014/chart" uri="{C3380CC4-5D6E-409C-BE32-E72D297353CC}">
              <c16:uniqueId val="{00000000-6416-4263-BB94-B48ADBDB1A05}"/>
            </c:ext>
          </c:extLst>
        </c:ser>
        <c:dLbls>
          <c:showLegendKey val="0"/>
          <c:showVal val="0"/>
          <c:showCatName val="0"/>
          <c:showSerName val="0"/>
          <c:showPercent val="0"/>
          <c:showBubbleSize val="0"/>
        </c:dLbls>
        <c:smooth val="0"/>
        <c:axId val="1451293743"/>
        <c:axId val="1451302863"/>
      </c:lineChart>
      <c:catAx>
        <c:axId val="145129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302863"/>
        <c:crosses val="autoZero"/>
        <c:auto val="1"/>
        <c:lblAlgn val="ctr"/>
        <c:lblOffset val="100"/>
        <c:noMultiLvlLbl val="0"/>
      </c:catAx>
      <c:valAx>
        <c:axId val="145130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129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System.xlsx]Pivot_Tables!Top_Salary</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733362033449523"/>
          <c:y val="0.36489911812034082"/>
          <c:w val="0.53674235165048823"/>
          <c:h val="0.48625091257240582"/>
        </c:manualLayout>
      </c:layout>
      <c:barChart>
        <c:barDir val="bar"/>
        <c:grouping val="clustered"/>
        <c:varyColors val="0"/>
        <c:ser>
          <c:idx val="0"/>
          <c:order val="0"/>
          <c:tx>
            <c:strRef>
              <c:f>Pivot_Tables!$B$21</c:f>
              <c:strCache>
                <c:ptCount val="1"/>
                <c:pt idx="0">
                  <c:v>Total</c:v>
                </c:pt>
              </c:strCache>
            </c:strRef>
          </c:tx>
          <c:spPr>
            <a:solidFill>
              <a:schemeClr val="accent1"/>
            </a:solidFill>
            <a:ln>
              <a:noFill/>
            </a:ln>
            <a:effectLst/>
          </c:spPr>
          <c:invertIfNegative val="0"/>
          <c:cat>
            <c:strRef>
              <c:f>Pivot_Tables!$A$22:$A$27</c:f>
              <c:strCache>
                <c:ptCount val="5"/>
                <c:pt idx="0">
                  <c:v>عبدالحكيم رستم انصاري</c:v>
                </c:pt>
                <c:pt idx="1">
                  <c:v>صلاح عبدالرحمن الحاج احمد</c:v>
                </c:pt>
                <c:pt idx="2">
                  <c:v>محمد اكبر صافي</c:v>
                </c:pt>
                <c:pt idx="3">
                  <c:v>محمد نور الأسلام</c:v>
                </c:pt>
                <c:pt idx="4">
                  <c:v>عبد الباسي عبد الرحمن اشير</c:v>
                </c:pt>
              </c:strCache>
            </c:strRef>
          </c:cat>
          <c:val>
            <c:numRef>
              <c:f>Pivot_Tables!$B$22:$B$27</c:f>
              <c:numCache>
                <c:formatCode>General</c:formatCode>
                <c:ptCount val="5"/>
                <c:pt idx="0">
                  <c:v>760.8333332586667</c:v>
                </c:pt>
                <c:pt idx="1">
                  <c:v>930</c:v>
                </c:pt>
                <c:pt idx="2">
                  <c:v>1084.5833332560001</c:v>
                </c:pt>
                <c:pt idx="3">
                  <c:v>1450.0000000800001</c:v>
                </c:pt>
                <c:pt idx="4">
                  <c:v>1549.9999992000003</c:v>
                </c:pt>
              </c:numCache>
            </c:numRef>
          </c:val>
          <c:extLst>
            <c:ext xmlns:c16="http://schemas.microsoft.com/office/drawing/2014/chart" uri="{C3380CC4-5D6E-409C-BE32-E72D297353CC}">
              <c16:uniqueId val="{00000002-825D-4326-B2F0-F9C4C84C5163}"/>
            </c:ext>
          </c:extLst>
        </c:ser>
        <c:dLbls>
          <c:showLegendKey val="0"/>
          <c:showVal val="0"/>
          <c:showCatName val="0"/>
          <c:showSerName val="0"/>
          <c:showPercent val="0"/>
          <c:showBubbleSize val="0"/>
        </c:dLbls>
        <c:gapWidth val="182"/>
        <c:axId val="1626609215"/>
        <c:axId val="1626607775"/>
      </c:barChart>
      <c:catAx>
        <c:axId val="1626609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07775"/>
        <c:crosses val="autoZero"/>
        <c:auto val="1"/>
        <c:lblAlgn val="ctr"/>
        <c:lblOffset val="100"/>
        <c:noMultiLvlLbl val="0"/>
      </c:catAx>
      <c:valAx>
        <c:axId val="1626607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660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 Workforce, Payroll &amp; Project Cost Management System.xlsx]Pivot_Tables!Nation_#</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Pivot_Tables!$AP$30</c:f>
              <c:strCache>
                <c:ptCount val="1"/>
                <c:pt idx="0">
                  <c:v>Total</c:v>
                </c:pt>
              </c:strCache>
            </c:strRef>
          </c:tx>
          <c:spPr>
            <a:solidFill>
              <a:schemeClr val="accent1"/>
            </a:solidFill>
            <a:ln>
              <a:noFill/>
            </a:ln>
            <a:effectLst/>
          </c:spPr>
          <c:invertIfNegative val="0"/>
          <c:cat>
            <c:strRef>
              <c:f>Pivot_Tables!$AO$31:$AO$39</c:f>
              <c:strCache>
                <c:ptCount val="8"/>
                <c:pt idx="0">
                  <c:v>إندونيسي – Indonesian</c:v>
                </c:pt>
                <c:pt idx="1">
                  <c:v>أوغندي – Ugandan</c:v>
                </c:pt>
                <c:pt idx="2">
                  <c:v>باكستاني – Pakistani</c:v>
                </c:pt>
                <c:pt idx="3">
                  <c:v>تونسي – Tunisian</c:v>
                </c:pt>
                <c:pt idx="4">
                  <c:v>فلبيني – Filipino</c:v>
                </c:pt>
                <c:pt idx="5">
                  <c:v>مصري – Egyptian</c:v>
                </c:pt>
                <c:pt idx="6">
                  <c:v>نيبالي – Nepali</c:v>
                </c:pt>
                <c:pt idx="7">
                  <c:v>هندي – Indian</c:v>
                </c:pt>
              </c:strCache>
            </c:strRef>
          </c:cat>
          <c:val>
            <c:numRef>
              <c:f>Pivot_Tables!$AP$31:$AP$39</c:f>
              <c:numCache>
                <c:formatCode>General</c:formatCode>
                <c:ptCount val="8"/>
                <c:pt idx="0">
                  <c:v>1</c:v>
                </c:pt>
                <c:pt idx="1">
                  <c:v>1</c:v>
                </c:pt>
                <c:pt idx="2">
                  <c:v>4</c:v>
                </c:pt>
                <c:pt idx="3">
                  <c:v>2</c:v>
                </c:pt>
                <c:pt idx="4">
                  <c:v>2</c:v>
                </c:pt>
                <c:pt idx="5">
                  <c:v>2</c:v>
                </c:pt>
                <c:pt idx="6">
                  <c:v>10</c:v>
                </c:pt>
                <c:pt idx="7">
                  <c:v>4</c:v>
                </c:pt>
              </c:numCache>
            </c:numRef>
          </c:val>
          <c:extLst>
            <c:ext xmlns:c16="http://schemas.microsoft.com/office/drawing/2014/chart" uri="{C3380CC4-5D6E-409C-BE32-E72D297353CC}">
              <c16:uniqueId val="{00000000-22C7-45B6-BBA9-BAF643A83910}"/>
            </c:ext>
          </c:extLst>
        </c:ser>
        <c:dLbls>
          <c:showLegendKey val="0"/>
          <c:showVal val="0"/>
          <c:showCatName val="0"/>
          <c:showSerName val="0"/>
          <c:showPercent val="0"/>
          <c:showBubbleSize val="0"/>
        </c:dLbls>
        <c:gapWidth val="219"/>
        <c:overlap val="-27"/>
        <c:axId val="274284960"/>
        <c:axId val="274284000"/>
      </c:barChart>
      <c:catAx>
        <c:axId val="2742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84000"/>
        <c:crosses val="autoZero"/>
        <c:auto val="1"/>
        <c:lblAlgn val="ctr"/>
        <c:lblOffset val="100"/>
        <c:noMultiLvlLbl val="0"/>
      </c:catAx>
      <c:valAx>
        <c:axId val="27428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284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HR_Dashboard!A1"/><Relationship Id="rId7" Type="http://schemas.openxmlformats.org/officeDocument/2006/relationships/chart" Target="../charts/chart4.xml"/><Relationship Id="rId2" Type="http://schemas.openxmlformats.org/officeDocument/2006/relationships/hyperlink" Target="#'Project_Cost_Dashboard '!A1"/><Relationship Id="rId1" Type="http://schemas.openxmlformats.org/officeDocument/2006/relationships/hyperlink" Target="#'Payroll Analysis'!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hyperlink" Target="#HR_Dashboard!A1"/><Relationship Id="rId7" Type="http://schemas.openxmlformats.org/officeDocument/2006/relationships/chart" Target="../charts/chart10.xml"/><Relationship Id="rId2" Type="http://schemas.openxmlformats.org/officeDocument/2006/relationships/hyperlink" Target="#'Project_Cost_Dashboard '!A1"/><Relationship Id="rId1" Type="http://schemas.openxmlformats.org/officeDocument/2006/relationships/hyperlink" Target="#'Payroll Analysis'!A1"/><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HR_Dashboard!A1"/><Relationship Id="rId7" Type="http://schemas.openxmlformats.org/officeDocument/2006/relationships/chart" Target="../charts/chart14.xml"/><Relationship Id="rId2" Type="http://schemas.openxmlformats.org/officeDocument/2006/relationships/hyperlink" Target="#'Project_Cost_Dashboard '!A1"/><Relationship Id="rId1" Type="http://schemas.openxmlformats.org/officeDocument/2006/relationships/hyperlink" Target="#'Payroll Analysis'!A1"/><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240030</xdr:colOff>
      <xdr:row>0</xdr:row>
      <xdr:rowOff>0</xdr:rowOff>
    </xdr:from>
    <xdr:to>
      <xdr:col>21</xdr:col>
      <xdr:colOff>27215</xdr:colOff>
      <xdr:row>50</xdr:row>
      <xdr:rowOff>10886</xdr:rowOff>
    </xdr:to>
    <xdr:sp macro="" textlink="">
      <xdr:nvSpPr>
        <xdr:cNvPr id="63" name="Rectangle: Rounded Corners 62">
          <a:extLst>
            <a:ext uri="{FF2B5EF4-FFF2-40B4-BE49-F238E27FC236}">
              <a16:creationId xmlns:a16="http://schemas.microsoft.com/office/drawing/2014/main" id="{57355AFD-3CF2-474F-8132-CE0871D9756D}"/>
            </a:ext>
          </a:extLst>
        </xdr:cNvPr>
        <xdr:cNvSpPr/>
      </xdr:nvSpPr>
      <xdr:spPr>
        <a:xfrm>
          <a:off x="10511795443" y="0"/>
          <a:ext cx="11353256" cy="9617529"/>
        </a:xfrm>
        <a:prstGeom prst="roundRect">
          <a:avLst>
            <a:gd name="adj" fmla="val 2114"/>
          </a:avLst>
        </a:prstGeom>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solidFill>
            <a:srgbClr val="C7CC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1400" b="1">
            <a:solidFill>
              <a:srgbClr val="CCFFFF"/>
            </a:solidFill>
          </a:endParaRPr>
        </a:p>
      </xdr:txBody>
    </xdr:sp>
    <xdr:clientData/>
  </xdr:twoCellAnchor>
  <xdr:twoCellAnchor>
    <xdr:from>
      <xdr:col>17</xdr:col>
      <xdr:colOff>441960</xdr:colOff>
      <xdr:row>2</xdr:row>
      <xdr:rowOff>135527</xdr:rowOff>
    </xdr:from>
    <xdr:to>
      <xdr:col>20</xdr:col>
      <xdr:colOff>621030</xdr:colOff>
      <xdr:row>6</xdr:row>
      <xdr:rowOff>124096</xdr:rowOff>
    </xdr:to>
    <xdr:grpSp>
      <xdr:nvGrpSpPr>
        <xdr:cNvPr id="46" name="Group 45">
          <a:extLst>
            <a:ext uri="{FF2B5EF4-FFF2-40B4-BE49-F238E27FC236}">
              <a16:creationId xmlns:a16="http://schemas.microsoft.com/office/drawing/2014/main" id="{60221298-5F88-96C9-9AF4-C733143E888E}"/>
            </a:ext>
          </a:extLst>
        </xdr:cNvPr>
        <xdr:cNvGrpSpPr/>
      </xdr:nvGrpSpPr>
      <xdr:grpSpPr>
        <a:xfrm>
          <a:off x="10488317934" y="807880"/>
          <a:ext cx="2102000" cy="723675"/>
          <a:chOff x="10511843885" y="1147899"/>
          <a:chExt cx="2105841" cy="728798"/>
        </a:xfrm>
        <a:effectLst>
          <a:glow rad="139700">
            <a:schemeClr val="accent5">
              <a:satMod val="175000"/>
              <a:alpha val="40000"/>
            </a:schemeClr>
          </a:glow>
        </a:effectLst>
      </xdr:grpSpPr>
      <xdr:sp macro="" textlink="">
        <xdr:nvSpPr>
          <xdr:cNvPr id="2" name="Rectangle: Rounded Corners 1">
            <a:extLst>
              <a:ext uri="{FF2B5EF4-FFF2-40B4-BE49-F238E27FC236}">
                <a16:creationId xmlns:a16="http://schemas.microsoft.com/office/drawing/2014/main" id="{B1B6F1D2-73E3-DCF0-364B-12D0F6A9FA53}"/>
              </a:ext>
            </a:extLst>
          </xdr:cNvPr>
          <xdr:cNvSpPr/>
        </xdr:nvSpPr>
        <xdr:spPr>
          <a:xfrm>
            <a:off x="10511885795" y="1147899"/>
            <a:ext cx="2063931" cy="728798"/>
          </a:xfrm>
          <a:prstGeom prst="roundRect">
            <a:avLst>
              <a:gd name="adj" fmla="val 27712"/>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3" name="TextBox 2">
            <a:extLst>
              <a:ext uri="{FF2B5EF4-FFF2-40B4-BE49-F238E27FC236}">
                <a16:creationId xmlns:a16="http://schemas.microsoft.com/office/drawing/2014/main" id="{C9D6D23C-50CC-66B0-80DC-455B27659C03}"/>
              </a:ext>
            </a:extLst>
          </xdr:cNvPr>
          <xdr:cNvSpPr txBox="1"/>
        </xdr:nvSpPr>
        <xdr:spPr>
          <a:xfrm>
            <a:off x="10511862935" y="1178379"/>
            <a:ext cx="2069194"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Total Employees </a:t>
            </a:r>
          </a:p>
        </xdr:txBody>
      </xdr:sp>
      <xdr:sp macro="" textlink="Pivot_Tables!$AG$6">
        <xdr:nvSpPr>
          <xdr:cNvPr id="4" name="TextBox 3">
            <a:extLst>
              <a:ext uri="{FF2B5EF4-FFF2-40B4-BE49-F238E27FC236}">
                <a16:creationId xmlns:a16="http://schemas.microsoft.com/office/drawing/2014/main" id="{974BDA8B-A77E-432B-819B-239EA4F8E100}"/>
              </a:ext>
            </a:extLst>
          </xdr:cNvPr>
          <xdr:cNvSpPr txBox="1"/>
        </xdr:nvSpPr>
        <xdr:spPr>
          <a:xfrm>
            <a:off x="10511843885" y="1506583"/>
            <a:ext cx="2060121" cy="268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EBE47D2F-40EA-4AE9-B19B-615F1C03E5C6}"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26</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14</xdr:col>
      <xdr:colOff>19895</xdr:colOff>
      <xdr:row>2</xdr:row>
      <xdr:rowOff>135527</xdr:rowOff>
    </xdr:from>
    <xdr:to>
      <xdr:col>17</xdr:col>
      <xdr:colOff>166581</xdr:colOff>
      <xdr:row>6</xdr:row>
      <xdr:rowOff>124096</xdr:rowOff>
    </xdr:to>
    <xdr:grpSp>
      <xdr:nvGrpSpPr>
        <xdr:cNvPr id="45" name="Group 44">
          <a:extLst>
            <a:ext uri="{FF2B5EF4-FFF2-40B4-BE49-F238E27FC236}">
              <a16:creationId xmlns:a16="http://schemas.microsoft.com/office/drawing/2014/main" id="{48A32CFD-BDBB-7A00-0245-EA12FAD5F90B}"/>
            </a:ext>
          </a:extLst>
        </xdr:cNvPr>
        <xdr:cNvGrpSpPr/>
      </xdr:nvGrpSpPr>
      <xdr:grpSpPr>
        <a:xfrm>
          <a:off x="10490695313" y="807880"/>
          <a:ext cx="2069615" cy="723675"/>
          <a:chOff x="10514225105" y="1147899"/>
          <a:chExt cx="2073458" cy="728798"/>
        </a:xfrm>
        <a:effectLst>
          <a:glow rad="101600">
            <a:schemeClr val="accent5">
              <a:satMod val="175000"/>
              <a:alpha val="40000"/>
            </a:schemeClr>
          </a:glow>
        </a:effectLst>
      </xdr:grpSpPr>
      <xdr:sp macro="" textlink="">
        <xdr:nvSpPr>
          <xdr:cNvPr id="5" name="Rectangle: Rounded Corners 4">
            <a:extLst>
              <a:ext uri="{FF2B5EF4-FFF2-40B4-BE49-F238E27FC236}">
                <a16:creationId xmlns:a16="http://schemas.microsoft.com/office/drawing/2014/main" id="{FC2D44FA-25CA-4D2F-9738-C88DDC8A0D0D}"/>
              </a:ext>
            </a:extLst>
          </xdr:cNvPr>
          <xdr:cNvSpPr/>
        </xdr:nvSpPr>
        <xdr:spPr>
          <a:xfrm>
            <a:off x="10514234631" y="1147899"/>
            <a:ext cx="2063932" cy="728798"/>
          </a:xfrm>
          <a:prstGeom prst="roundRect">
            <a:avLst>
              <a:gd name="adj" fmla="val 29206"/>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6" name="TextBox 5">
            <a:extLst>
              <a:ext uri="{FF2B5EF4-FFF2-40B4-BE49-F238E27FC236}">
                <a16:creationId xmlns:a16="http://schemas.microsoft.com/office/drawing/2014/main" id="{9C404F09-2AF9-4EDD-BF80-B1C30AA38DF8}"/>
              </a:ext>
            </a:extLst>
          </xdr:cNvPr>
          <xdr:cNvSpPr txBox="1"/>
        </xdr:nvSpPr>
        <xdr:spPr>
          <a:xfrm>
            <a:off x="10514225106" y="1208859"/>
            <a:ext cx="2036202"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Count</a:t>
            </a:r>
            <a:r>
              <a:rPr lang="en-US" sz="1200" b="1" baseline="0">
                <a:solidFill>
                  <a:srgbClr val="002060"/>
                </a:solidFill>
                <a:latin typeface="Segoe UI" panose="020B0502040204020203" pitchFamily="34" charset="0"/>
                <a:ea typeface="Segoe UI Black" panose="020B0A02040204020203" pitchFamily="34" charset="0"/>
                <a:cs typeface="Segoe UI" panose="020B0502040204020203" pitchFamily="34" charset="0"/>
              </a:rPr>
              <a:t> </a:t>
            </a:r>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Of</a:t>
            </a:r>
            <a:r>
              <a:rPr lang="en-US" sz="1200" b="1" baseline="0">
                <a:solidFill>
                  <a:srgbClr val="002060"/>
                </a:solidFill>
                <a:latin typeface="Segoe UI" panose="020B0502040204020203" pitchFamily="34" charset="0"/>
                <a:ea typeface="Segoe UI Black" panose="020B0A02040204020203" pitchFamily="34" charset="0"/>
                <a:cs typeface="Segoe UI" panose="020B0502040204020203" pitchFamily="34" charset="0"/>
              </a:rPr>
              <a:t> Department</a:t>
            </a:r>
            <a:endPar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endParaRPr>
          </a:p>
        </xdr:txBody>
      </xdr:sp>
      <xdr:sp macro="" textlink="Pivot_Tables!$AJ$7">
        <xdr:nvSpPr>
          <xdr:cNvPr id="7" name="TextBox 6">
            <a:extLst>
              <a:ext uri="{FF2B5EF4-FFF2-40B4-BE49-F238E27FC236}">
                <a16:creationId xmlns:a16="http://schemas.microsoft.com/office/drawing/2014/main" id="{1BC14ABD-B9D4-4DA7-A774-2677F6E91181}"/>
              </a:ext>
            </a:extLst>
          </xdr:cNvPr>
          <xdr:cNvSpPr txBox="1"/>
        </xdr:nvSpPr>
        <xdr:spPr>
          <a:xfrm>
            <a:off x="10514225105" y="1518013"/>
            <a:ext cx="2040013"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FEDF4D72-FE42-4E57-B5BF-DC9B007D6AF9}"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14</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10</xdr:col>
      <xdr:colOff>179490</xdr:colOff>
      <xdr:row>2</xdr:row>
      <xdr:rowOff>135527</xdr:rowOff>
    </xdr:from>
    <xdr:to>
      <xdr:col>13</xdr:col>
      <xdr:colOff>316650</xdr:colOff>
      <xdr:row>6</xdr:row>
      <xdr:rowOff>124096</xdr:rowOff>
    </xdr:to>
    <xdr:grpSp>
      <xdr:nvGrpSpPr>
        <xdr:cNvPr id="41" name="Group 40">
          <a:extLst>
            <a:ext uri="{FF2B5EF4-FFF2-40B4-BE49-F238E27FC236}">
              <a16:creationId xmlns:a16="http://schemas.microsoft.com/office/drawing/2014/main" id="{17E6C886-AF0C-BAB3-0580-A504A3C2340A}"/>
            </a:ext>
          </a:extLst>
        </xdr:cNvPr>
        <xdr:cNvGrpSpPr/>
      </xdr:nvGrpSpPr>
      <xdr:grpSpPr>
        <a:xfrm>
          <a:off x="10493109150" y="807880"/>
          <a:ext cx="2060089" cy="723675"/>
          <a:chOff x="10516644065" y="1147899"/>
          <a:chExt cx="2063931" cy="728798"/>
        </a:xfrm>
        <a:effectLst>
          <a:glow rad="101600">
            <a:schemeClr val="accent5">
              <a:satMod val="175000"/>
              <a:alpha val="40000"/>
            </a:schemeClr>
          </a:glow>
        </a:effectLst>
      </xdr:grpSpPr>
      <xdr:sp macro="" textlink="">
        <xdr:nvSpPr>
          <xdr:cNvPr id="8" name="Rectangle: Rounded Corners 7">
            <a:extLst>
              <a:ext uri="{FF2B5EF4-FFF2-40B4-BE49-F238E27FC236}">
                <a16:creationId xmlns:a16="http://schemas.microsoft.com/office/drawing/2014/main" id="{9785733A-9A58-4CAB-908D-1644128FC462}"/>
              </a:ext>
            </a:extLst>
          </xdr:cNvPr>
          <xdr:cNvSpPr/>
        </xdr:nvSpPr>
        <xdr:spPr>
          <a:xfrm>
            <a:off x="10516644065" y="1147899"/>
            <a:ext cx="2063931" cy="728798"/>
          </a:xfrm>
          <a:prstGeom prst="roundRect">
            <a:avLst>
              <a:gd name="adj" fmla="val 29952"/>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9" name="TextBox 8">
            <a:extLst>
              <a:ext uri="{FF2B5EF4-FFF2-40B4-BE49-F238E27FC236}">
                <a16:creationId xmlns:a16="http://schemas.microsoft.com/office/drawing/2014/main" id="{582D1440-2861-4BA1-AC4B-742A3347FF10}"/>
              </a:ext>
            </a:extLst>
          </xdr:cNvPr>
          <xdr:cNvSpPr txBox="1"/>
        </xdr:nvSpPr>
        <xdr:spPr>
          <a:xfrm>
            <a:off x="10516682585" y="1205049"/>
            <a:ext cx="1943496"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Count Of Projects</a:t>
            </a:r>
          </a:p>
        </xdr:txBody>
      </xdr:sp>
      <xdr:sp macro="" textlink="Pivot_Tables!$AK$7">
        <xdr:nvSpPr>
          <xdr:cNvPr id="10" name="TextBox 9">
            <a:extLst>
              <a:ext uri="{FF2B5EF4-FFF2-40B4-BE49-F238E27FC236}">
                <a16:creationId xmlns:a16="http://schemas.microsoft.com/office/drawing/2014/main" id="{98AAB4C2-C99F-40E1-934C-AE409C6D074A}"/>
              </a:ext>
            </a:extLst>
          </xdr:cNvPr>
          <xdr:cNvSpPr txBox="1"/>
        </xdr:nvSpPr>
        <xdr:spPr>
          <a:xfrm>
            <a:off x="10516682585" y="1498963"/>
            <a:ext cx="1943496" cy="2688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2668BC3F-E20D-4212-88EB-420CFCEAEDDA}"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67</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397504</xdr:colOff>
      <xdr:row>2</xdr:row>
      <xdr:rowOff>135527</xdr:rowOff>
    </xdr:from>
    <xdr:to>
      <xdr:col>9</xdr:col>
      <xdr:colOff>534664</xdr:colOff>
      <xdr:row>6</xdr:row>
      <xdr:rowOff>124096</xdr:rowOff>
    </xdr:to>
    <xdr:grpSp>
      <xdr:nvGrpSpPr>
        <xdr:cNvPr id="35" name="Group 34">
          <a:extLst>
            <a:ext uri="{FF2B5EF4-FFF2-40B4-BE49-F238E27FC236}">
              <a16:creationId xmlns:a16="http://schemas.microsoft.com/office/drawing/2014/main" id="{F1845C0F-1164-09DD-9B63-E47F7E7CDA35}"/>
            </a:ext>
          </a:extLst>
        </xdr:cNvPr>
        <xdr:cNvGrpSpPr/>
      </xdr:nvGrpSpPr>
      <xdr:grpSpPr>
        <a:xfrm>
          <a:off x="10495455042" y="807880"/>
          <a:ext cx="2060089" cy="723675"/>
          <a:chOff x="10518995079" y="1147899"/>
          <a:chExt cx="2063932" cy="728798"/>
        </a:xfrm>
        <a:effectLst>
          <a:glow rad="101600">
            <a:schemeClr val="accent5">
              <a:satMod val="175000"/>
              <a:alpha val="40000"/>
            </a:schemeClr>
          </a:glow>
        </a:effectLst>
      </xdr:grpSpPr>
      <xdr:sp macro="" textlink="">
        <xdr:nvSpPr>
          <xdr:cNvPr id="11" name="Rectangle: Rounded Corners 10">
            <a:extLst>
              <a:ext uri="{FF2B5EF4-FFF2-40B4-BE49-F238E27FC236}">
                <a16:creationId xmlns:a16="http://schemas.microsoft.com/office/drawing/2014/main" id="{69389720-7D6E-4239-B802-E6477DD08999}"/>
              </a:ext>
            </a:extLst>
          </xdr:cNvPr>
          <xdr:cNvSpPr/>
        </xdr:nvSpPr>
        <xdr:spPr>
          <a:xfrm>
            <a:off x="10518995079" y="1147899"/>
            <a:ext cx="2063932" cy="728798"/>
          </a:xfrm>
          <a:prstGeom prst="roundRect">
            <a:avLst>
              <a:gd name="adj" fmla="val 37421"/>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12" name="TextBox 11">
            <a:extLst>
              <a:ext uri="{FF2B5EF4-FFF2-40B4-BE49-F238E27FC236}">
                <a16:creationId xmlns:a16="http://schemas.microsoft.com/office/drawing/2014/main" id="{DE1DE77C-71CA-4DB3-8370-06877F18FBE9}"/>
              </a:ext>
            </a:extLst>
          </xdr:cNvPr>
          <xdr:cNvSpPr txBox="1"/>
        </xdr:nvSpPr>
        <xdr:spPr>
          <a:xfrm>
            <a:off x="10519034443" y="1205049"/>
            <a:ext cx="2003613"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Count of Nationality</a:t>
            </a:r>
          </a:p>
        </xdr:txBody>
      </xdr:sp>
      <xdr:sp macro="" textlink="Pivot_Tables!$AG$6">
        <xdr:nvSpPr>
          <xdr:cNvPr id="13" name="TextBox 12">
            <a:extLst>
              <a:ext uri="{FF2B5EF4-FFF2-40B4-BE49-F238E27FC236}">
                <a16:creationId xmlns:a16="http://schemas.microsoft.com/office/drawing/2014/main" id="{F918D8FB-E8A6-47A5-A20B-80751749C53D}"/>
              </a:ext>
            </a:extLst>
          </xdr:cNvPr>
          <xdr:cNvSpPr txBox="1"/>
        </xdr:nvSpPr>
        <xdr:spPr>
          <a:xfrm>
            <a:off x="10519051175" y="1521823"/>
            <a:ext cx="1967190" cy="271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EBE47D2F-40EA-4AE9-B19B-615F1C03E5C6}" type="TxLink">
              <a:rPr lang="en-US" sz="1800" b="1" i="0" u="none" strike="noStrike">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26</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397504</xdr:colOff>
      <xdr:row>0</xdr:row>
      <xdr:rowOff>175804</xdr:rowOff>
    </xdr:from>
    <xdr:to>
      <xdr:col>9</xdr:col>
      <xdr:colOff>424936</xdr:colOff>
      <xdr:row>1</xdr:row>
      <xdr:rowOff>155121</xdr:rowOff>
    </xdr:to>
    <xdr:sp macro="" textlink="">
      <xdr:nvSpPr>
        <xdr:cNvPr id="18" name="Flowchart: Display 17">
          <a:hlinkClick xmlns:r="http://schemas.openxmlformats.org/officeDocument/2006/relationships" r:id="rId1"/>
          <a:extLst>
            <a:ext uri="{FF2B5EF4-FFF2-40B4-BE49-F238E27FC236}">
              <a16:creationId xmlns:a16="http://schemas.microsoft.com/office/drawing/2014/main" id="{C84AF5C7-C037-4A94-B3E3-4E247983B37F}"/>
            </a:ext>
          </a:extLst>
        </xdr:cNvPr>
        <xdr:cNvSpPr/>
      </xdr:nvSpPr>
      <xdr:spPr>
        <a:xfrm>
          <a:off x="10519104807" y="175804"/>
          <a:ext cx="1954204" cy="469174"/>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rgbClr val="5DADE2">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300" b="1">
              <a:solidFill>
                <a:srgbClr val="002060"/>
              </a:solidFill>
              <a:latin typeface="+mn-lt"/>
              <a:ea typeface="+mn-ea"/>
              <a:cs typeface="Segoe UI" panose="020B0502040204020203" pitchFamily="34" charset="0"/>
            </a:rPr>
            <a:t>Payroll Analysis</a:t>
          </a:r>
        </a:p>
      </xdr:txBody>
    </xdr:sp>
    <xdr:clientData/>
  </xdr:twoCellAnchor>
  <xdr:twoCellAnchor>
    <xdr:from>
      <xdr:col>9</xdr:col>
      <xdr:colOff>488776</xdr:colOff>
      <xdr:row>0</xdr:row>
      <xdr:rowOff>175804</xdr:rowOff>
    </xdr:from>
    <xdr:to>
      <xdr:col>12</xdr:col>
      <xdr:colOff>519256</xdr:colOff>
      <xdr:row>1</xdr:row>
      <xdr:rowOff>155121</xdr:rowOff>
    </xdr:to>
    <xdr:sp macro="" textlink="">
      <xdr:nvSpPr>
        <xdr:cNvPr id="19" name="Flowchart: Display 18">
          <a:hlinkClick xmlns:r="http://schemas.openxmlformats.org/officeDocument/2006/relationships" r:id="rId2"/>
          <a:extLst>
            <a:ext uri="{FF2B5EF4-FFF2-40B4-BE49-F238E27FC236}">
              <a16:creationId xmlns:a16="http://schemas.microsoft.com/office/drawing/2014/main" id="{4BE6E3C0-31A8-4FB3-A060-1F97DDB6B288}"/>
            </a:ext>
          </a:extLst>
        </xdr:cNvPr>
        <xdr:cNvSpPr/>
      </xdr:nvSpPr>
      <xdr:spPr>
        <a:xfrm>
          <a:off x="10517083716" y="175804"/>
          <a:ext cx="1957251" cy="469174"/>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rgbClr val="5DADE2">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1"/>
          <a:r>
            <a:rPr lang="en-US" sz="1400" b="1">
              <a:solidFill>
                <a:srgbClr val="002060"/>
              </a:solidFill>
              <a:latin typeface="Segoe UI" panose="020B0502040204020203" pitchFamily="34" charset="0"/>
              <a:ea typeface="+mn-ea"/>
              <a:cs typeface="Segoe UI" panose="020B0502040204020203" pitchFamily="34" charset="0"/>
            </a:rPr>
            <a:t>Project Cost Aalysis</a:t>
          </a:r>
        </a:p>
      </xdr:txBody>
    </xdr:sp>
    <xdr:clientData/>
  </xdr:twoCellAnchor>
  <xdr:twoCellAnchor>
    <xdr:from>
      <xdr:col>12</xdr:col>
      <xdr:colOff>593983</xdr:colOff>
      <xdr:row>0</xdr:row>
      <xdr:rowOff>143147</xdr:rowOff>
    </xdr:from>
    <xdr:to>
      <xdr:col>15</xdr:col>
      <xdr:colOff>621415</xdr:colOff>
      <xdr:row>1</xdr:row>
      <xdr:rowOff>122464</xdr:rowOff>
    </xdr:to>
    <xdr:sp macro="" textlink="">
      <xdr:nvSpPr>
        <xdr:cNvPr id="20" name="Flowchart: Display 19">
          <a:hlinkClick xmlns:r="http://schemas.openxmlformats.org/officeDocument/2006/relationships" r:id="rId3"/>
          <a:extLst>
            <a:ext uri="{FF2B5EF4-FFF2-40B4-BE49-F238E27FC236}">
              <a16:creationId xmlns:a16="http://schemas.microsoft.com/office/drawing/2014/main" id="{B7825531-7686-4D47-90FE-52554A4B23B3}"/>
            </a:ext>
          </a:extLst>
        </xdr:cNvPr>
        <xdr:cNvSpPr/>
      </xdr:nvSpPr>
      <xdr:spPr>
        <a:xfrm>
          <a:off x="10515054785" y="143147"/>
          <a:ext cx="1954204" cy="469174"/>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rgbClr val="5DADE2">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2060"/>
              </a:solidFill>
              <a:latin typeface="Segoe UI" panose="020B0502040204020203" pitchFamily="34" charset="0"/>
              <a:cs typeface="Segoe UI" panose="020B0502040204020203" pitchFamily="34" charset="0"/>
            </a:rPr>
            <a:t>HR Aalysis</a:t>
          </a:r>
        </a:p>
      </xdr:txBody>
    </xdr:sp>
    <xdr:clientData/>
  </xdr:twoCellAnchor>
  <xdr:twoCellAnchor>
    <xdr:from>
      <xdr:col>16</xdr:col>
      <xdr:colOff>34290</xdr:colOff>
      <xdr:row>0</xdr:row>
      <xdr:rowOff>83821</xdr:rowOff>
    </xdr:from>
    <xdr:to>
      <xdr:col>20</xdr:col>
      <xdr:colOff>615044</xdr:colOff>
      <xdr:row>2</xdr:row>
      <xdr:rowOff>38101</xdr:rowOff>
    </xdr:to>
    <xdr:sp macro="" textlink="">
      <xdr:nvSpPr>
        <xdr:cNvPr id="22" name="Rectangle: Rounded Corners 21">
          <a:extLst>
            <a:ext uri="{FF2B5EF4-FFF2-40B4-BE49-F238E27FC236}">
              <a16:creationId xmlns:a16="http://schemas.microsoft.com/office/drawing/2014/main" id="{126A438F-1C00-4A54-9FCB-11BDAB18C5E4}"/>
            </a:ext>
          </a:extLst>
        </xdr:cNvPr>
        <xdr:cNvSpPr/>
      </xdr:nvSpPr>
      <xdr:spPr>
        <a:xfrm>
          <a:off x="10511849871" y="83821"/>
          <a:ext cx="3149782" cy="629194"/>
        </a:xfrm>
        <a:prstGeom prst="roundRect">
          <a:avLst>
            <a:gd name="adj" fmla="val 48715"/>
          </a:avLst>
        </a:prstGeom>
        <a:gradFill flip="none" rotWithShape="1">
          <a:gsLst>
            <a:gs pos="0">
              <a:srgbClr val="66FFFF"/>
            </a:gs>
            <a:gs pos="50000">
              <a:srgbClr val="CCFFFF"/>
            </a:gs>
            <a:gs pos="58850">
              <a:srgbClr val="5DADE2"/>
            </a:gs>
            <a:gs pos="100000">
              <a:srgbClr val="CCFFFF"/>
            </a:gs>
          </a:gsLst>
          <a:path path="circle">
            <a:fillToRect l="100000" t="100000"/>
          </a:path>
          <a:tileRect r="-100000" b="-100000"/>
        </a:gradFill>
        <a:ln w="12700">
          <a:gradFill flip="none" rotWithShape="1">
            <a:gsLst>
              <a:gs pos="0">
                <a:srgbClr val="FFFFFF"/>
              </a:gs>
              <a:gs pos="74000">
                <a:srgbClr val="A6ACAF"/>
              </a:gs>
              <a:gs pos="83000">
                <a:srgbClr val="A6ACAF"/>
              </a:gs>
              <a:gs pos="100000">
                <a:srgbClr val="A6ACAF">
                  <a:lumMod val="100000"/>
                </a:srgbClr>
              </a:gs>
            </a:gsLst>
            <a:lin ang="27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3200" b="1">
              <a:solidFill>
                <a:schemeClr val="accent1">
                  <a:lumMod val="75000"/>
                </a:schemeClr>
              </a:solidFill>
              <a:latin typeface="Segoe UI" panose="020B0502040204020203" pitchFamily="34" charset="0"/>
              <a:cs typeface="Segoe UI" panose="020B0502040204020203" pitchFamily="34" charset="0"/>
            </a:rPr>
            <a:t>HR Dashboard</a:t>
          </a:r>
        </a:p>
      </xdr:txBody>
    </xdr:sp>
    <xdr:clientData/>
  </xdr:twoCellAnchor>
  <xdr:twoCellAnchor>
    <xdr:from>
      <xdr:col>16</xdr:col>
      <xdr:colOff>97972</xdr:colOff>
      <xdr:row>7</xdr:row>
      <xdr:rowOff>34287</xdr:rowOff>
    </xdr:from>
    <xdr:to>
      <xdr:col>20</xdr:col>
      <xdr:colOff>547237</xdr:colOff>
      <xdr:row>20</xdr:row>
      <xdr:rowOff>177434</xdr:rowOff>
    </xdr:to>
    <xdr:grpSp>
      <xdr:nvGrpSpPr>
        <xdr:cNvPr id="47" name="Group 46">
          <a:extLst>
            <a:ext uri="{FF2B5EF4-FFF2-40B4-BE49-F238E27FC236}">
              <a16:creationId xmlns:a16="http://schemas.microsoft.com/office/drawing/2014/main" id="{DF09E494-F575-B11C-F637-9D7753B83E03}"/>
            </a:ext>
          </a:extLst>
        </xdr:cNvPr>
        <xdr:cNvGrpSpPr/>
      </xdr:nvGrpSpPr>
      <xdr:grpSpPr>
        <a:xfrm>
          <a:off x="10488391727" y="1625522"/>
          <a:ext cx="3013171" cy="2532241"/>
          <a:chOff x="10511917678" y="2042704"/>
          <a:chExt cx="2926745" cy="2548890"/>
        </a:xfrm>
        <a:effectLst>
          <a:glow rad="101600">
            <a:schemeClr val="accent5">
              <a:satMod val="175000"/>
              <a:alpha val="40000"/>
            </a:schemeClr>
          </a:glow>
        </a:effectLst>
      </xdr:grpSpPr>
      <xdr:sp macro="" textlink="">
        <xdr:nvSpPr>
          <xdr:cNvPr id="25" name="Rectangle: Top Corners Rounded 24">
            <a:extLst>
              <a:ext uri="{FF2B5EF4-FFF2-40B4-BE49-F238E27FC236}">
                <a16:creationId xmlns:a16="http://schemas.microsoft.com/office/drawing/2014/main" id="{885B5039-4A1C-4360-B8EC-EE971DD65F35}"/>
              </a:ext>
            </a:extLst>
          </xdr:cNvPr>
          <xdr:cNvSpPr/>
        </xdr:nvSpPr>
        <xdr:spPr>
          <a:xfrm rot="10800000">
            <a:off x="10511917678" y="2133600"/>
            <a:ext cx="2926745" cy="2457994"/>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23" name="Rectangle: Top Corners Rounded 22">
            <a:extLst>
              <a:ext uri="{FF2B5EF4-FFF2-40B4-BE49-F238E27FC236}">
                <a16:creationId xmlns:a16="http://schemas.microsoft.com/office/drawing/2014/main" id="{385AE1A8-86FA-A545-6BC0-ABE30071D7B7}"/>
              </a:ext>
            </a:extLst>
          </xdr:cNvPr>
          <xdr:cNvSpPr/>
        </xdr:nvSpPr>
        <xdr:spPr>
          <a:xfrm>
            <a:off x="10511920629" y="2042704"/>
            <a:ext cx="2917371" cy="376753"/>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Employee by Grade</a:t>
            </a:r>
          </a:p>
        </xdr:txBody>
      </xdr:sp>
      <xdr:graphicFrame macro="">
        <xdr:nvGraphicFramePr>
          <xdr:cNvPr id="24" name="Chart 23">
            <a:extLst>
              <a:ext uri="{FF2B5EF4-FFF2-40B4-BE49-F238E27FC236}">
                <a16:creationId xmlns:a16="http://schemas.microsoft.com/office/drawing/2014/main" id="{D9E340DC-ADD1-47B8-B117-0E602F59E587}"/>
              </a:ext>
            </a:extLst>
          </xdr:cNvPr>
          <xdr:cNvGraphicFramePr>
            <a:graphicFrameLocks/>
          </xdr:cNvGraphicFramePr>
        </xdr:nvGraphicFramePr>
        <xdr:xfrm>
          <a:off x="10511977235" y="2393769"/>
          <a:ext cx="2824298" cy="214230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375558</xdr:colOff>
      <xdr:row>21</xdr:row>
      <xdr:rowOff>71297</xdr:rowOff>
    </xdr:from>
    <xdr:to>
      <xdr:col>16</xdr:col>
      <xdr:colOff>11170</xdr:colOff>
      <xdr:row>35</xdr:row>
      <xdr:rowOff>25576</xdr:rowOff>
    </xdr:to>
    <xdr:grpSp>
      <xdr:nvGrpSpPr>
        <xdr:cNvPr id="51" name="Group 50">
          <a:extLst>
            <a:ext uri="{FF2B5EF4-FFF2-40B4-BE49-F238E27FC236}">
              <a16:creationId xmlns:a16="http://schemas.microsoft.com/office/drawing/2014/main" id="{0B30B4D8-91CD-D325-7E96-B4AC0E4E5CDC}"/>
            </a:ext>
          </a:extLst>
        </xdr:cNvPr>
        <xdr:cNvGrpSpPr/>
      </xdr:nvGrpSpPr>
      <xdr:grpSpPr>
        <a:xfrm>
          <a:off x="10491491700" y="4235403"/>
          <a:ext cx="6045377" cy="2576455"/>
          <a:chOff x="10515022773" y="4724944"/>
          <a:chExt cx="6001948" cy="2594065"/>
        </a:xfrm>
        <a:effectLst>
          <a:glow rad="101600">
            <a:schemeClr val="accent5">
              <a:satMod val="175000"/>
              <a:alpha val="40000"/>
            </a:schemeClr>
          </a:glow>
        </a:effectLst>
      </xdr:grpSpPr>
      <xdr:sp macro="" textlink="">
        <xdr:nvSpPr>
          <xdr:cNvPr id="31" name="Rectangle: Top Corners Rounded 30">
            <a:extLst>
              <a:ext uri="{FF2B5EF4-FFF2-40B4-BE49-F238E27FC236}">
                <a16:creationId xmlns:a16="http://schemas.microsoft.com/office/drawing/2014/main" id="{9FB7E0D5-C377-75BF-E3AC-9E761228293F}"/>
              </a:ext>
            </a:extLst>
          </xdr:cNvPr>
          <xdr:cNvSpPr/>
        </xdr:nvSpPr>
        <xdr:spPr>
          <a:xfrm rot="10800000">
            <a:off x="10515022773" y="4827814"/>
            <a:ext cx="6001948" cy="2491195"/>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32" name="Rectangle: Top Corners Rounded 31">
            <a:extLst>
              <a:ext uri="{FF2B5EF4-FFF2-40B4-BE49-F238E27FC236}">
                <a16:creationId xmlns:a16="http://schemas.microsoft.com/office/drawing/2014/main" id="{44F3B449-57E6-7AB3-CFF9-DD417D53F0B9}"/>
              </a:ext>
            </a:extLst>
          </xdr:cNvPr>
          <xdr:cNvSpPr/>
        </xdr:nvSpPr>
        <xdr:spPr>
          <a:xfrm>
            <a:off x="10515039385" y="4724944"/>
            <a:ext cx="5970815" cy="444137"/>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Employee by Job Title</a:t>
            </a:r>
          </a:p>
        </xdr:txBody>
      </xdr:sp>
      <xdr:graphicFrame macro="">
        <xdr:nvGraphicFramePr>
          <xdr:cNvPr id="33" name="Chart 32">
            <a:extLst>
              <a:ext uri="{FF2B5EF4-FFF2-40B4-BE49-F238E27FC236}">
                <a16:creationId xmlns:a16="http://schemas.microsoft.com/office/drawing/2014/main" id="{5FF03468-3F7A-4F43-9BD1-C68D71B08C0D}"/>
              </a:ext>
            </a:extLst>
          </xdr:cNvPr>
          <xdr:cNvGraphicFramePr>
            <a:graphicFrameLocks/>
          </xdr:cNvGraphicFramePr>
        </xdr:nvGraphicFramePr>
        <xdr:xfrm>
          <a:off x="10515098547" y="5138061"/>
          <a:ext cx="5850680" cy="209713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206829</xdr:colOff>
      <xdr:row>7</xdr:row>
      <xdr:rowOff>34287</xdr:rowOff>
    </xdr:from>
    <xdr:to>
      <xdr:col>16</xdr:col>
      <xdr:colOff>23856</xdr:colOff>
      <xdr:row>20</xdr:row>
      <xdr:rowOff>173623</xdr:rowOff>
    </xdr:to>
    <xdr:grpSp>
      <xdr:nvGrpSpPr>
        <xdr:cNvPr id="48" name="Group 47">
          <a:extLst>
            <a:ext uri="{FF2B5EF4-FFF2-40B4-BE49-F238E27FC236}">
              <a16:creationId xmlns:a16="http://schemas.microsoft.com/office/drawing/2014/main" id="{5F52906C-0858-757B-71D5-E60939D202B3}"/>
            </a:ext>
          </a:extLst>
        </xdr:cNvPr>
        <xdr:cNvGrpSpPr/>
      </xdr:nvGrpSpPr>
      <xdr:grpSpPr>
        <a:xfrm>
          <a:off x="10491479014" y="1625522"/>
          <a:ext cx="3021910" cy="2528430"/>
          <a:chOff x="10515010087" y="2042704"/>
          <a:chExt cx="2925137" cy="2545079"/>
        </a:xfrm>
        <a:effectLst>
          <a:glow rad="101600">
            <a:schemeClr val="accent5">
              <a:satMod val="175000"/>
              <a:alpha val="40000"/>
            </a:schemeClr>
          </a:glow>
        </a:effectLst>
      </xdr:grpSpPr>
      <xdr:sp macro="" textlink="">
        <xdr:nvSpPr>
          <xdr:cNvPr id="36" name="Rectangle: Top Corners Rounded 35">
            <a:extLst>
              <a:ext uri="{FF2B5EF4-FFF2-40B4-BE49-F238E27FC236}">
                <a16:creationId xmlns:a16="http://schemas.microsoft.com/office/drawing/2014/main" id="{75FCACF3-A9F0-4D3D-8CF7-8994DA561B7D}"/>
              </a:ext>
            </a:extLst>
          </xdr:cNvPr>
          <xdr:cNvSpPr/>
        </xdr:nvSpPr>
        <xdr:spPr>
          <a:xfrm rot="10800000">
            <a:off x="10515010087" y="2090056"/>
            <a:ext cx="2925137" cy="2497727"/>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37" name="Rectangle: Top Corners Rounded 36">
            <a:extLst>
              <a:ext uri="{FF2B5EF4-FFF2-40B4-BE49-F238E27FC236}">
                <a16:creationId xmlns:a16="http://schemas.microsoft.com/office/drawing/2014/main" id="{160D4028-D50B-4917-9E2D-5D5F53CB00BA}"/>
              </a:ext>
            </a:extLst>
          </xdr:cNvPr>
          <xdr:cNvSpPr/>
        </xdr:nvSpPr>
        <xdr:spPr>
          <a:xfrm>
            <a:off x="10515028025" y="2042704"/>
            <a:ext cx="2895109" cy="376912"/>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Employee by Status</a:t>
            </a:r>
          </a:p>
        </xdr:txBody>
      </xdr:sp>
      <xdr:graphicFrame macro="">
        <xdr:nvGraphicFramePr>
          <xdr:cNvPr id="34" name="Chart 33">
            <a:extLst>
              <a:ext uri="{FF2B5EF4-FFF2-40B4-BE49-F238E27FC236}">
                <a16:creationId xmlns:a16="http://schemas.microsoft.com/office/drawing/2014/main" id="{DFF041DE-6E98-474F-B798-CA5035F7C9A2}"/>
              </a:ext>
            </a:extLst>
          </xdr:cNvPr>
          <xdr:cNvGraphicFramePr>
            <a:graphicFrameLocks/>
          </xdr:cNvGraphicFramePr>
        </xdr:nvGraphicFramePr>
        <xdr:xfrm>
          <a:off x="10515034975" y="2399401"/>
          <a:ext cx="2875482" cy="1831686"/>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6</xdr:col>
      <xdr:colOff>375558</xdr:colOff>
      <xdr:row>7</xdr:row>
      <xdr:rowOff>34287</xdr:rowOff>
    </xdr:from>
    <xdr:to>
      <xdr:col>11</xdr:col>
      <xdr:colOff>145588</xdr:colOff>
      <xdr:row>20</xdr:row>
      <xdr:rowOff>173624</xdr:rowOff>
    </xdr:to>
    <xdr:grpSp>
      <xdr:nvGrpSpPr>
        <xdr:cNvPr id="49" name="Group 48">
          <a:extLst>
            <a:ext uri="{FF2B5EF4-FFF2-40B4-BE49-F238E27FC236}">
              <a16:creationId xmlns:a16="http://schemas.microsoft.com/office/drawing/2014/main" id="{AEF11DBC-EDFB-4337-728D-6DF96D86BA95}"/>
            </a:ext>
          </a:extLst>
        </xdr:cNvPr>
        <xdr:cNvGrpSpPr/>
      </xdr:nvGrpSpPr>
      <xdr:grpSpPr>
        <a:xfrm>
          <a:off x="10494562165" y="1625522"/>
          <a:ext cx="2974912" cy="2528431"/>
          <a:chOff x="10518099641" y="2042704"/>
          <a:chExt cx="2925138" cy="2545080"/>
        </a:xfrm>
        <a:effectLst>
          <a:glow rad="101600">
            <a:schemeClr val="accent5">
              <a:satMod val="175000"/>
              <a:alpha val="40000"/>
            </a:schemeClr>
          </a:glow>
        </a:effectLst>
      </xdr:grpSpPr>
      <xdr:sp macro="" textlink="">
        <xdr:nvSpPr>
          <xdr:cNvPr id="39" name="Rectangle: Top Corners Rounded 38">
            <a:extLst>
              <a:ext uri="{FF2B5EF4-FFF2-40B4-BE49-F238E27FC236}">
                <a16:creationId xmlns:a16="http://schemas.microsoft.com/office/drawing/2014/main" id="{B8F4E9A0-5229-411D-883E-821F15E79CBE}"/>
              </a:ext>
            </a:extLst>
          </xdr:cNvPr>
          <xdr:cNvSpPr/>
        </xdr:nvSpPr>
        <xdr:spPr>
          <a:xfrm rot="10800000">
            <a:off x="10518099641" y="2106386"/>
            <a:ext cx="2925138" cy="2481398"/>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40" name="Rectangle: Top Corners Rounded 39">
            <a:extLst>
              <a:ext uri="{FF2B5EF4-FFF2-40B4-BE49-F238E27FC236}">
                <a16:creationId xmlns:a16="http://schemas.microsoft.com/office/drawing/2014/main" id="{0AC98D9A-E369-4E3B-BB5E-644661468E0E}"/>
              </a:ext>
            </a:extLst>
          </xdr:cNvPr>
          <xdr:cNvSpPr/>
        </xdr:nvSpPr>
        <xdr:spPr>
          <a:xfrm>
            <a:off x="10518109256" y="2042704"/>
            <a:ext cx="2910157" cy="376912"/>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Employee by Sponsership</a:t>
            </a:r>
          </a:p>
        </xdr:txBody>
      </xdr:sp>
      <xdr:graphicFrame macro="">
        <xdr:nvGraphicFramePr>
          <xdr:cNvPr id="38" name="Chart 37">
            <a:extLst>
              <a:ext uri="{FF2B5EF4-FFF2-40B4-BE49-F238E27FC236}">
                <a16:creationId xmlns:a16="http://schemas.microsoft.com/office/drawing/2014/main" id="{40A22666-AAD1-4842-ACD2-9CCD7E2A4B00}"/>
              </a:ext>
            </a:extLst>
          </xdr:cNvPr>
          <xdr:cNvGraphicFramePr>
            <a:graphicFrameLocks/>
          </xdr:cNvGraphicFramePr>
        </xdr:nvGraphicFramePr>
        <xdr:xfrm>
          <a:off x="10518187215" y="2486165"/>
          <a:ext cx="2798744" cy="1997502"/>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16</xdr:col>
      <xdr:colOff>76484</xdr:colOff>
      <xdr:row>21</xdr:row>
      <xdr:rowOff>86537</xdr:rowOff>
    </xdr:from>
    <xdr:to>
      <xdr:col>20</xdr:col>
      <xdr:colOff>543638</xdr:colOff>
      <xdr:row>35</xdr:row>
      <xdr:rowOff>44626</xdr:rowOff>
    </xdr:to>
    <xdr:grpSp>
      <xdr:nvGrpSpPr>
        <xdr:cNvPr id="50" name="Group 49">
          <a:extLst>
            <a:ext uri="{FF2B5EF4-FFF2-40B4-BE49-F238E27FC236}">
              <a16:creationId xmlns:a16="http://schemas.microsoft.com/office/drawing/2014/main" id="{61496BED-30E3-CEAE-C69E-A705B794DD0E}"/>
            </a:ext>
          </a:extLst>
        </xdr:cNvPr>
        <xdr:cNvGrpSpPr/>
      </xdr:nvGrpSpPr>
      <xdr:grpSpPr>
        <a:xfrm>
          <a:off x="10488395326" y="4250643"/>
          <a:ext cx="3031060" cy="2580265"/>
          <a:chOff x="10511919873" y="4740184"/>
          <a:chExt cx="2927380" cy="2597875"/>
        </a:xfrm>
        <a:effectLst>
          <a:glow rad="101600">
            <a:schemeClr val="accent5">
              <a:satMod val="175000"/>
              <a:alpha val="40000"/>
            </a:schemeClr>
          </a:glow>
        </a:effectLst>
      </xdr:grpSpPr>
      <xdr:sp macro="" textlink="">
        <xdr:nvSpPr>
          <xdr:cNvPr id="52" name="Rectangle: Top Corners Rounded 51">
            <a:extLst>
              <a:ext uri="{FF2B5EF4-FFF2-40B4-BE49-F238E27FC236}">
                <a16:creationId xmlns:a16="http://schemas.microsoft.com/office/drawing/2014/main" id="{F9AD2743-E1D6-43A3-AE0A-C4DA9C03EE66}"/>
              </a:ext>
            </a:extLst>
          </xdr:cNvPr>
          <xdr:cNvSpPr/>
        </xdr:nvSpPr>
        <xdr:spPr>
          <a:xfrm rot="10800000">
            <a:off x="10511919873" y="4855028"/>
            <a:ext cx="2925644" cy="2483031"/>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53" name="Rectangle: Top Corners Rounded 52">
            <a:extLst>
              <a:ext uri="{FF2B5EF4-FFF2-40B4-BE49-F238E27FC236}">
                <a16:creationId xmlns:a16="http://schemas.microsoft.com/office/drawing/2014/main" id="{090637E6-5E60-49E4-B394-B90480215D66}"/>
              </a:ext>
            </a:extLst>
          </xdr:cNvPr>
          <xdr:cNvSpPr/>
        </xdr:nvSpPr>
        <xdr:spPr>
          <a:xfrm>
            <a:off x="10511927042" y="4740184"/>
            <a:ext cx="2905812" cy="427915"/>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Employee by Department</a:t>
            </a:r>
          </a:p>
        </xdr:txBody>
      </xdr:sp>
      <xdr:graphicFrame macro="">
        <xdr:nvGraphicFramePr>
          <xdr:cNvPr id="44" name="Chart 43">
            <a:extLst>
              <a:ext uri="{FF2B5EF4-FFF2-40B4-BE49-F238E27FC236}">
                <a16:creationId xmlns:a16="http://schemas.microsoft.com/office/drawing/2014/main" id="{C1DFB0AF-81ED-4AE8-921F-19130F040CC8}"/>
              </a:ext>
            </a:extLst>
          </xdr:cNvPr>
          <xdr:cNvGraphicFramePr>
            <a:graphicFrameLocks/>
          </xdr:cNvGraphicFramePr>
        </xdr:nvGraphicFramePr>
        <xdr:xfrm>
          <a:off x="10511935325" y="5218611"/>
          <a:ext cx="2911928" cy="2047059"/>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6</xdr:col>
      <xdr:colOff>372251</xdr:colOff>
      <xdr:row>36</xdr:row>
      <xdr:rowOff>40449</xdr:rowOff>
    </xdr:from>
    <xdr:to>
      <xdr:col>20</xdr:col>
      <xdr:colOff>563880</xdr:colOff>
      <xdr:row>49</xdr:row>
      <xdr:rowOff>82181</xdr:rowOff>
    </xdr:to>
    <xdr:sp macro="" textlink="">
      <xdr:nvSpPr>
        <xdr:cNvPr id="56" name="Rectangle: Top Corners Rounded 55">
          <a:extLst>
            <a:ext uri="{FF2B5EF4-FFF2-40B4-BE49-F238E27FC236}">
              <a16:creationId xmlns:a16="http://schemas.microsoft.com/office/drawing/2014/main" id="{74FCDD97-864D-4848-AD33-A435AAAC87ED}"/>
            </a:ext>
          </a:extLst>
        </xdr:cNvPr>
        <xdr:cNvSpPr/>
      </xdr:nvSpPr>
      <xdr:spPr>
        <a:xfrm rot="10800000">
          <a:off x="10430911320" y="6884594"/>
          <a:ext cx="9113956" cy="2383151"/>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clientData/>
  </xdr:twoCellAnchor>
  <xdr:twoCellAnchor>
    <xdr:from>
      <xdr:col>6</xdr:col>
      <xdr:colOff>364672</xdr:colOff>
      <xdr:row>37</xdr:row>
      <xdr:rowOff>62345</xdr:rowOff>
    </xdr:from>
    <xdr:to>
      <xdr:col>20</xdr:col>
      <xdr:colOff>533563</xdr:colOff>
      <xdr:row>49</xdr:row>
      <xdr:rowOff>56237</xdr:rowOff>
    </xdr:to>
    <xdr:graphicFrame macro="">
      <xdr:nvGraphicFramePr>
        <xdr:cNvPr id="55" name="Chart 54">
          <a:extLst>
            <a:ext uri="{FF2B5EF4-FFF2-40B4-BE49-F238E27FC236}">
              <a16:creationId xmlns:a16="http://schemas.microsoft.com/office/drawing/2014/main" id="{8A18AEC7-40D2-4CC0-9798-AE2CC922CD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377688</xdr:colOff>
      <xdr:row>35</xdr:row>
      <xdr:rowOff>127901</xdr:rowOff>
    </xdr:from>
    <xdr:to>
      <xdr:col>20</xdr:col>
      <xdr:colOff>549805</xdr:colOff>
      <xdr:row>37</xdr:row>
      <xdr:rowOff>149960</xdr:rowOff>
    </xdr:to>
    <xdr:sp macro="" textlink="">
      <xdr:nvSpPr>
        <xdr:cNvPr id="57" name="Rectangle: Top Corners Rounded 56">
          <a:extLst>
            <a:ext uri="{FF2B5EF4-FFF2-40B4-BE49-F238E27FC236}">
              <a16:creationId xmlns:a16="http://schemas.microsoft.com/office/drawing/2014/main" id="{76C9CF49-ACE0-4A7C-990D-7983FBE9FC5F}"/>
            </a:ext>
          </a:extLst>
        </xdr:cNvPr>
        <xdr:cNvSpPr/>
      </xdr:nvSpPr>
      <xdr:spPr>
        <a:xfrm>
          <a:off x="10465434056" y="6860005"/>
          <a:ext cx="9123961" cy="386494"/>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Salary by Job Title</a:t>
          </a:r>
        </a:p>
      </xdr:txBody>
    </xdr:sp>
    <xdr:clientData/>
  </xdr:twoCellAnchor>
  <xdr:twoCellAnchor>
    <xdr:from>
      <xdr:col>4</xdr:col>
      <xdr:colOff>348344</xdr:colOff>
      <xdr:row>0</xdr:row>
      <xdr:rowOff>87088</xdr:rowOff>
    </xdr:from>
    <xdr:to>
      <xdr:col>6</xdr:col>
      <xdr:colOff>312094</xdr:colOff>
      <xdr:row>49</xdr:row>
      <xdr:rowOff>87086</xdr:rowOff>
    </xdr:to>
    <xdr:sp macro="" textlink="">
      <xdr:nvSpPr>
        <xdr:cNvPr id="65" name="Rectangle: Rounded Corners 64">
          <a:extLst>
            <a:ext uri="{FF2B5EF4-FFF2-40B4-BE49-F238E27FC236}">
              <a16:creationId xmlns:a16="http://schemas.microsoft.com/office/drawing/2014/main" id="{9A262D8E-C3E8-4026-A356-4C9D2C64D2BB}"/>
            </a:ext>
          </a:extLst>
        </xdr:cNvPr>
        <xdr:cNvSpPr/>
      </xdr:nvSpPr>
      <xdr:spPr>
        <a:xfrm>
          <a:off x="10521144421" y="87088"/>
          <a:ext cx="1895964" cy="9421584"/>
        </a:xfrm>
        <a:prstGeom prst="roundRect">
          <a:avLst>
            <a:gd name="adj" fmla="val 9788"/>
          </a:avLst>
        </a:prstGeom>
        <a:solidFill>
          <a:srgbClr val="5DADE2"/>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16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4</xdr:col>
      <xdr:colOff>352480</xdr:colOff>
      <xdr:row>0</xdr:row>
      <xdr:rowOff>189957</xdr:rowOff>
    </xdr:from>
    <xdr:to>
      <xdr:col>6</xdr:col>
      <xdr:colOff>249610</xdr:colOff>
      <xdr:row>16</xdr:row>
      <xdr:rowOff>13065</xdr:rowOff>
    </xdr:to>
    <mc:AlternateContent xmlns:mc="http://schemas.openxmlformats.org/markup-compatibility/2006" xmlns:a14="http://schemas.microsoft.com/office/drawing/2010/main">
      <mc:Choice Requires="a14">
        <xdr:graphicFrame macro="">
          <xdr:nvGraphicFramePr>
            <xdr:cNvPr id="58" name="Dept_Name">
              <a:extLst>
                <a:ext uri="{FF2B5EF4-FFF2-40B4-BE49-F238E27FC236}">
                  <a16:creationId xmlns:a16="http://schemas.microsoft.com/office/drawing/2014/main" id="{D72CE909-03B8-B21C-1C11-E3586673BAA5}"/>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mlns="">
        <xdr:sp macro="" textlink="">
          <xdr:nvSpPr>
            <xdr:cNvPr id="0" name=""/>
            <xdr:cNvSpPr>
              <a:spLocks noTextEdit="1"/>
            </xdr:cNvSpPr>
          </xdr:nvSpPr>
          <xdr:spPr>
            <a:xfrm>
              <a:off x="10500226931" y="189957"/>
              <a:ext cx="1829024" cy="3068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352480</xdr:colOff>
      <xdr:row>41</xdr:row>
      <xdr:rowOff>89265</xdr:rowOff>
    </xdr:from>
    <xdr:to>
      <xdr:col>6</xdr:col>
      <xdr:colOff>249610</xdr:colOff>
      <xdr:row>49</xdr:row>
      <xdr:rowOff>0</xdr:rowOff>
    </xdr:to>
    <mc:AlternateContent xmlns:mc="http://schemas.openxmlformats.org/markup-compatibility/2006" xmlns:a14="http://schemas.microsoft.com/office/drawing/2010/main">
      <mc:Choice Requires="a14">
        <xdr:graphicFrame macro="">
          <xdr:nvGraphicFramePr>
            <xdr:cNvPr id="59" name="Emp_Status">
              <a:extLst>
                <a:ext uri="{FF2B5EF4-FFF2-40B4-BE49-F238E27FC236}">
                  <a16:creationId xmlns:a16="http://schemas.microsoft.com/office/drawing/2014/main" id="{F39B58A6-DB86-66FE-2079-63BCAA5C03CB}"/>
                </a:ext>
              </a:extLst>
            </xdr:cNvPr>
            <xdr:cNvGraphicFramePr/>
          </xdr:nvGraphicFramePr>
          <xdr:xfrm>
            <a:off x="0" y="0"/>
            <a:ext cx="0" cy="0"/>
          </xdr:xfrm>
          <a:graphic>
            <a:graphicData uri="http://schemas.microsoft.com/office/drawing/2010/slicer">
              <sle:slicer xmlns:sle="http://schemas.microsoft.com/office/drawing/2010/slicer" name="Emp_Status"/>
            </a:graphicData>
          </a:graphic>
        </xdr:graphicFrame>
      </mc:Choice>
      <mc:Fallback xmlns="">
        <xdr:sp macro="" textlink="">
          <xdr:nvSpPr>
            <xdr:cNvPr id="0" name=""/>
            <xdr:cNvSpPr>
              <a:spLocks noTextEdit="1"/>
            </xdr:cNvSpPr>
          </xdr:nvSpPr>
          <xdr:spPr>
            <a:xfrm>
              <a:off x="10500226931" y="7978206"/>
              <a:ext cx="1829024" cy="13809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352480</xdr:colOff>
      <xdr:row>16</xdr:row>
      <xdr:rowOff>39735</xdr:rowOff>
    </xdr:from>
    <xdr:to>
      <xdr:col>6</xdr:col>
      <xdr:colOff>249610</xdr:colOff>
      <xdr:row>22</xdr:row>
      <xdr:rowOff>66404</xdr:rowOff>
    </xdr:to>
    <mc:AlternateContent xmlns:mc="http://schemas.openxmlformats.org/markup-compatibility/2006" xmlns:a14="http://schemas.microsoft.com/office/drawing/2010/main">
      <mc:Choice Requires="a14">
        <xdr:graphicFrame macro="">
          <xdr:nvGraphicFramePr>
            <xdr:cNvPr id="60" name="Grade">
              <a:extLst>
                <a:ext uri="{FF2B5EF4-FFF2-40B4-BE49-F238E27FC236}">
                  <a16:creationId xmlns:a16="http://schemas.microsoft.com/office/drawing/2014/main" id="{FFE28573-64CF-B7A0-FB16-C6B51F9AB297}"/>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0500226931" y="3284959"/>
              <a:ext cx="1829024" cy="11293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352480</xdr:colOff>
      <xdr:row>22</xdr:row>
      <xdr:rowOff>142060</xdr:rowOff>
    </xdr:from>
    <xdr:to>
      <xdr:col>6</xdr:col>
      <xdr:colOff>249610</xdr:colOff>
      <xdr:row>41</xdr:row>
      <xdr:rowOff>62594</xdr:rowOff>
    </xdr:to>
    <mc:AlternateContent xmlns:mc="http://schemas.openxmlformats.org/markup-compatibility/2006" xmlns:a14="http://schemas.microsoft.com/office/drawing/2010/main">
      <mc:Choice Requires="a14">
        <xdr:graphicFrame macro="">
          <xdr:nvGraphicFramePr>
            <xdr:cNvPr id="62" name="Job_Title">
              <a:extLst>
                <a:ext uri="{FF2B5EF4-FFF2-40B4-BE49-F238E27FC236}">
                  <a16:creationId xmlns:a16="http://schemas.microsoft.com/office/drawing/2014/main" id="{F0E78342-5782-10B5-28EB-789B814DA1D2}"/>
                </a:ext>
              </a:extLst>
            </xdr:cNvPr>
            <xdr:cNvGraphicFramePr/>
          </xdr:nvGraphicFramePr>
          <xdr:xfrm>
            <a:off x="0" y="0"/>
            <a:ext cx="0" cy="0"/>
          </xdr:xfrm>
          <a:graphic>
            <a:graphicData uri="http://schemas.microsoft.com/office/drawing/2010/slicer">
              <sle:slicer xmlns:sle="http://schemas.microsoft.com/office/drawing/2010/slicer" name="Job_Title"/>
            </a:graphicData>
          </a:graphic>
        </xdr:graphicFrame>
      </mc:Choice>
      <mc:Fallback xmlns="">
        <xdr:sp macro="" textlink="">
          <xdr:nvSpPr>
            <xdr:cNvPr id="0" name=""/>
            <xdr:cNvSpPr>
              <a:spLocks noTextEdit="1"/>
            </xdr:cNvSpPr>
          </xdr:nvSpPr>
          <xdr:spPr>
            <a:xfrm>
              <a:off x="10500226931" y="4489942"/>
              <a:ext cx="1829024" cy="3461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206829</xdr:colOff>
      <xdr:row>0</xdr:row>
      <xdr:rowOff>0</xdr:rowOff>
    </xdr:from>
    <xdr:to>
      <xdr:col>21</xdr:col>
      <xdr:colOff>48986</xdr:colOff>
      <xdr:row>58</xdr:row>
      <xdr:rowOff>146957</xdr:rowOff>
    </xdr:to>
    <xdr:sp macro="" textlink="">
      <xdr:nvSpPr>
        <xdr:cNvPr id="2" name="Rectangle: Rounded Corners 1">
          <a:extLst>
            <a:ext uri="{FF2B5EF4-FFF2-40B4-BE49-F238E27FC236}">
              <a16:creationId xmlns:a16="http://schemas.microsoft.com/office/drawing/2014/main" id="{8813801C-38A0-40CF-BED2-83C2FEF395C5}"/>
            </a:ext>
          </a:extLst>
        </xdr:cNvPr>
        <xdr:cNvSpPr/>
      </xdr:nvSpPr>
      <xdr:spPr>
        <a:xfrm>
          <a:off x="10511773672" y="0"/>
          <a:ext cx="11408228" cy="11185071"/>
        </a:xfrm>
        <a:prstGeom prst="roundRect">
          <a:avLst>
            <a:gd name="adj" fmla="val 2114"/>
          </a:avLst>
        </a:prstGeom>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solidFill>
            <a:srgbClr val="C7CCD1"/>
          </a:solidFill>
        </a:ln>
        <a:effectLst>
          <a:glow rad="101600">
            <a:schemeClr val="accent5">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1400" b="1">
            <a:solidFill>
              <a:schemeClr val="accent1">
                <a:lumMod val="75000"/>
              </a:schemeClr>
            </a:solidFill>
          </a:endParaRPr>
        </a:p>
      </xdr:txBody>
    </xdr:sp>
    <xdr:clientData/>
  </xdr:twoCellAnchor>
  <xdr:twoCellAnchor>
    <xdr:from>
      <xdr:col>17</xdr:col>
      <xdr:colOff>441960</xdr:colOff>
      <xdr:row>2</xdr:row>
      <xdr:rowOff>53340</xdr:rowOff>
    </xdr:from>
    <xdr:to>
      <xdr:col>20</xdr:col>
      <xdr:colOff>579120</xdr:colOff>
      <xdr:row>6</xdr:row>
      <xdr:rowOff>41910</xdr:rowOff>
    </xdr:to>
    <xdr:grpSp>
      <xdr:nvGrpSpPr>
        <xdr:cNvPr id="49" name="Group 48">
          <a:extLst>
            <a:ext uri="{FF2B5EF4-FFF2-40B4-BE49-F238E27FC236}">
              <a16:creationId xmlns:a16="http://schemas.microsoft.com/office/drawing/2014/main" id="{6BE30AA0-25A2-DE99-E6F8-C1E5D68F897D}"/>
            </a:ext>
          </a:extLst>
        </xdr:cNvPr>
        <xdr:cNvGrpSpPr/>
      </xdr:nvGrpSpPr>
      <xdr:grpSpPr>
        <a:xfrm>
          <a:off x="10488359844" y="725693"/>
          <a:ext cx="2060090" cy="723676"/>
          <a:chOff x="10476250320" y="1139190"/>
          <a:chExt cx="2057400" cy="720090"/>
        </a:xfrm>
        <a:effectLst>
          <a:glow rad="101600">
            <a:schemeClr val="accent5">
              <a:satMod val="175000"/>
              <a:alpha val="40000"/>
            </a:schemeClr>
          </a:glow>
        </a:effectLst>
      </xdr:grpSpPr>
      <xdr:sp macro="" textlink="">
        <xdr:nvSpPr>
          <xdr:cNvPr id="4" name="Rectangle: Rounded Corners 3">
            <a:extLst>
              <a:ext uri="{FF2B5EF4-FFF2-40B4-BE49-F238E27FC236}">
                <a16:creationId xmlns:a16="http://schemas.microsoft.com/office/drawing/2014/main" id="{5C8D6F75-AF6B-F1A2-92B8-923D1673AA54}"/>
              </a:ext>
            </a:extLst>
          </xdr:cNvPr>
          <xdr:cNvSpPr/>
        </xdr:nvSpPr>
        <xdr:spPr>
          <a:xfrm>
            <a:off x="10476250320" y="1139190"/>
            <a:ext cx="2057400" cy="720090"/>
          </a:xfrm>
          <a:prstGeom prst="roundRect">
            <a:avLst>
              <a:gd name="adj" fmla="val 34656"/>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5" name="TextBox 4">
            <a:extLst>
              <a:ext uri="{FF2B5EF4-FFF2-40B4-BE49-F238E27FC236}">
                <a16:creationId xmlns:a16="http://schemas.microsoft.com/office/drawing/2014/main" id="{3FD4E54D-61A2-48ED-1E58-D1EFE27925B8}"/>
              </a:ext>
            </a:extLst>
          </xdr:cNvPr>
          <xdr:cNvSpPr txBox="1"/>
        </xdr:nvSpPr>
        <xdr:spPr>
          <a:xfrm>
            <a:off x="10476663705" y="116967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Project Cost </a:t>
            </a:r>
          </a:p>
        </xdr:txBody>
      </xdr:sp>
      <xdr:sp macro="" textlink="Pivot_Tables!$B$53">
        <xdr:nvSpPr>
          <xdr:cNvPr id="6" name="TextBox 5">
            <a:extLst>
              <a:ext uri="{FF2B5EF4-FFF2-40B4-BE49-F238E27FC236}">
                <a16:creationId xmlns:a16="http://schemas.microsoft.com/office/drawing/2014/main" id="{D4603A1E-1D83-D0B7-45A9-4FA2B583B0DC}"/>
              </a:ext>
            </a:extLst>
          </xdr:cNvPr>
          <xdr:cNvSpPr txBox="1"/>
        </xdr:nvSpPr>
        <xdr:spPr>
          <a:xfrm>
            <a:off x="10476663705" y="144780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rtl="1"/>
            <a:fld id="{7AC2CD1D-1159-44FE-8FA6-9BA2AE0233E1}"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l" rtl="1"/>
              <a:t>13596.25</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13</xdr:col>
      <xdr:colOff>630765</xdr:colOff>
      <xdr:row>2</xdr:row>
      <xdr:rowOff>53340</xdr:rowOff>
    </xdr:from>
    <xdr:to>
      <xdr:col>17</xdr:col>
      <xdr:colOff>127845</xdr:colOff>
      <xdr:row>6</xdr:row>
      <xdr:rowOff>41910</xdr:rowOff>
    </xdr:to>
    <xdr:grpSp>
      <xdr:nvGrpSpPr>
        <xdr:cNvPr id="87" name="Group 86">
          <a:extLst>
            <a:ext uri="{FF2B5EF4-FFF2-40B4-BE49-F238E27FC236}">
              <a16:creationId xmlns:a16="http://schemas.microsoft.com/office/drawing/2014/main" id="{6227FAA3-38CC-216F-A3D3-DE05C8B73B80}"/>
            </a:ext>
          </a:extLst>
        </xdr:cNvPr>
        <xdr:cNvGrpSpPr/>
      </xdr:nvGrpSpPr>
      <xdr:grpSpPr>
        <a:xfrm>
          <a:off x="10490734049" y="725693"/>
          <a:ext cx="2060986" cy="723676"/>
          <a:chOff x="10478621835" y="1139190"/>
          <a:chExt cx="2057400" cy="720090"/>
        </a:xfrm>
        <a:effectLst>
          <a:glow rad="101600">
            <a:schemeClr val="accent5">
              <a:satMod val="175000"/>
              <a:alpha val="40000"/>
            </a:schemeClr>
          </a:glow>
        </a:effectLst>
      </xdr:grpSpPr>
      <xdr:sp macro="" textlink="">
        <xdr:nvSpPr>
          <xdr:cNvPr id="8" name="Rectangle: Rounded Corners 7">
            <a:extLst>
              <a:ext uri="{FF2B5EF4-FFF2-40B4-BE49-F238E27FC236}">
                <a16:creationId xmlns:a16="http://schemas.microsoft.com/office/drawing/2014/main" id="{77676E72-ECBB-1697-CCFA-3FC5170C8D28}"/>
              </a:ext>
            </a:extLst>
          </xdr:cNvPr>
          <xdr:cNvSpPr/>
        </xdr:nvSpPr>
        <xdr:spPr>
          <a:xfrm>
            <a:off x="10478621835" y="1139190"/>
            <a:ext cx="2057400" cy="720090"/>
          </a:xfrm>
          <a:prstGeom prst="roundRect">
            <a:avLst>
              <a:gd name="adj" fmla="val 37301"/>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9" name="TextBox 8">
            <a:extLst>
              <a:ext uri="{FF2B5EF4-FFF2-40B4-BE49-F238E27FC236}">
                <a16:creationId xmlns:a16="http://schemas.microsoft.com/office/drawing/2014/main" id="{D1822268-2BFC-45F4-6FD7-E76D8A53C86F}"/>
              </a:ext>
            </a:extLst>
          </xdr:cNvPr>
          <xdr:cNvSpPr txBox="1"/>
        </xdr:nvSpPr>
        <xdr:spPr>
          <a:xfrm>
            <a:off x="10478776458" y="1192530"/>
            <a:ext cx="174815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Workers Count</a:t>
            </a:r>
          </a:p>
        </xdr:txBody>
      </xdr:sp>
      <xdr:sp macro="" textlink="Pivot_Tables!$D$53">
        <xdr:nvSpPr>
          <xdr:cNvPr id="10" name="TextBox 9">
            <a:extLst>
              <a:ext uri="{FF2B5EF4-FFF2-40B4-BE49-F238E27FC236}">
                <a16:creationId xmlns:a16="http://schemas.microsoft.com/office/drawing/2014/main" id="{274D41E1-A737-4B14-70E8-B988B35FB52F}"/>
              </a:ext>
            </a:extLst>
          </xdr:cNvPr>
          <xdr:cNvSpPr txBox="1"/>
        </xdr:nvSpPr>
        <xdr:spPr>
          <a:xfrm>
            <a:off x="10478859960" y="149733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7ACB29BD-5FA2-4051-AA40-00B8E75BF335}"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8</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10</xdr:col>
      <xdr:colOff>179490</xdr:colOff>
      <xdr:row>2</xdr:row>
      <xdr:rowOff>51435</xdr:rowOff>
    </xdr:from>
    <xdr:to>
      <xdr:col>13</xdr:col>
      <xdr:colOff>316650</xdr:colOff>
      <xdr:row>6</xdr:row>
      <xdr:rowOff>40005</xdr:rowOff>
    </xdr:to>
    <xdr:grpSp>
      <xdr:nvGrpSpPr>
        <xdr:cNvPr id="51" name="Group 50">
          <a:extLst>
            <a:ext uri="{FF2B5EF4-FFF2-40B4-BE49-F238E27FC236}">
              <a16:creationId xmlns:a16="http://schemas.microsoft.com/office/drawing/2014/main" id="{327C54EA-DDE3-B92C-6620-3FB1DB9DA8A6}"/>
            </a:ext>
          </a:extLst>
        </xdr:cNvPr>
        <xdr:cNvGrpSpPr/>
      </xdr:nvGrpSpPr>
      <xdr:grpSpPr>
        <a:xfrm>
          <a:off x="10493109150" y="723788"/>
          <a:ext cx="2060089" cy="723676"/>
          <a:chOff x="10480993350" y="1139190"/>
          <a:chExt cx="2057400" cy="720090"/>
        </a:xfrm>
        <a:effectLst>
          <a:glow rad="101600">
            <a:schemeClr val="accent5">
              <a:satMod val="175000"/>
              <a:alpha val="40000"/>
            </a:schemeClr>
          </a:glow>
        </a:effectLst>
      </xdr:grpSpPr>
      <xdr:sp macro="" textlink="">
        <xdr:nvSpPr>
          <xdr:cNvPr id="12" name="Rectangle: Rounded Corners 11">
            <a:extLst>
              <a:ext uri="{FF2B5EF4-FFF2-40B4-BE49-F238E27FC236}">
                <a16:creationId xmlns:a16="http://schemas.microsoft.com/office/drawing/2014/main" id="{AE5F938B-06D9-AC6F-A94C-43075D580193}"/>
              </a:ext>
            </a:extLst>
          </xdr:cNvPr>
          <xdr:cNvSpPr/>
        </xdr:nvSpPr>
        <xdr:spPr>
          <a:xfrm>
            <a:off x="10480993350" y="1139190"/>
            <a:ext cx="2057400" cy="720090"/>
          </a:xfrm>
          <a:prstGeom prst="roundRect">
            <a:avLst>
              <a:gd name="adj" fmla="val 40476"/>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1100"/>
          </a:p>
        </xdr:txBody>
      </xdr:sp>
      <xdr:sp macro="" textlink="">
        <xdr:nvSpPr>
          <xdr:cNvPr id="13" name="TextBox 12">
            <a:extLst>
              <a:ext uri="{FF2B5EF4-FFF2-40B4-BE49-F238E27FC236}">
                <a16:creationId xmlns:a16="http://schemas.microsoft.com/office/drawing/2014/main" id="{9ABD8BD4-9326-F5C8-EFFD-48673C27CFC4}"/>
              </a:ext>
            </a:extLst>
          </xdr:cNvPr>
          <xdr:cNvSpPr txBox="1"/>
        </xdr:nvSpPr>
        <xdr:spPr>
          <a:xfrm>
            <a:off x="10481231475" y="119634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Total Work Days</a:t>
            </a:r>
          </a:p>
        </xdr:txBody>
      </xdr:sp>
      <xdr:sp macro="" textlink="Pivot_Tables!$E$53">
        <xdr:nvSpPr>
          <xdr:cNvPr id="14" name="TextBox 13">
            <a:extLst>
              <a:ext uri="{FF2B5EF4-FFF2-40B4-BE49-F238E27FC236}">
                <a16:creationId xmlns:a16="http://schemas.microsoft.com/office/drawing/2014/main" id="{3E1464DD-43FC-A9A5-FB13-CF31F0413F09}"/>
              </a:ext>
            </a:extLst>
          </xdr:cNvPr>
          <xdr:cNvSpPr txBox="1"/>
        </xdr:nvSpPr>
        <xdr:spPr>
          <a:xfrm>
            <a:off x="10481231475" y="148590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769914CD-7C58-458F-9123-A613AF7F3C75}"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235</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17</xdr:col>
      <xdr:colOff>431794</xdr:colOff>
      <xdr:row>7</xdr:row>
      <xdr:rowOff>60960</xdr:rowOff>
    </xdr:from>
    <xdr:to>
      <xdr:col>20</xdr:col>
      <xdr:colOff>568954</xdr:colOff>
      <xdr:row>11</xdr:row>
      <xdr:rowOff>49530</xdr:rowOff>
    </xdr:to>
    <xdr:grpSp>
      <xdr:nvGrpSpPr>
        <xdr:cNvPr id="91" name="Group 90">
          <a:extLst>
            <a:ext uri="{FF2B5EF4-FFF2-40B4-BE49-F238E27FC236}">
              <a16:creationId xmlns:a16="http://schemas.microsoft.com/office/drawing/2014/main" id="{913B361B-BF47-4DAC-74A4-69B84A8B1D2B}"/>
            </a:ext>
          </a:extLst>
        </xdr:cNvPr>
        <xdr:cNvGrpSpPr/>
      </xdr:nvGrpSpPr>
      <xdr:grpSpPr>
        <a:xfrm>
          <a:off x="10488370010" y="1652195"/>
          <a:ext cx="2060090" cy="723676"/>
          <a:chOff x="10476260486" y="2061210"/>
          <a:chExt cx="2057400" cy="720090"/>
        </a:xfrm>
        <a:effectLst>
          <a:glow rad="101600">
            <a:schemeClr val="accent5">
              <a:satMod val="175000"/>
              <a:alpha val="40000"/>
            </a:schemeClr>
          </a:glow>
        </a:effectLst>
      </xdr:grpSpPr>
      <xdr:sp macro="" textlink="">
        <xdr:nvSpPr>
          <xdr:cNvPr id="16" name="Rectangle: Rounded Corners 15">
            <a:extLst>
              <a:ext uri="{FF2B5EF4-FFF2-40B4-BE49-F238E27FC236}">
                <a16:creationId xmlns:a16="http://schemas.microsoft.com/office/drawing/2014/main" id="{EC08E49D-FEA6-5F46-E35A-FA1EEDEBC6EE}"/>
              </a:ext>
            </a:extLst>
          </xdr:cNvPr>
          <xdr:cNvSpPr/>
        </xdr:nvSpPr>
        <xdr:spPr>
          <a:xfrm>
            <a:off x="10476260486" y="2061210"/>
            <a:ext cx="2057400" cy="720090"/>
          </a:xfrm>
          <a:prstGeom prst="roundRect">
            <a:avLst>
              <a:gd name="adj" fmla="val 39418"/>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17" name="TextBox 16">
            <a:extLst>
              <a:ext uri="{FF2B5EF4-FFF2-40B4-BE49-F238E27FC236}">
                <a16:creationId xmlns:a16="http://schemas.microsoft.com/office/drawing/2014/main" id="{BECB69D2-29D0-6292-3886-C98CB8169090}"/>
              </a:ext>
            </a:extLst>
          </xdr:cNvPr>
          <xdr:cNvSpPr txBox="1"/>
        </xdr:nvSpPr>
        <xdr:spPr>
          <a:xfrm>
            <a:off x="10476502421" y="2076450"/>
            <a:ext cx="166497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100" b="1">
                <a:solidFill>
                  <a:srgbClr val="003366"/>
                </a:solidFill>
                <a:latin typeface="Segoe UI" panose="020B0502040204020203" pitchFamily="34" charset="0"/>
                <a:ea typeface="Segoe UI Black" panose="020B0A02040204020203" pitchFamily="34" charset="0"/>
                <a:cs typeface="Segoe UI" panose="020B0502040204020203" pitchFamily="34" charset="0"/>
              </a:rPr>
              <a:t>Projects per Employee</a:t>
            </a:r>
          </a:p>
        </xdr:txBody>
      </xdr:sp>
      <xdr:sp macro="" textlink="Pivot_Tables!P53">
        <xdr:nvSpPr>
          <xdr:cNvPr id="18" name="TextBox 17">
            <a:extLst>
              <a:ext uri="{FF2B5EF4-FFF2-40B4-BE49-F238E27FC236}">
                <a16:creationId xmlns:a16="http://schemas.microsoft.com/office/drawing/2014/main" id="{809906BF-4199-C29C-8699-E1A0F962347A}"/>
              </a:ext>
            </a:extLst>
          </xdr:cNvPr>
          <xdr:cNvSpPr txBox="1"/>
        </xdr:nvSpPr>
        <xdr:spPr>
          <a:xfrm>
            <a:off x="10476544331" y="244602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E7336D35-29FC-4B96-8919-82A90C1803EC}"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26</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348344</xdr:colOff>
      <xdr:row>0</xdr:row>
      <xdr:rowOff>103562</xdr:rowOff>
    </xdr:from>
    <xdr:to>
      <xdr:col>9</xdr:col>
      <xdr:colOff>348736</xdr:colOff>
      <xdr:row>1</xdr:row>
      <xdr:rowOff>77931</xdr:rowOff>
    </xdr:to>
    <xdr:sp macro="" textlink="">
      <xdr:nvSpPr>
        <xdr:cNvPr id="19" name="Flowchart: Display 18">
          <a:hlinkClick xmlns:r="http://schemas.openxmlformats.org/officeDocument/2006/relationships" r:id="rId1"/>
          <a:extLst>
            <a:ext uri="{FF2B5EF4-FFF2-40B4-BE49-F238E27FC236}">
              <a16:creationId xmlns:a16="http://schemas.microsoft.com/office/drawing/2014/main" id="{F9224431-E6EC-4A8E-8BB1-B4658A7291F9}"/>
            </a:ext>
          </a:extLst>
        </xdr:cNvPr>
        <xdr:cNvSpPr/>
      </xdr:nvSpPr>
      <xdr:spPr>
        <a:xfrm>
          <a:off x="10519181007" y="103562"/>
          <a:ext cx="1927164" cy="464226"/>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01600">
            <a:schemeClr val="accent5">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rgbClr val="002060"/>
              </a:solidFill>
              <a:latin typeface="+mn-lt"/>
              <a:ea typeface="+mn-ea"/>
              <a:cs typeface="Segoe UI" panose="020B0502040204020203" pitchFamily="34" charset="0"/>
            </a:rPr>
            <a:t>Payroll Analysis</a:t>
          </a:r>
        </a:p>
      </xdr:txBody>
    </xdr:sp>
    <xdr:clientData/>
  </xdr:twoCellAnchor>
  <xdr:twoCellAnchor>
    <xdr:from>
      <xdr:col>9</xdr:col>
      <xdr:colOff>424544</xdr:colOff>
      <xdr:row>0</xdr:row>
      <xdr:rowOff>110489</xdr:rowOff>
    </xdr:from>
    <xdr:to>
      <xdr:col>13</xdr:col>
      <xdr:colOff>87087</xdr:colOff>
      <xdr:row>1</xdr:row>
      <xdr:rowOff>76200</xdr:rowOff>
    </xdr:to>
    <xdr:sp macro="" textlink="">
      <xdr:nvSpPr>
        <xdr:cNvPr id="20" name="Flowchart: Display 19">
          <a:hlinkClick xmlns:r="http://schemas.openxmlformats.org/officeDocument/2006/relationships" r:id="rId2"/>
          <a:extLst>
            <a:ext uri="{FF2B5EF4-FFF2-40B4-BE49-F238E27FC236}">
              <a16:creationId xmlns:a16="http://schemas.microsoft.com/office/drawing/2014/main" id="{DC91F3AE-868E-4D3E-8346-B3A25B082EA4}"/>
            </a:ext>
          </a:extLst>
        </xdr:cNvPr>
        <xdr:cNvSpPr/>
      </xdr:nvSpPr>
      <xdr:spPr>
        <a:xfrm>
          <a:off x="10516873628" y="110489"/>
          <a:ext cx="2231571" cy="455568"/>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01600">
            <a:schemeClr val="accent5">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1"/>
          <a:r>
            <a:rPr lang="en-US" sz="1200" b="1">
              <a:solidFill>
                <a:srgbClr val="002060"/>
              </a:solidFill>
              <a:latin typeface="+mn-lt"/>
              <a:ea typeface="+mn-ea"/>
              <a:cs typeface="Segoe UI" panose="020B0502040204020203" pitchFamily="34" charset="0"/>
            </a:rPr>
            <a:t>Project Cost Aalysis</a:t>
          </a:r>
        </a:p>
      </xdr:txBody>
    </xdr:sp>
    <xdr:clientData/>
  </xdr:twoCellAnchor>
  <xdr:twoCellAnchor>
    <xdr:from>
      <xdr:col>13</xdr:col>
      <xdr:colOff>103415</xdr:colOff>
      <xdr:row>0</xdr:row>
      <xdr:rowOff>103562</xdr:rowOff>
    </xdr:from>
    <xdr:to>
      <xdr:col>16</xdr:col>
      <xdr:colOff>223157</xdr:colOff>
      <xdr:row>1</xdr:row>
      <xdr:rowOff>77931</xdr:rowOff>
    </xdr:to>
    <xdr:sp macro="" textlink="">
      <xdr:nvSpPr>
        <xdr:cNvPr id="21" name="Flowchart: Display 20">
          <a:hlinkClick xmlns:r="http://schemas.openxmlformats.org/officeDocument/2006/relationships" r:id="rId3"/>
          <a:extLst>
            <a:ext uri="{FF2B5EF4-FFF2-40B4-BE49-F238E27FC236}">
              <a16:creationId xmlns:a16="http://schemas.microsoft.com/office/drawing/2014/main" id="{C39D4B15-590F-4B4E-9CA8-ADF6DE249F5D}"/>
            </a:ext>
          </a:extLst>
        </xdr:cNvPr>
        <xdr:cNvSpPr/>
      </xdr:nvSpPr>
      <xdr:spPr>
        <a:xfrm>
          <a:off x="10514810786" y="103562"/>
          <a:ext cx="2046514" cy="464226"/>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101600">
            <a:schemeClr val="accent5">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1"/>
          <a:r>
            <a:rPr lang="en-US" sz="1200" b="1">
              <a:solidFill>
                <a:srgbClr val="002060"/>
              </a:solidFill>
              <a:latin typeface="+mn-lt"/>
              <a:ea typeface="+mn-ea"/>
              <a:cs typeface="Segoe UI" panose="020B0502040204020203" pitchFamily="34" charset="0"/>
            </a:rPr>
            <a:t>HR Aalysis</a:t>
          </a:r>
        </a:p>
      </xdr:txBody>
    </xdr:sp>
    <xdr:clientData/>
  </xdr:twoCellAnchor>
  <xdr:twoCellAnchor>
    <xdr:from>
      <xdr:col>4</xdr:col>
      <xdr:colOff>263434</xdr:colOff>
      <xdr:row>0</xdr:row>
      <xdr:rowOff>92526</xdr:rowOff>
    </xdr:from>
    <xdr:to>
      <xdr:col>6</xdr:col>
      <xdr:colOff>279436</xdr:colOff>
      <xdr:row>58</xdr:row>
      <xdr:rowOff>22314</xdr:rowOff>
    </xdr:to>
    <xdr:sp macro="" textlink="">
      <xdr:nvSpPr>
        <xdr:cNvPr id="43" name="Rectangle: Rounded Corners 42">
          <a:extLst>
            <a:ext uri="{FF2B5EF4-FFF2-40B4-BE49-F238E27FC236}">
              <a16:creationId xmlns:a16="http://schemas.microsoft.com/office/drawing/2014/main" id="{E4CF9E34-1F3D-47D5-9834-C7AC7D6E6BC1}"/>
            </a:ext>
          </a:extLst>
        </xdr:cNvPr>
        <xdr:cNvSpPr/>
      </xdr:nvSpPr>
      <xdr:spPr>
        <a:xfrm>
          <a:off x="10521177079" y="92526"/>
          <a:ext cx="1948216" cy="10967902"/>
        </a:xfrm>
        <a:prstGeom prst="roundRect">
          <a:avLst>
            <a:gd name="adj" fmla="val 9788"/>
          </a:avLst>
        </a:prstGeom>
        <a:solidFill>
          <a:srgbClr val="5DADE2"/>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16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4</xdr:col>
      <xdr:colOff>296418</xdr:colOff>
      <xdr:row>10</xdr:row>
      <xdr:rowOff>22314</xdr:rowOff>
    </xdr:from>
    <xdr:to>
      <xdr:col>6</xdr:col>
      <xdr:colOff>193548</xdr:colOff>
      <xdr:row>23</xdr:row>
      <xdr:rowOff>38101</xdr:rowOff>
    </xdr:to>
    <mc:AlternateContent xmlns:mc="http://schemas.openxmlformats.org/markup-compatibility/2006" xmlns:a14="http://schemas.microsoft.com/office/drawing/2010/main">
      <mc:Choice Requires="a14">
        <xdr:graphicFrame macro="">
          <xdr:nvGraphicFramePr>
            <xdr:cNvPr id="45" name="Dept_Name 1">
              <a:extLst>
                <a:ext uri="{FF2B5EF4-FFF2-40B4-BE49-F238E27FC236}">
                  <a16:creationId xmlns:a16="http://schemas.microsoft.com/office/drawing/2014/main" id="{97D77F7B-AAB8-4824-B043-7636C830BF99}"/>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mlns="">
        <xdr:sp macro="" textlink="">
          <xdr:nvSpPr>
            <xdr:cNvPr id="0" name=""/>
            <xdr:cNvSpPr>
              <a:spLocks noTextEdit="1"/>
            </xdr:cNvSpPr>
          </xdr:nvSpPr>
          <xdr:spPr>
            <a:xfrm>
              <a:off x="10500282993" y="2164879"/>
              <a:ext cx="1829024" cy="24048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326898</xdr:colOff>
      <xdr:row>31</xdr:row>
      <xdr:rowOff>120286</xdr:rowOff>
    </xdr:from>
    <xdr:to>
      <xdr:col>6</xdr:col>
      <xdr:colOff>224028</xdr:colOff>
      <xdr:row>57</xdr:row>
      <xdr:rowOff>78376</xdr:rowOff>
    </xdr:to>
    <mc:AlternateContent xmlns:mc="http://schemas.openxmlformats.org/markup-compatibility/2006" xmlns:a14="http://schemas.microsoft.com/office/drawing/2010/main">
      <mc:Choice Requires="a14">
        <xdr:graphicFrame macro="">
          <xdr:nvGraphicFramePr>
            <xdr:cNvPr id="48" name="Job_Title 1">
              <a:extLst>
                <a:ext uri="{FF2B5EF4-FFF2-40B4-BE49-F238E27FC236}">
                  <a16:creationId xmlns:a16="http://schemas.microsoft.com/office/drawing/2014/main" id="{5DF393F7-0D58-4369-9CEE-9A09A482D9B7}"/>
                </a:ext>
              </a:extLst>
            </xdr:cNvPr>
            <xdr:cNvGraphicFramePr/>
          </xdr:nvGraphicFramePr>
          <xdr:xfrm>
            <a:off x="0" y="0"/>
            <a:ext cx="0" cy="0"/>
          </xdr:xfrm>
          <a:graphic>
            <a:graphicData uri="http://schemas.microsoft.com/office/drawing/2010/slicer">
              <sle:slicer xmlns:sle="http://schemas.microsoft.com/office/drawing/2010/slicer" name="Job_Title 1"/>
            </a:graphicData>
          </a:graphic>
        </xdr:graphicFrame>
      </mc:Choice>
      <mc:Fallback xmlns="">
        <xdr:sp macro="" textlink="">
          <xdr:nvSpPr>
            <xdr:cNvPr id="0" name=""/>
            <xdr:cNvSpPr>
              <a:spLocks noTextEdit="1"/>
            </xdr:cNvSpPr>
          </xdr:nvSpPr>
          <xdr:spPr>
            <a:xfrm>
              <a:off x="10500252513" y="6122157"/>
              <a:ext cx="1829024" cy="47362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497846</xdr:colOff>
      <xdr:row>2</xdr:row>
      <xdr:rowOff>51435</xdr:rowOff>
    </xdr:from>
    <xdr:to>
      <xdr:col>9</xdr:col>
      <xdr:colOff>635006</xdr:colOff>
      <xdr:row>6</xdr:row>
      <xdr:rowOff>40005</xdr:rowOff>
    </xdr:to>
    <xdr:grpSp>
      <xdr:nvGrpSpPr>
        <xdr:cNvPr id="69" name="Group 68">
          <a:extLst>
            <a:ext uri="{FF2B5EF4-FFF2-40B4-BE49-F238E27FC236}">
              <a16:creationId xmlns:a16="http://schemas.microsoft.com/office/drawing/2014/main" id="{9B122D14-AE6A-0541-7E66-3CE2EEDE0463}"/>
            </a:ext>
          </a:extLst>
        </xdr:cNvPr>
        <xdr:cNvGrpSpPr/>
      </xdr:nvGrpSpPr>
      <xdr:grpSpPr>
        <a:xfrm>
          <a:off x="10495354700" y="723788"/>
          <a:ext cx="2060089" cy="723676"/>
          <a:chOff x="10476259204" y="2057400"/>
          <a:chExt cx="2057400" cy="720090"/>
        </a:xfrm>
        <a:effectLst>
          <a:glow rad="101600">
            <a:schemeClr val="accent5">
              <a:satMod val="175000"/>
              <a:alpha val="40000"/>
            </a:schemeClr>
          </a:glow>
        </a:effectLst>
      </xdr:grpSpPr>
      <xdr:sp macro="" textlink="">
        <xdr:nvSpPr>
          <xdr:cNvPr id="54" name="Rectangle: Rounded Corners 53">
            <a:extLst>
              <a:ext uri="{FF2B5EF4-FFF2-40B4-BE49-F238E27FC236}">
                <a16:creationId xmlns:a16="http://schemas.microsoft.com/office/drawing/2014/main" id="{D2420B61-85E8-9ED3-7A3E-61E97C844460}"/>
              </a:ext>
            </a:extLst>
          </xdr:cNvPr>
          <xdr:cNvSpPr/>
        </xdr:nvSpPr>
        <xdr:spPr>
          <a:xfrm>
            <a:off x="10476259204" y="2057400"/>
            <a:ext cx="2057400" cy="720090"/>
          </a:xfrm>
          <a:prstGeom prst="roundRect">
            <a:avLst>
              <a:gd name="adj" fmla="val 40476"/>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endParaRPr lang="en-US" sz="1100"/>
          </a:p>
        </xdr:txBody>
      </xdr:sp>
      <xdr:sp macro="" textlink="">
        <xdr:nvSpPr>
          <xdr:cNvPr id="55" name="TextBox 54">
            <a:extLst>
              <a:ext uri="{FF2B5EF4-FFF2-40B4-BE49-F238E27FC236}">
                <a16:creationId xmlns:a16="http://schemas.microsoft.com/office/drawing/2014/main" id="{527EB290-4962-4AFE-EEB7-9B71392F18F6}"/>
              </a:ext>
            </a:extLst>
          </xdr:cNvPr>
          <xdr:cNvSpPr txBox="1"/>
        </xdr:nvSpPr>
        <xdr:spPr>
          <a:xfrm>
            <a:off x="10476497329" y="208788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Total</a:t>
            </a:r>
            <a:r>
              <a:rPr lang="en-US" sz="1200" b="1" baseline="0">
                <a:solidFill>
                  <a:srgbClr val="003366"/>
                </a:solidFill>
                <a:latin typeface="Segoe UI" panose="020B0502040204020203" pitchFamily="34" charset="0"/>
                <a:ea typeface="Segoe UI Black" panose="020B0A02040204020203" pitchFamily="34" charset="0"/>
                <a:cs typeface="Segoe UI" panose="020B0502040204020203" pitchFamily="34" charset="0"/>
              </a:rPr>
              <a:t> </a:t>
            </a:r>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OT_Hrs</a:t>
            </a:r>
          </a:p>
        </xdr:txBody>
      </xdr:sp>
      <xdr:sp macro="" textlink="Pivot_Tables!$H$53">
        <xdr:nvSpPr>
          <xdr:cNvPr id="56" name="TextBox 55">
            <a:extLst>
              <a:ext uri="{FF2B5EF4-FFF2-40B4-BE49-F238E27FC236}">
                <a16:creationId xmlns:a16="http://schemas.microsoft.com/office/drawing/2014/main" id="{8AAAD53F-C7CF-83B6-9A12-E521B82C176F}"/>
              </a:ext>
            </a:extLst>
          </xdr:cNvPr>
          <xdr:cNvSpPr txBox="1"/>
        </xdr:nvSpPr>
        <xdr:spPr>
          <a:xfrm>
            <a:off x="10476497329" y="236601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0E464903-B020-4167-8EB8-C6D733D3B252}"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79</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13</xdr:col>
      <xdr:colOff>621881</xdr:colOff>
      <xdr:row>7</xdr:row>
      <xdr:rowOff>57150</xdr:rowOff>
    </xdr:from>
    <xdr:to>
      <xdr:col>17</xdr:col>
      <xdr:colOff>118961</xdr:colOff>
      <xdr:row>11</xdr:row>
      <xdr:rowOff>45720</xdr:rowOff>
    </xdr:to>
    <xdr:grpSp>
      <xdr:nvGrpSpPr>
        <xdr:cNvPr id="90" name="Group 89">
          <a:extLst>
            <a:ext uri="{FF2B5EF4-FFF2-40B4-BE49-F238E27FC236}">
              <a16:creationId xmlns:a16="http://schemas.microsoft.com/office/drawing/2014/main" id="{D8D6B25F-08D1-25B9-D1FE-611CE215CDFB}"/>
            </a:ext>
          </a:extLst>
        </xdr:cNvPr>
        <xdr:cNvGrpSpPr/>
      </xdr:nvGrpSpPr>
      <xdr:grpSpPr>
        <a:xfrm>
          <a:off x="10490742933" y="1648385"/>
          <a:ext cx="2060986" cy="723676"/>
          <a:chOff x="10478630719" y="2057400"/>
          <a:chExt cx="2057400" cy="720090"/>
        </a:xfrm>
        <a:effectLst>
          <a:glow rad="101600">
            <a:schemeClr val="accent5">
              <a:satMod val="175000"/>
              <a:alpha val="40000"/>
            </a:schemeClr>
          </a:glow>
        </a:effectLst>
      </xdr:grpSpPr>
      <xdr:sp macro="" textlink="">
        <xdr:nvSpPr>
          <xdr:cNvPr id="58" name="Rectangle: Rounded Corners 57">
            <a:extLst>
              <a:ext uri="{FF2B5EF4-FFF2-40B4-BE49-F238E27FC236}">
                <a16:creationId xmlns:a16="http://schemas.microsoft.com/office/drawing/2014/main" id="{1AEB01D3-CC13-ED13-5A50-8F24A94EFDD2}"/>
              </a:ext>
            </a:extLst>
          </xdr:cNvPr>
          <xdr:cNvSpPr/>
        </xdr:nvSpPr>
        <xdr:spPr>
          <a:xfrm>
            <a:off x="10478630719" y="2057400"/>
            <a:ext cx="2057400" cy="720090"/>
          </a:xfrm>
          <a:prstGeom prst="roundRect">
            <a:avLst>
              <a:gd name="adj" fmla="val 36772"/>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59" name="TextBox 58">
            <a:extLst>
              <a:ext uri="{FF2B5EF4-FFF2-40B4-BE49-F238E27FC236}">
                <a16:creationId xmlns:a16="http://schemas.microsoft.com/office/drawing/2014/main" id="{C96BF9AF-796C-8DBE-4AA2-E690B364B91D}"/>
              </a:ext>
            </a:extLst>
          </xdr:cNvPr>
          <xdr:cNvSpPr txBox="1"/>
        </xdr:nvSpPr>
        <xdr:spPr>
          <a:xfrm>
            <a:off x="10478785342" y="2110740"/>
            <a:ext cx="174815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Absent Days</a:t>
            </a:r>
          </a:p>
        </xdr:txBody>
      </xdr:sp>
      <xdr:sp macro="" textlink="Pivot_Tables!$I$53">
        <xdr:nvSpPr>
          <xdr:cNvPr id="60" name="TextBox 59">
            <a:extLst>
              <a:ext uri="{FF2B5EF4-FFF2-40B4-BE49-F238E27FC236}">
                <a16:creationId xmlns:a16="http://schemas.microsoft.com/office/drawing/2014/main" id="{724CE930-0966-F033-65B7-3CE1622CDB31}"/>
              </a:ext>
            </a:extLst>
          </xdr:cNvPr>
          <xdr:cNvSpPr txBox="1"/>
        </xdr:nvSpPr>
        <xdr:spPr>
          <a:xfrm>
            <a:off x="10478868844" y="241554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2D99C1EC-D8A5-4E26-9171-D9B33A9C8886}"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3</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10</xdr:col>
      <xdr:colOff>170606</xdr:colOff>
      <xdr:row>7</xdr:row>
      <xdr:rowOff>57150</xdr:rowOff>
    </xdr:from>
    <xdr:to>
      <xdr:col>13</xdr:col>
      <xdr:colOff>307766</xdr:colOff>
      <xdr:row>11</xdr:row>
      <xdr:rowOff>45720</xdr:rowOff>
    </xdr:to>
    <xdr:grpSp>
      <xdr:nvGrpSpPr>
        <xdr:cNvPr id="88" name="Group 87">
          <a:extLst>
            <a:ext uri="{FF2B5EF4-FFF2-40B4-BE49-F238E27FC236}">
              <a16:creationId xmlns:a16="http://schemas.microsoft.com/office/drawing/2014/main" id="{FCDD69A6-BC68-001B-9CBE-4C119FDA3BC6}"/>
            </a:ext>
          </a:extLst>
        </xdr:cNvPr>
        <xdr:cNvGrpSpPr/>
      </xdr:nvGrpSpPr>
      <xdr:grpSpPr>
        <a:xfrm>
          <a:off x="10493118034" y="1648385"/>
          <a:ext cx="2060089" cy="723676"/>
          <a:chOff x="10481002234" y="2057400"/>
          <a:chExt cx="2057400" cy="720090"/>
        </a:xfrm>
        <a:effectLst>
          <a:glow rad="101600">
            <a:schemeClr val="accent5">
              <a:satMod val="175000"/>
              <a:alpha val="40000"/>
            </a:schemeClr>
          </a:glow>
        </a:effectLst>
      </xdr:grpSpPr>
      <xdr:sp macro="" textlink="">
        <xdr:nvSpPr>
          <xdr:cNvPr id="62" name="Rectangle: Rounded Corners 61">
            <a:extLst>
              <a:ext uri="{FF2B5EF4-FFF2-40B4-BE49-F238E27FC236}">
                <a16:creationId xmlns:a16="http://schemas.microsoft.com/office/drawing/2014/main" id="{6368A31F-7AA6-3566-7339-EF46E9AAF988}"/>
              </a:ext>
            </a:extLst>
          </xdr:cNvPr>
          <xdr:cNvSpPr/>
        </xdr:nvSpPr>
        <xdr:spPr>
          <a:xfrm>
            <a:off x="10481002234" y="2057400"/>
            <a:ext cx="2057400" cy="720090"/>
          </a:xfrm>
          <a:prstGeom prst="roundRect">
            <a:avLst>
              <a:gd name="adj" fmla="val 39947"/>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63" name="TextBox 62">
            <a:extLst>
              <a:ext uri="{FF2B5EF4-FFF2-40B4-BE49-F238E27FC236}">
                <a16:creationId xmlns:a16="http://schemas.microsoft.com/office/drawing/2014/main" id="{3EA2F0B1-0A2D-3E7A-5419-DEC14A158EF6}"/>
              </a:ext>
            </a:extLst>
          </xdr:cNvPr>
          <xdr:cNvSpPr txBox="1"/>
        </xdr:nvSpPr>
        <xdr:spPr>
          <a:xfrm>
            <a:off x="10481240359" y="211455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OT Cost</a:t>
            </a:r>
          </a:p>
        </xdr:txBody>
      </xdr:sp>
      <xdr:sp macro="" textlink="Pivot_Tables!$J$53">
        <xdr:nvSpPr>
          <xdr:cNvPr id="64" name="TextBox 63">
            <a:extLst>
              <a:ext uri="{FF2B5EF4-FFF2-40B4-BE49-F238E27FC236}">
                <a16:creationId xmlns:a16="http://schemas.microsoft.com/office/drawing/2014/main" id="{2E474085-82B8-52BA-78F0-3F4C6CBB479E}"/>
              </a:ext>
            </a:extLst>
          </xdr:cNvPr>
          <xdr:cNvSpPr txBox="1"/>
        </xdr:nvSpPr>
        <xdr:spPr>
          <a:xfrm>
            <a:off x="10481240359" y="240030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1D48849E-559C-47D3-83D3-5C9D963A8FEB}"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466.25</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476250</xdr:colOff>
      <xdr:row>7</xdr:row>
      <xdr:rowOff>57150</xdr:rowOff>
    </xdr:from>
    <xdr:to>
      <xdr:col>9</xdr:col>
      <xdr:colOff>613410</xdr:colOff>
      <xdr:row>11</xdr:row>
      <xdr:rowOff>45720</xdr:rowOff>
    </xdr:to>
    <xdr:grpSp>
      <xdr:nvGrpSpPr>
        <xdr:cNvPr id="89" name="Group 88">
          <a:extLst>
            <a:ext uri="{FF2B5EF4-FFF2-40B4-BE49-F238E27FC236}">
              <a16:creationId xmlns:a16="http://schemas.microsoft.com/office/drawing/2014/main" id="{647A9C5F-C96A-9339-2F38-50799CCB0EFE}"/>
            </a:ext>
          </a:extLst>
        </xdr:cNvPr>
        <xdr:cNvGrpSpPr/>
      </xdr:nvGrpSpPr>
      <xdr:grpSpPr>
        <a:xfrm>
          <a:off x="10495376296" y="1648385"/>
          <a:ext cx="2060089" cy="723676"/>
          <a:chOff x="10483256910" y="2057400"/>
          <a:chExt cx="2057400" cy="720090"/>
        </a:xfrm>
        <a:effectLst>
          <a:glow rad="101600">
            <a:schemeClr val="accent5">
              <a:satMod val="175000"/>
              <a:alpha val="40000"/>
            </a:schemeClr>
          </a:glow>
        </a:effectLst>
      </xdr:grpSpPr>
      <xdr:sp macro="" textlink="">
        <xdr:nvSpPr>
          <xdr:cNvPr id="66" name="Rectangle: Rounded Corners 65">
            <a:extLst>
              <a:ext uri="{FF2B5EF4-FFF2-40B4-BE49-F238E27FC236}">
                <a16:creationId xmlns:a16="http://schemas.microsoft.com/office/drawing/2014/main" id="{C5F32E19-9B54-0E42-7EEA-90EE7509AD17}"/>
              </a:ext>
            </a:extLst>
          </xdr:cNvPr>
          <xdr:cNvSpPr/>
        </xdr:nvSpPr>
        <xdr:spPr>
          <a:xfrm>
            <a:off x="10483256910" y="2057400"/>
            <a:ext cx="2057400" cy="720090"/>
          </a:xfrm>
          <a:prstGeom prst="roundRect">
            <a:avLst>
              <a:gd name="adj" fmla="val 42063"/>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67" name="TextBox 66">
            <a:extLst>
              <a:ext uri="{FF2B5EF4-FFF2-40B4-BE49-F238E27FC236}">
                <a16:creationId xmlns:a16="http://schemas.microsoft.com/office/drawing/2014/main" id="{31F080E9-F852-83A2-27A3-83456681B8A9}"/>
              </a:ext>
            </a:extLst>
          </xdr:cNvPr>
          <xdr:cNvSpPr txBox="1"/>
        </xdr:nvSpPr>
        <xdr:spPr>
          <a:xfrm>
            <a:off x="10483453125" y="2114550"/>
            <a:ext cx="166497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3366"/>
                </a:solidFill>
                <a:latin typeface="Segoe UI" panose="020B0502040204020203" pitchFamily="34" charset="0"/>
                <a:ea typeface="Segoe UI Black" panose="020B0A02040204020203" pitchFamily="34" charset="0"/>
                <a:cs typeface="Segoe UI" panose="020B0502040204020203" pitchFamily="34" charset="0"/>
              </a:rPr>
              <a:t>Normal Cost</a:t>
            </a:r>
          </a:p>
        </xdr:txBody>
      </xdr:sp>
      <xdr:sp macro="" textlink="Pivot_Tables!$K$53">
        <xdr:nvSpPr>
          <xdr:cNvPr id="68" name="TextBox 67">
            <a:extLst>
              <a:ext uri="{FF2B5EF4-FFF2-40B4-BE49-F238E27FC236}">
                <a16:creationId xmlns:a16="http://schemas.microsoft.com/office/drawing/2014/main" id="{BE044029-4751-DD4A-6C58-1379DF3BD488}"/>
              </a:ext>
            </a:extLst>
          </xdr:cNvPr>
          <xdr:cNvSpPr txBox="1"/>
        </xdr:nvSpPr>
        <xdr:spPr>
          <a:xfrm>
            <a:off x="10483495035" y="2426970"/>
            <a:ext cx="15811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56B31BF7-8C56-4000-8856-DC256AB25CD2}"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13130</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419100</xdr:colOff>
      <xdr:row>43</xdr:row>
      <xdr:rowOff>41910</xdr:rowOff>
    </xdr:from>
    <xdr:to>
      <xdr:col>20</xdr:col>
      <xdr:colOff>521970</xdr:colOff>
      <xdr:row>58</xdr:row>
      <xdr:rowOff>59872</xdr:rowOff>
    </xdr:to>
    <xdr:grpSp>
      <xdr:nvGrpSpPr>
        <xdr:cNvPr id="96" name="Group 95">
          <a:extLst>
            <a:ext uri="{FF2B5EF4-FFF2-40B4-BE49-F238E27FC236}">
              <a16:creationId xmlns:a16="http://schemas.microsoft.com/office/drawing/2014/main" id="{DE70FFC8-5AFA-3B32-8DE1-ED435E355F19}"/>
            </a:ext>
          </a:extLst>
        </xdr:cNvPr>
        <xdr:cNvGrpSpPr/>
      </xdr:nvGrpSpPr>
      <xdr:grpSpPr>
        <a:xfrm>
          <a:off x="10488416994" y="8249098"/>
          <a:ext cx="9076541" cy="2774609"/>
          <a:chOff x="10476261751" y="8793480"/>
          <a:chExt cx="9140190" cy="3192780"/>
        </a:xfrm>
      </xdr:grpSpPr>
      <xdr:sp macro="" textlink="">
        <xdr:nvSpPr>
          <xdr:cNvPr id="40" name="Rectangle: Top Corners Rounded 39">
            <a:extLst>
              <a:ext uri="{FF2B5EF4-FFF2-40B4-BE49-F238E27FC236}">
                <a16:creationId xmlns:a16="http://schemas.microsoft.com/office/drawing/2014/main" id="{CD42B3E7-A0DE-421E-A66B-92A8A74EADE3}"/>
              </a:ext>
            </a:extLst>
          </xdr:cNvPr>
          <xdr:cNvSpPr/>
        </xdr:nvSpPr>
        <xdr:spPr>
          <a:xfrm rot="10800000">
            <a:off x="10476265560" y="8793480"/>
            <a:ext cx="9132570" cy="3112770"/>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42" name="Rectangle: Top Corners Rounded 41">
            <a:extLst>
              <a:ext uri="{FF2B5EF4-FFF2-40B4-BE49-F238E27FC236}">
                <a16:creationId xmlns:a16="http://schemas.microsoft.com/office/drawing/2014/main" id="{CEF04A53-A694-4469-8762-8B9372EC6C54}"/>
              </a:ext>
            </a:extLst>
          </xdr:cNvPr>
          <xdr:cNvSpPr/>
        </xdr:nvSpPr>
        <xdr:spPr>
          <a:xfrm>
            <a:off x="10476261751" y="8793480"/>
            <a:ext cx="9140190" cy="388620"/>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400" b="1">
                <a:solidFill>
                  <a:srgbClr val="003366"/>
                </a:solidFill>
              </a:rPr>
              <a:t>Project</a:t>
            </a:r>
            <a:r>
              <a:rPr lang="en-US" sz="1400" b="1" baseline="0">
                <a:solidFill>
                  <a:srgbClr val="003366"/>
                </a:solidFill>
              </a:rPr>
              <a:t> Cost By Projects And Department</a:t>
            </a:r>
            <a:endParaRPr lang="en-US" sz="1400" b="1">
              <a:solidFill>
                <a:srgbClr val="003366"/>
              </a:solidFill>
            </a:endParaRPr>
          </a:p>
        </xdr:txBody>
      </xdr:sp>
      <xdr:graphicFrame macro="">
        <xdr:nvGraphicFramePr>
          <xdr:cNvPr id="70" name="Chart 69">
            <a:extLst>
              <a:ext uri="{FF2B5EF4-FFF2-40B4-BE49-F238E27FC236}">
                <a16:creationId xmlns:a16="http://schemas.microsoft.com/office/drawing/2014/main" id="{ADE45DC3-310D-4AC1-9E06-58B0CEA34BDF}"/>
              </a:ext>
            </a:extLst>
          </xdr:cNvPr>
          <xdr:cNvGraphicFramePr>
            <a:graphicFrameLocks/>
          </xdr:cNvGraphicFramePr>
        </xdr:nvGraphicFramePr>
        <xdr:xfrm>
          <a:off x="10476296040" y="9262110"/>
          <a:ext cx="9037321" cy="272415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6</xdr:col>
      <xdr:colOff>431794</xdr:colOff>
      <xdr:row>28</xdr:row>
      <xdr:rowOff>179070</xdr:rowOff>
    </xdr:from>
    <xdr:to>
      <xdr:col>20</xdr:col>
      <xdr:colOff>560070</xdr:colOff>
      <xdr:row>42</xdr:row>
      <xdr:rowOff>133350</xdr:rowOff>
    </xdr:to>
    <xdr:grpSp>
      <xdr:nvGrpSpPr>
        <xdr:cNvPr id="95" name="Group 94">
          <a:extLst>
            <a:ext uri="{FF2B5EF4-FFF2-40B4-BE49-F238E27FC236}">
              <a16:creationId xmlns:a16="http://schemas.microsoft.com/office/drawing/2014/main" id="{14037E6D-1F7D-3E2E-1560-04E5B1483EAB}"/>
            </a:ext>
          </a:extLst>
        </xdr:cNvPr>
        <xdr:cNvGrpSpPr/>
      </xdr:nvGrpSpPr>
      <xdr:grpSpPr>
        <a:xfrm>
          <a:off x="10488378894" y="5629611"/>
          <a:ext cx="9101947" cy="2527151"/>
          <a:chOff x="10476269370" y="6118860"/>
          <a:chExt cx="9089396" cy="2514600"/>
        </a:xfrm>
      </xdr:grpSpPr>
      <xdr:sp macro="" textlink="">
        <xdr:nvSpPr>
          <xdr:cNvPr id="26" name="Rectangle: Top Corners Rounded 25">
            <a:extLst>
              <a:ext uri="{FF2B5EF4-FFF2-40B4-BE49-F238E27FC236}">
                <a16:creationId xmlns:a16="http://schemas.microsoft.com/office/drawing/2014/main" id="{3DA49544-B867-45AA-9844-9C7A066C9B79}"/>
              </a:ext>
            </a:extLst>
          </xdr:cNvPr>
          <xdr:cNvSpPr/>
        </xdr:nvSpPr>
        <xdr:spPr>
          <a:xfrm rot="10800000">
            <a:off x="10476284610" y="6118860"/>
            <a:ext cx="9074156" cy="2514600"/>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27" name="Rectangle: Top Corners Rounded 26">
            <a:extLst>
              <a:ext uri="{FF2B5EF4-FFF2-40B4-BE49-F238E27FC236}">
                <a16:creationId xmlns:a16="http://schemas.microsoft.com/office/drawing/2014/main" id="{2F97773C-64AD-497E-A30A-6296FD61AB06}"/>
              </a:ext>
            </a:extLst>
          </xdr:cNvPr>
          <xdr:cNvSpPr/>
        </xdr:nvSpPr>
        <xdr:spPr>
          <a:xfrm>
            <a:off x="10476269370" y="6118860"/>
            <a:ext cx="9089396" cy="388620"/>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400" b="1">
                <a:solidFill>
                  <a:srgbClr val="003366"/>
                </a:solidFill>
              </a:rPr>
              <a:t>Normal Cost &amp; OT Cost By Project</a:t>
            </a:r>
          </a:p>
        </xdr:txBody>
      </xdr:sp>
      <xdr:graphicFrame macro="">
        <xdr:nvGraphicFramePr>
          <xdr:cNvPr id="77" name="Chart 76">
            <a:extLst>
              <a:ext uri="{FF2B5EF4-FFF2-40B4-BE49-F238E27FC236}">
                <a16:creationId xmlns:a16="http://schemas.microsoft.com/office/drawing/2014/main" id="{12A8F2AF-2801-AB5D-68FB-A7A6D6A14C42}"/>
              </a:ext>
            </a:extLst>
          </xdr:cNvPr>
          <xdr:cNvGraphicFramePr/>
        </xdr:nvGraphicFramePr>
        <xdr:xfrm>
          <a:off x="10476486540" y="6547485"/>
          <a:ext cx="8778240" cy="200977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4</xdr:col>
      <xdr:colOff>320040</xdr:colOff>
      <xdr:row>0</xdr:row>
      <xdr:rowOff>189953</xdr:rowOff>
    </xdr:from>
    <xdr:to>
      <xdr:col>6</xdr:col>
      <xdr:colOff>217170</xdr:colOff>
      <xdr:row>9</xdr:row>
      <xdr:rowOff>77830</xdr:rowOff>
    </xdr:to>
    <mc:AlternateContent xmlns:mc="http://schemas.openxmlformats.org/markup-compatibility/2006" xmlns:a14="http://schemas.microsoft.com/office/drawing/2010/main">
      <mc:Choice Requires="a14">
        <xdr:graphicFrame macro="">
          <xdr:nvGraphicFramePr>
            <xdr:cNvPr id="78" name="Project_Name">
              <a:extLst>
                <a:ext uri="{FF2B5EF4-FFF2-40B4-BE49-F238E27FC236}">
                  <a16:creationId xmlns:a16="http://schemas.microsoft.com/office/drawing/2014/main" id="{E3EA5769-73AE-42C1-88B0-E21835D8201A}"/>
                </a:ext>
              </a:extLst>
            </xdr:cNvPr>
            <xdr:cNvGraphicFramePr/>
          </xdr:nvGraphicFramePr>
          <xdr:xfrm>
            <a:off x="0" y="0"/>
            <a:ext cx="0" cy="0"/>
          </xdr:xfrm>
          <a:graphic>
            <a:graphicData uri="http://schemas.microsoft.com/office/drawing/2010/slicer">
              <sle:slicer xmlns:sle="http://schemas.microsoft.com/office/drawing/2010/slicer" name="Project_Name"/>
            </a:graphicData>
          </a:graphic>
        </xdr:graphicFrame>
      </mc:Choice>
      <mc:Fallback xmlns="">
        <xdr:sp macro="" textlink="">
          <xdr:nvSpPr>
            <xdr:cNvPr id="0" name=""/>
            <xdr:cNvSpPr>
              <a:spLocks noTextEdit="1"/>
            </xdr:cNvSpPr>
          </xdr:nvSpPr>
          <xdr:spPr>
            <a:xfrm>
              <a:off x="10500259371" y="189953"/>
              <a:ext cx="1829024" cy="1846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297180</xdr:colOff>
      <xdr:row>23</xdr:row>
      <xdr:rowOff>132260</xdr:rowOff>
    </xdr:from>
    <xdr:to>
      <xdr:col>6</xdr:col>
      <xdr:colOff>194310</xdr:colOff>
      <xdr:row>31</xdr:row>
      <xdr:rowOff>81645</xdr:rowOff>
    </xdr:to>
    <mc:AlternateContent xmlns:mc="http://schemas.openxmlformats.org/markup-compatibility/2006" xmlns:a14="http://schemas.microsoft.com/office/drawing/2010/main">
      <mc:Choice Requires="a14">
        <xdr:graphicFrame macro="">
          <xdr:nvGraphicFramePr>
            <xdr:cNvPr id="79" name="Supervisor">
              <a:extLst>
                <a:ext uri="{FF2B5EF4-FFF2-40B4-BE49-F238E27FC236}">
                  <a16:creationId xmlns:a16="http://schemas.microsoft.com/office/drawing/2014/main" id="{79425536-AF8E-4EFE-B7D4-1D774CF7C2CF}"/>
                </a:ext>
              </a:extLst>
            </xdr:cNvPr>
            <xdr:cNvGraphicFramePr/>
          </xdr:nvGraphicFramePr>
          <xdr:xfrm>
            <a:off x="0" y="0"/>
            <a:ext cx="0" cy="0"/>
          </xdr:xfrm>
          <a:graphic>
            <a:graphicData uri="http://schemas.microsoft.com/office/drawing/2010/slicer">
              <sle:slicer xmlns:sle="http://schemas.microsoft.com/office/drawing/2010/slicer" name="Supervisor"/>
            </a:graphicData>
          </a:graphic>
        </xdr:graphicFrame>
      </mc:Choice>
      <mc:Fallback xmlns="">
        <xdr:sp macro="" textlink="">
          <xdr:nvSpPr>
            <xdr:cNvPr id="0" name=""/>
            <xdr:cNvSpPr>
              <a:spLocks noTextEdit="1"/>
            </xdr:cNvSpPr>
          </xdr:nvSpPr>
          <xdr:spPr>
            <a:xfrm>
              <a:off x="10500282231" y="4663919"/>
              <a:ext cx="1829024" cy="14195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369570</xdr:colOff>
      <xdr:row>11</xdr:row>
      <xdr:rowOff>133350</xdr:rowOff>
    </xdr:from>
    <xdr:to>
      <xdr:col>13</xdr:col>
      <xdr:colOff>461010</xdr:colOff>
      <xdr:row>28</xdr:row>
      <xdr:rowOff>110490</xdr:rowOff>
    </xdr:to>
    <xdr:grpSp>
      <xdr:nvGrpSpPr>
        <xdr:cNvPr id="92" name="Group 91">
          <a:extLst>
            <a:ext uri="{FF2B5EF4-FFF2-40B4-BE49-F238E27FC236}">
              <a16:creationId xmlns:a16="http://schemas.microsoft.com/office/drawing/2014/main" id="{FC45BB81-EC64-D7F6-43DB-C45A90E22DE6}"/>
            </a:ext>
          </a:extLst>
        </xdr:cNvPr>
        <xdr:cNvGrpSpPr/>
      </xdr:nvGrpSpPr>
      <xdr:grpSpPr>
        <a:xfrm>
          <a:off x="10492964790" y="2459691"/>
          <a:ext cx="4578275" cy="3101340"/>
          <a:chOff x="10480852800" y="2907044"/>
          <a:chExt cx="4572000" cy="3078466"/>
        </a:xfrm>
      </xdr:grpSpPr>
      <xdr:grpSp>
        <xdr:nvGrpSpPr>
          <xdr:cNvPr id="76" name="Group 75">
            <a:extLst>
              <a:ext uri="{FF2B5EF4-FFF2-40B4-BE49-F238E27FC236}">
                <a16:creationId xmlns:a16="http://schemas.microsoft.com/office/drawing/2014/main" id="{DA7E655A-A8D7-2D68-2616-542FD4E988EF}"/>
              </a:ext>
            </a:extLst>
          </xdr:cNvPr>
          <xdr:cNvGrpSpPr/>
        </xdr:nvGrpSpPr>
        <xdr:grpSpPr>
          <a:xfrm>
            <a:off x="10480903531" y="2907044"/>
            <a:ext cx="4428369" cy="3078466"/>
            <a:chOff x="10480184474" y="2907044"/>
            <a:chExt cx="5138544" cy="3078466"/>
          </a:xfrm>
        </xdr:grpSpPr>
        <xdr:sp macro="" textlink="">
          <xdr:nvSpPr>
            <xdr:cNvPr id="23" name="Rectangle: Top Corners Rounded 22">
              <a:extLst>
                <a:ext uri="{FF2B5EF4-FFF2-40B4-BE49-F238E27FC236}">
                  <a16:creationId xmlns:a16="http://schemas.microsoft.com/office/drawing/2014/main" id="{09EA8F20-81EC-45D5-980F-57D95D7C5F7C}"/>
                </a:ext>
              </a:extLst>
            </xdr:cNvPr>
            <xdr:cNvSpPr/>
          </xdr:nvSpPr>
          <xdr:spPr>
            <a:xfrm rot="10800000">
              <a:off x="10480184474" y="3028662"/>
              <a:ext cx="5138544" cy="2956848"/>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274320" tIns="45720" rIns="27432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24" name="Rectangle: Top Corners Rounded 23">
              <a:extLst>
                <a:ext uri="{FF2B5EF4-FFF2-40B4-BE49-F238E27FC236}">
                  <a16:creationId xmlns:a16="http://schemas.microsoft.com/office/drawing/2014/main" id="{5EC93C21-4C78-4ED0-B14E-9626E1B51ED9}"/>
                </a:ext>
              </a:extLst>
            </xdr:cNvPr>
            <xdr:cNvSpPr/>
          </xdr:nvSpPr>
          <xdr:spPr>
            <a:xfrm>
              <a:off x="10480188816" y="2907044"/>
              <a:ext cx="5127238" cy="454089"/>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400" b="1">
                  <a:solidFill>
                    <a:srgbClr val="003366"/>
                  </a:solidFill>
                </a:rPr>
                <a:t>Normal Cost &amp; OT Cost By</a:t>
              </a:r>
              <a:r>
                <a:rPr lang="en-US" sz="1400" b="1" baseline="0">
                  <a:solidFill>
                    <a:srgbClr val="003366"/>
                  </a:solidFill>
                </a:rPr>
                <a:t> Department</a:t>
              </a:r>
              <a:endParaRPr lang="en-US" sz="1400" b="1">
                <a:solidFill>
                  <a:srgbClr val="003366"/>
                </a:solidFill>
              </a:endParaRPr>
            </a:p>
          </xdr:txBody>
        </xdr:sp>
      </xdr:grpSp>
      <xdr:graphicFrame macro="">
        <xdr:nvGraphicFramePr>
          <xdr:cNvPr id="81" name="Chart 80">
            <a:extLst>
              <a:ext uri="{FF2B5EF4-FFF2-40B4-BE49-F238E27FC236}">
                <a16:creationId xmlns:a16="http://schemas.microsoft.com/office/drawing/2014/main" id="{B0C293B7-0424-4055-A234-328584F20066}"/>
              </a:ext>
            </a:extLst>
          </xdr:cNvPr>
          <xdr:cNvGraphicFramePr>
            <a:graphicFrameLocks/>
          </xdr:cNvGraphicFramePr>
        </xdr:nvGraphicFramePr>
        <xdr:xfrm>
          <a:off x="10480852800" y="3455670"/>
          <a:ext cx="4572000" cy="246126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14</xdr:col>
      <xdr:colOff>4227</xdr:colOff>
      <xdr:row>11</xdr:row>
      <xdr:rowOff>140969</xdr:rowOff>
    </xdr:from>
    <xdr:to>
      <xdr:col>20</xdr:col>
      <xdr:colOff>534771</xdr:colOff>
      <xdr:row>28</xdr:row>
      <xdr:rowOff>102869</xdr:rowOff>
    </xdr:to>
    <xdr:grpSp>
      <xdr:nvGrpSpPr>
        <xdr:cNvPr id="93" name="Group 92">
          <a:extLst>
            <a:ext uri="{FF2B5EF4-FFF2-40B4-BE49-F238E27FC236}">
              <a16:creationId xmlns:a16="http://schemas.microsoft.com/office/drawing/2014/main" id="{40DB22A2-B1C6-B9CE-3854-06A0808FDEE3}"/>
            </a:ext>
          </a:extLst>
        </xdr:cNvPr>
        <xdr:cNvGrpSpPr/>
      </xdr:nvGrpSpPr>
      <xdr:grpSpPr>
        <a:xfrm>
          <a:off x="10488404193" y="2467310"/>
          <a:ext cx="4376403" cy="3086100"/>
          <a:chOff x="10476298479" y="2887691"/>
          <a:chExt cx="4371024" cy="3090198"/>
        </a:xfrm>
      </xdr:grpSpPr>
      <xdr:grpSp>
        <xdr:nvGrpSpPr>
          <xdr:cNvPr id="74" name="Group 73">
            <a:extLst>
              <a:ext uri="{FF2B5EF4-FFF2-40B4-BE49-F238E27FC236}">
                <a16:creationId xmlns:a16="http://schemas.microsoft.com/office/drawing/2014/main" id="{39E899C7-4708-6459-39CE-21B7CB8C12EB}"/>
              </a:ext>
            </a:extLst>
          </xdr:cNvPr>
          <xdr:cNvGrpSpPr/>
        </xdr:nvGrpSpPr>
        <xdr:grpSpPr>
          <a:xfrm>
            <a:off x="10476298479" y="2887691"/>
            <a:ext cx="4371024" cy="3090198"/>
            <a:chOff x="10476283848" y="6096038"/>
            <a:chExt cx="2917486" cy="2556472"/>
          </a:xfrm>
        </xdr:grpSpPr>
        <xdr:sp macro="" textlink="">
          <xdr:nvSpPr>
            <xdr:cNvPr id="37" name="Rectangle: Top Corners Rounded 36">
              <a:extLst>
                <a:ext uri="{FF2B5EF4-FFF2-40B4-BE49-F238E27FC236}">
                  <a16:creationId xmlns:a16="http://schemas.microsoft.com/office/drawing/2014/main" id="{BC860958-162B-4292-B0F4-360CEBE6EB44}"/>
                </a:ext>
              </a:extLst>
            </xdr:cNvPr>
            <xdr:cNvSpPr/>
          </xdr:nvSpPr>
          <xdr:spPr>
            <a:xfrm rot="10800000">
              <a:off x="10476284398" y="6137910"/>
              <a:ext cx="2916936" cy="2514600"/>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38" name="Rectangle: Top Corners Rounded 37">
              <a:extLst>
                <a:ext uri="{FF2B5EF4-FFF2-40B4-BE49-F238E27FC236}">
                  <a16:creationId xmlns:a16="http://schemas.microsoft.com/office/drawing/2014/main" id="{FC6007CB-00BA-42C4-9132-CA389DECBDB6}"/>
                </a:ext>
              </a:extLst>
            </xdr:cNvPr>
            <xdr:cNvSpPr/>
          </xdr:nvSpPr>
          <xdr:spPr>
            <a:xfrm>
              <a:off x="10476283848" y="6096038"/>
              <a:ext cx="2908942" cy="372398"/>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400" b="1">
                  <a:solidFill>
                    <a:srgbClr val="003366"/>
                  </a:solidFill>
                </a:rPr>
                <a:t>Count Of Worker By Project</a:t>
              </a:r>
            </a:p>
          </xdr:txBody>
        </xdr:sp>
      </xdr:grpSp>
      <xdr:graphicFrame macro="">
        <xdr:nvGraphicFramePr>
          <xdr:cNvPr id="82" name="Chart 81">
            <a:extLst>
              <a:ext uri="{FF2B5EF4-FFF2-40B4-BE49-F238E27FC236}">
                <a16:creationId xmlns:a16="http://schemas.microsoft.com/office/drawing/2014/main" id="{5E8AE9C2-5D52-4645-A46D-119707AF95F2}"/>
              </a:ext>
            </a:extLst>
          </xdr:cNvPr>
          <xdr:cNvGraphicFramePr>
            <a:graphicFrameLocks/>
          </xdr:cNvGraphicFramePr>
        </xdr:nvGraphicFramePr>
        <xdr:xfrm>
          <a:off x="10476437010" y="3272790"/>
          <a:ext cx="4110990" cy="26289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16</xdr:col>
      <xdr:colOff>272143</xdr:colOff>
      <xdr:row>0</xdr:row>
      <xdr:rowOff>87085</xdr:rowOff>
    </xdr:from>
    <xdr:to>
      <xdr:col>20</xdr:col>
      <xdr:colOff>631372</xdr:colOff>
      <xdr:row>1</xdr:row>
      <xdr:rowOff>151212</xdr:rowOff>
    </xdr:to>
    <xdr:sp macro="" textlink="">
      <xdr:nvSpPr>
        <xdr:cNvPr id="3" name="Rectangle: Rounded Corners 2">
          <a:extLst>
            <a:ext uri="{FF2B5EF4-FFF2-40B4-BE49-F238E27FC236}">
              <a16:creationId xmlns:a16="http://schemas.microsoft.com/office/drawing/2014/main" id="{E657AE17-57A7-4BB2-ABE2-AA4323C3D6EB}"/>
            </a:ext>
          </a:extLst>
        </xdr:cNvPr>
        <xdr:cNvSpPr/>
      </xdr:nvSpPr>
      <xdr:spPr>
        <a:xfrm>
          <a:off x="10511833543" y="87085"/>
          <a:ext cx="2928257" cy="553984"/>
        </a:xfrm>
        <a:prstGeom prst="roundRect">
          <a:avLst>
            <a:gd name="adj" fmla="val 48715"/>
          </a:avLst>
        </a:prstGeom>
        <a:gradFill flip="none" rotWithShape="1">
          <a:gsLst>
            <a:gs pos="0">
              <a:srgbClr val="66FFFF"/>
            </a:gs>
            <a:gs pos="50000">
              <a:srgbClr val="CCFFFF"/>
            </a:gs>
            <a:gs pos="58850">
              <a:srgbClr val="5DADE2"/>
            </a:gs>
            <a:gs pos="100000">
              <a:srgbClr val="CCFFFF"/>
            </a:gs>
          </a:gsLst>
          <a:path path="circle">
            <a:fillToRect l="100000" t="100000"/>
          </a:path>
          <a:tileRect r="-100000" b="-100000"/>
        </a:gradFill>
        <a:ln w="12700">
          <a:gradFill flip="none" rotWithShape="1">
            <a:gsLst>
              <a:gs pos="0">
                <a:srgbClr val="FFFFFF"/>
              </a:gs>
              <a:gs pos="74000">
                <a:srgbClr val="A6ACAF"/>
              </a:gs>
              <a:gs pos="83000">
                <a:srgbClr val="A6ACAF"/>
              </a:gs>
              <a:gs pos="100000">
                <a:srgbClr val="A6ACAF">
                  <a:lumMod val="100000"/>
                </a:srgbClr>
              </a:gs>
            </a:gsLst>
            <a:lin ang="27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800" b="1">
              <a:solidFill>
                <a:schemeClr val="accent1">
                  <a:lumMod val="75000"/>
                </a:schemeClr>
              </a:solidFill>
              <a:latin typeface="Segoe UI" panose="020B0502040204020203" pitchFamily="34" charset="0"/>
              <a:cs typeface="Segoe UI" panose="020B0502040204020203" pitchFamily="34" charset="0"/>
            </a:rPr>
            <a:t>Project Cost Dashboard</a:t>
          </a:r>
        </a:p>
      </xdr:txBody>
    </xdr:sp>
    <xdr:clientData/>
  </xdr:twoCellAnchor>
  <xdr:twoCellAnchor>
    <xdr:from>
      <xdr:col>26</xdr:col>
      <xdr:colOff>136669</xdr:colOff>
      <xdr:row>35</xdr:row>
      <xdr:rowOff>10137</xdr:rowOff>
    </xdr:from>
    <xdr:to>
      <xdr:col>40</xdr:col>
      <xdr:colOff>239513</xdr:colOff>
      <xdr:row>36</xdr:row>
      <xdr:rowOff>138546</xdr:rowOff>
    </xdr:to>
    <xdr:sp macro="" textlink="">
      <xdr:nvSpPr>
        <xdr:cNvPr id="75" name="Rectangle: Top Corners Rounded 74">
          <a:extLst>
            <a:ext uri="{FF2B5EF4-FFF2-40B4-BE49-F238E27FC236}">
              <a16:creationId xmlns:a16="http://schemas.microsoft.com/office/drawing/2014/main" id="{EFBD895D-BAD5-4713-9F04-E8232FA59E96}"/>
            </a:ext>
          </a:extLst>
        </xdr:cNvPr>
        <xdr:cNvSpPr/>
      </xdr:nvSpPr>
      <xdr:spPr>
        <a:xfrm>
          <a:off x="10418489505" y="6618755"/>
          <a:ext cx="9025171" cy="308518"/>
        </a:xfrm>
        <a:prstGeom prst="round2SameRect">
          <a:avLst/>
        </a:prstGeom>
        <a:no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chemeClr val="bg1"/>
              </a:solidFill>
            </a:rPr>
            <a:t>Salary by Job Title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4</xdr:col>
      <xdr:colOff>240043</xdr:colOff>
      <xdr:row>0</xdr:row>
      <xdr:rowOff>0</xdr:rowOff>
    </xdr:from>
    <xdr:to>
      <xdr:col>20</xdr:col>
      <xdr:colOff>669485</xdr:colOff>
      <xdr:row>50</xdr:row>
      <xdr:rowOff>10886</xdr:rowOff>
    </xdr:to>
    <xdr:sp macro="" textlink="">
      <xdr:nvSpPr>
        <xdr:cNvPr id="2" name="Rectangle: Rounded Corners 1">
          <a:extLst>
            <a:ext uri="{FF2B5EF4-FFF2-40B4-BE49-F238E27FC236}">
              <a16:creationId xmlns:a16="http://schemas.microsoft.com/office/drawing/2014/main" id="{20650B2E-1256-4417-BC11-0B6273CDB9D1}"/>
            </a:ext>
          </a:extLst>
        </xdr:cNvPr>
        <xdr:cNvSpPr/>
      </xdr:nvSpPr>
      <xdr:spPr>
        <a:xfrm>
          <a:off x="10488767020" y="0"/>
          <a:ext cx="11335007" cy="9553815"/>
        </a:xfrm>
        <a:prstGeom prst="roundRect">
          <a:avLst>
            <a:gd name="adj" fmla="val 2114"/>
          </a:avLst>
        </a:prstGeom>
        <a:gradFill flip="none" rotWithShape="1">
          <a:gsLst>
            <a:gs pos="0">
              <a:srgbClr val="5DADE2">
                <a:shade val="30000"/>
                <a:satMod val="115000"/>
              </a:srgbClr>
            </a:gs>
            <a:gs pos="50000">
              <a:srgbClr val="5DADE2">
                <a:shade val="67500"/>
                <a:satMod val="115000"/>
              </a:srgbClr>
            </a:gs>
            <a:gs pos="100000">
              <a:srgbClr val="5DADE2">
                <a:shade val="100000"/>
                <a:satMod val="115000"/>
              </a:srgbClr>
            </a:gs>
          </a:gsLst>
          <a:lin ang="0" scaled="1"/>
          <a:tileRect/>
        </a:gradFill>
        <a:ln>
          <a:solidFill>
            <a:srgbClr val="C7CCD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endParaRPr lang="en-US"/>
        </a:p>
      </xdr:txBody>
    </xdr:sp>
    <xdr:clientData/>
  </xdr:twoCellAnchor>
  <xdr:twoCellAnchor>
    <xdr:from>
      <xdr:col>18</xdr:col>
      <xdr:colOff>501286</xdr:colOff>
      <xdr:row>2</xdr:row>
      <xdr:rowOff>135799</xdr:rowOff>
    </xdr:from>
    <xdr:to>
      <xdr:col>20</xdr:col>
      <xdr:colOff>588372</xdr:colOff>
      <xdr:row>6</xdr:row>
      <xdr:rowOff>124368</xdr:rowOff>
    </xdr:to>
    <xdr:grpSp>
      <xdr:nvGrpSpPr>
        <xdr:cNvPr id="65" name="Group 64">
          <a:extLst>
            <a:ext uri="{FF2B5EF4-FFF2-40B4-BE49-F238E27FC236}">
              <a16:creationId xmlns:a16="http://schemas.microsoft.com/office/drawing/2014/main" id="{1C7C793A-5677-BAAF-0983-37EE7EB716A4}"/>
            </a:ext>
          </a:extLst>
        </xdr:cNvPr>
        <xdr:cNvGrpSpPr/>
      </xdr:nvGrpSpPr>
      <xdr:grpSpPr>
        <a:xfrm>
          <a:off x="10488848133" y="808152"/>
          <a:ext cx="1369039" cy="723675"/>
          <a:chOff x="10512339185" y="810441"/>
          <a:chExt cx="2105841" cy="728798"/>
        </a:xfrm>
      </xdr:grpSpPr>
      <xdr:sp macro="" textlink="">
        <xdr:nvSpPr>
          <xdr:cNvPr id="4" name="Rectangle: Rounded Corners 3">
            <a:extLst>
              <a:ext uri="{FF2B5EF4-FFF2-40B4-BE49-F238E27FC236}">
                <a16:creationId xmlns:a16="http://schemas.microsoft.com/office/drawing/2014/main" id="{EF2728FC-5E98-4055-EE5D-48E7EC578E45}"/>
              </a:ext>
            </a:extLst>
          </xdr:cNvPr>
          <xdr:cNvSpPr/>
        </xdr:nvSpPr>
        <xdr:spPr>
          <a:xfrm>
            <a:off x="10512380800" y="810441"/>
            <a:ext cx="2064226" cy="728798"/>
          </a:xfrm>
          <a:prstGeom prst="roundRect">
            <a:avLst>
              <a:gd name="adj" fmla="val 27712"/>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5" name="TextBox 4">
            <a:extLst>
              <a:ext uri="{FF2B5EF4-FFF2-40B4-BE49-F238E27FC236}">
                <a16:creationId xmlns:a16="http://schemas.microsoft.com/office/drawing/2014/main" id="{A3DFE906-29E9-FD2F-7F61-221BB67154D9}"/>
              </a:ext>
            </a:extLst>
          </xdr:cNvPr>
          <xdr:cNvSpPr txBox="1"/>
        </xdr:nvSpPr>
        <xdr:spPr>
          <a:xfrm>
            <a:off x="10512358101" y="840093"/>
            <a:ext cx="2069452" cy="273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Total Net Salary </a:t>
            </a:r>
          </a:p>
        </xdr:txBody>
      </xdr:sp>
      <xdr:sp macro="" textlink="Pivot_Tables!C5">
        <xdr:nvSpPr>
          <xdr:cNvPr id="6" name="TextBox 5">
            <a:extLst>
              <a:ext uri="{FF2B5EF4-FFF2-40B4-BE49-F238E27FC236}">
                <a16:creationId xmlns:a16="http://schemas.microsoft.com/office/drawing/2014/main" id="{72F3D485-E61F-1F42-4964-B696BCDC6EF0}"/>
              </a:ext>
            </a:extLst>
          </xdr:cNvPr>
          <xdr:cNvSpPr txBox="1"/>
        </xdr:nvSpPr>
        <xdr:spPr>
          <a:xfrm>
            <a:off x="10512339185" y="1169281"/>
            <a:ext cx="2060443" cy="27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3486E457-1DBE-427C-9F00-A938F39FD649}"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 12,846 </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16</xdr:col>
      <xdr:colOff>216581</xdr:colOff>
      <xdr:row>2</xdr:row>
      <xdr:rowOff>135799</xdr:rowOff>
    </xdr:from>
    <xdr:to>
      <xdr:col>18</xdr:col>
      <xdr:colOff>303667</xdr:colOff>
      <xdr:row>6</xdr:row>
      <xdr:rowOff>124368</xdr:rowOff>
    </xdr:to>
    <xdr:grpSp>
      <xdr:nvGrpSpPr>
        <xdr:cNvPr id="66" name="Group 65">
          <a:extLst>
            <a:ext uri="{FF2B5EF4-FFF2-40B4-BE49-F238E27FC236}">
              <a16:creationId xmlns:a16="http://schemas.microsoft.com/office/drawing/2014/main" id="{170BC6D6-C393-50ED-1D73-FA2F9C95D537}"/>
            </a:ext>
          </a:extLst>
        </xdr:cNvPr>
        <xdr:cNvGrpSpPr/>
      </xdr:nvGrpSpPr>
      <xdr:grpSpPr>
        <a:xfrm>
          <a:off x="10490414791" y="808152"/>
          <a:ext cx="1369039" cy="723675"/>
          <a:chOff x="10514720405" y="810441"/>
          <a:chExt cx="2073458" cy="728798"/>
        </a:xfrm>
      </xdr:grpSpPr>
      <xdr:sp macro="" textlink="">
        <xdr:nvSpPr>
          <xdr:cNvPr id="8" name="Rectangle: Rounded Corners 7">
            <a:extLst>
              <a:ext uri="{FF2B5EF4-FFF2-40B4-BE49-F238E27FC236}">
                <a16:creationId xmlns:a16="http://schemas.microsoft.com/office/drawing/2014/main" id="{30CD2947-22DB-1F39-8656-9853EE974E4F}"/>
              </a:ext>
            </a:extLst>
          </xdr:cNvPr>
          <xdr:cNvSpPr/>
        </xdr:nvSpPr>
        <xdr:spPr>
          <a:xfrm>
            <a:off x="10514729863" y="810441"/>
            <a:ext cx="2064000" cy="728798"/>
          </a:xfrm>
          <a:prstGeom prst="roundRect">
            <a:avLst>
              <a:gd name="adj" fmla="val 29206"/>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9" name="TextBox 8">
            <a:extLst>
              <a:ext uri="{FF2B5EF4-FFF2-40B4-BE49-F238E27FC236}">
                <a16:creationId xmlns:a16="http://schemas.microsoft.com/office/drawing/2014/main" id="{5C364F2A-B5E6-5DCB-E7EA-016AD042B3E3}"/>
              </a:ext>
            </a:extLst>
          </xdr:cNvPr>
          <xdr:cNvSpPr txBox="1"/>
        </xdr:nvSpPr>
        <xdr:spPr>
          <a:xfrm>
            <a:off x="10514720406" y="874694"/>
            <a:ext cx="2036469" cy="268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Max Salary </a:t>
            </a:r>
          </a:p>
        </xdr:txBody>
      </xdr:sp>
      <xdr:sp macro="" textlink="Pivot_Tables!$D$5">
        <xdr:nvSpPr>
          <xdr:cNvPr id="10" name="TextBox 9">
            <a:extLst>
              <a:ext uri="{FF2B5EF4-FFF2-40B4-BE49-F238E27FC236}">
                <a16:creationId xmlns:a16="http://schemas.microsoft.com/office/drawing/2014/main" id="{7B28D1CD-C988-89C2-675E-89A8CBF70FA3}"/>
              </a:ext>
            </a:extLst>
          </xdr:cNvPr>
          <xdr:cNvSpPr txBox="1"/>
        </xdr:nvSpPr>
        <xdr:spPr>
          <a:xfrm>
            <a:off x="10514720405" y="1180401"/>
            <a:ext cx="2040252" cy="273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9689A1AD-6F60-4690-9E35-4DB637E7739B}"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 2,300 </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13</xdr:col>
      <xdr:colOff>574134</xdr:colOff>
      <xdr:row>2</xdr:row>
      <xdr:rowOff>135799</xdr:rowOff>
    </xdr:from>
    <xdr:to>
      <xdr:col>16</xdr:col>
      <xdr:colOff>18962</xdr:colOff>
      <xdr:row>6</xdr:row>
      <xdr:rowOff>124368</xdr:rowOff>
    </xdr:to>
    <xdr:grpSp>
      <xdr:nvGrpSpPr>
        <xdr:cNvPr id="67" name="Group 66">
          <a:extLst>
            <a:ext uri="{FF2B5EF4-FFF2-40B4-BE49-F238E27FC236}">
              <a16:creationId xmlns:a16="http://schemas.microsoft.com/office/drawing/2014/main" id="{2A0C2A28-5DF4-7B71-A91F-883DEE568DF7}"/>
            </a:ext>
          </a:extLst>
        </xdr:cNvPr>
        <xdr:cNvGrpSpPr/>
      </xdr:nvGrpSpPr>
      <xdr:grpSpPr>
        <a:xfrm>
          <a:off x="10491981449" y="808152"/>
          <a:ext cx="1367758" cy="723675"/>
          <a:chOff x="10517139365" y="810441"/>
          <a:chExt cx="2063931" cy="728798"/>
        </a:xfrm>
      </xdr:grpSpPr>
      <xdr:sp macro="" textlink="">
        <xdr:nvSpPr>
          <xdr:cNvPr id="12" name="Rectangle: Rounded Corners 11">
            <a:extLst>
              <a:ext uri="{FF2B5EF4-FFF2-40B4-BE49-F238E27FC236}">
                <a16:creationId xmlns:a16="http://schemas.microsoft.com/office/drawing/2014/main" id="{BD6F62E8-3AF2-00E8-5787-EE5E340F8BA9}"/>
              </a:ext>
            </a:extLst>
          </xdr:cNvPr>
          <xdr:cNvSpPr/>
        </xdr:nvSpPr>
        <xdr:spPr>
          <a:xfrm>
            <a:off x="10517139365" y="810441"/>
            <a:ext cx="2063931" cy="728798"/>
          </a:xfrm>
          <a:prstGeom prst="roundRect">
            <a:avLst>
              <a:gd name="adj" fmla="val 29952"/>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13" name="TextBox 12">
            <a:extLst>
              <a:ext uri="{FF2B5EF4-FFF2-40B4-BE49-F238E27FC236}">
                <a16:creationId xmlns:a16="http://schemas.microsoft.com/office/drawing/2014/main" id="{0AD589C3-E60C-59AA-F85B-0B24997DBFF9}"/>
              </a:ext>
            </a:extLst>
          </xdr:cNvPr>
          <xdr:cNvSpPr txBox="1"/>
        </xdr:nvSpPr>
        <xdr:spPr>
          <a:xfrm>
            <a:off x="10517177608" y="870987"/>
            <a:ext cx="1944362" cy="268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Min Salary</a:t>
            </a:r>
          </a:p>
        </xdr:txBody>
      </xdr:sp>
      <xdr:sp macro="" textlink="Pivot_Tables!E5">
        <xdr:nvSpPr>
          <xdr:cNvPr id="14" name="TextBox 13">
            <a:extLst>
              <a:ext uri="{FF2B5EF4-FFF2-40B4-BE49-F238E27FC236}">
                <a16:creationId xmlns:a16="http://schemas.microsoft.com/office/drawing/2014/main" id="{458BD78C-2CB9-8A42-3D33-88584969F865}"/>
              </a:ext>
            </a:extLst>
          </xdr:cNvPr>
          <xdr:cNvSpPr txBox="1"/>
        </xdr:nvSpPr>
        <xdr:spPr>
          <a:xfrm>
            <a:off x="10517177608" y="1161868"/>
            <a:ext cx="1944362" cy="27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E3FF3D9C-C973-4808-A009-5500916A18FA}"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 1,100 </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11</xdr:col>
      <xdr:colOff>289429</xdr:colOff>
      <xdr:row>2</xdr:row>
      <xdr:rowOff>135799</xdr:rowOff>
    </xdr:from>
    <xdr:to>
      <xdr:col>13</xdr:col>
      <xdr:colOff>376515</xdr:colOff>
      <xdr:row>6</xdr:row>
      <xdr:rowOff>124368</xdr:rowOff>
    </xdr:to>
    <xdr:grpSp>
      <xdr:nvGrpSpPr>
        <xdr:cNvPr id="68" name="Group 67">
          <a:extLst>
            <a:ext uri="{FF2B5EF4-FFF2-40B4-BE49-F238E27FC236}">
              <a16:creationId xmlns:a16="http://schemas.microsoft.com/office/drawing/2014/main" id="{E8C38B02-F2B2-5F7E-1FD8-42448057C60E}"/>
            </a:ext>
          </a:extLst>
        </xdr:cNvPr>
        <xdr:cNvGrpSpPr/>
      </xdr:nvGrpSpPr>
      <xdr:grpSpPr>
        <a:xfrm>
          <a:off x="10493546826" y="808152"/>
          <a:ext cx="1369039" cy="723675"/>
          <a:chOff x="10519490379" y="810441"/>
          <a:chExt cx="2063932" cy="728798"/>
        </a:xfrm>
      </xdr:grpSpPr>
      <xdr:sp macro="" textlink="">
        <xdr:nvSpPr>
          <xdr:cNvPr id="16" name="Rectangle: Rounded Corners 15">
            <a:extLst>
              <a:ext uri="{FF2B5EF4-FFF2-40B4-BE49-F238E27FC236}">
                <a16:creationId xmlns:a16="http://schemas.microsoft.com/office/drawing/2014/main" id="{B1444D77-D181-D831-C990-EE2FA0770D66}"/>
              </a:ext>
            </a:extLst>
          </xdr:cNvPr>
          <xdr:cNvSpPr/>
        </xdr:nvSpPr>
        <xdr:spPr>
          <a:xfrm>
            <a:off x="10519490379" y="810441"/>
            <a:ext cx="2063932" cy="728798"/>
          </a:xfrm>
          <a:prstGeom prst="roundRect">
            <a:avLst>
              <a:gd name="adj" fmla="val 37421"/>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17" name="TextBox 16">
            <a:extLst>
              <a:ext uri="{FF2B5EF4-FFF2-40B4-BE49-F238E27FC236}">
                <a16:creationId xmlns:a16="http://schemas.microsoft.com/office/drawing/2014/main" id="{30C3C8AA-1DD9-F37E-36A8-5CD6CDDD5A0C}"/>
              </a:ext>
            </a:extLst>
          </xdr:cNvPr>
          <xdr:cNvSpPr txBox="1"/>
        </xdr:nvSpPr>
        <xdr:spPr>
          <a:xfrm>
            <a:off x="10519529460" y="870987"/>
            <a:ext cx="2004047" cy="2686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1200" b="1">
                <a:solidFill>
                  <a:srgbClr val="002060"/>
                </a:solidFill>
                <a:latin typeface="Segoe UI" panose="020B0502040204020203" pitchFamily="34" charset="0"/>
                <a:ea typeface="Segoe UI Black" panose="020B0A02040204020203" pitchFamily="34" charset="0"/>
                <a:cs typeface="Segoe UI" panose="020B0502040204020203" pitchFamily="34" charset="0"/>
              </a:rPr>
              <a:t>Avg Salary </a:t>
            </a:r>
          </a:p>
        </xdr:txBody>
      </xdr:sp>
      <xdr:sp macro="" textlink="Pivot_Tables!F5">
        <xdr:nvSpPr>
          <xdr:cNvPr id="18" name="TextBox 17">
            <a:extLst>
              <a:ext uri="{FF2B5EF4-FFF2-40B4-BE49-F238E27FC236}">
                <a16:creationId xmlns:a16="http://schemas.microsoft.com/office/drawing/2014/main" id="{C8B0DF95-DD0C-73F0-9384-24BB062A994A}"/>
              </a:ext>
            </a:extLst>
          </xdr:cNvPr>
          <xdr:cNvSpPr txBox="1"/>
        </xdr:nvSpPr>
        <xdr:spPr>
          <a:xfrm>
            <a:off x="10519546072" y="1184107"/>
            <a:ext cx="1967886" cy="273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B9DFC444-789B-49D8-9AEE-5D8699A76226}"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 1,681 </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397504</xdr:colOff>
      <xdr:row>0</xdr:row>
      <xdr:rowOff>175804</xdr:rowOff>
    </xdr:from>
    <xdr:to>
      <xdr:col>9</xdr:col>
      <xdr:colOff>424936</xdr:colOff>
      <xdr:row>1</xdr:row>
      <xdr:rowOff>155121</xdr:rowOff>
    </xdr:to>
    <xdr:sp macro="" textlink="">
      <xdr:nvSpPr>
        <xdr:cNvPr id="19" name="Flowchart: Display 18">
          <a:hlinkClick xmlns:r="http://schemas.openxmlformats.org/officeDocument/2006/relationships" r:id="rId1"/>
          <a:extLst>
            <a:ext uri="{FF2B5EF4-FFF2-40B4-BE49-F238E27FC236}">
              <a16:creationId xmlns:a16="http://schemas.microsoft.com/office/drawing/2014/main" id="{835D709F-D660-42BB-82C8-D8374DE3F5A2}"/>
            </a:ext>
          </a:extLst>
        </xdr:cNvPr>
        <xdr:cNvSpPr/>
      </xdr:nvSpPr>
      <xdr:spPr>
        <a:xfrm>
          <a:off x="10496062311" y="175804"/>
          <a:ext cx="1950361" cy="467893"/>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rgbClr val="5DADE2">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300" b="1">
              <a:solidFill>
                <a:srgbClr val="002060"/>
              </a:solidFill>
              <a:latin typeface="+mn-lt"/>
              <a:ea typeface="+mn-ea"/>
              <a:cs typeface="Segoe UI" panose="020B0502040204020203" pitchFamily="34" charset="0"/>
            </a:rPr>
            <a:t>Payroll Analysis</a:t>
          </a:r>
        </a:p>
      </xdr:txBody>
    </xdr:sp>
    <xdr:clientData/>
  </xdr:twoCellAnchor>
  <xdr:twoCellAnchor>
    <xdr:from>
      <xdr:col>9</xdr:col>
      <xdr:colOff>488776</xdr:colOff>
      <xdr:row>0</xdr:row>
      <xdr:rowOff>175804</xdr:rowOff>
    </xdr:from>
    <xdr:to>
      <xdr:col>12</xdr:col>
      <xdr:colOff>519256</xdr:colOff>
      <xdr:row>1</xdr:row>
      <xdr:rowOff>155121</xdr:rowOff>
    </xdr:to>
    <xdr:sp macro="" textlink="">
      <xdr:nvSpPr>
        <xdr:cNvPr id="20" name="Flowchart: Display 19">
          <a:hlinkClick xmlns:r="http://schemas.openxmlformats.org/officeDocument/2006/relationships" r:id="rId2"/>
          <a:extLst>
            <a:ext uri="{FF2B5EF4-FFF2-40B4-BE49-F238E27FC236}">
              <a16:creationId xmlns:a16="http://schemas.microsoft.com/office/drawing/2014/main" id="{35777C12-C9AF-47A2-9E3A-7EBFB3C94C24}"/>
            </a:ext>
          </a:extLst>
        </xdr:cNvPr>
        <xdr:cNvSpPr/>
      </xdr:nvSpPr>
      <xdr:spPr>
        <a:xfrm>
          <a:off x="10494045061" y="175804"/>
          <a:ext cx="1953410" cy="467893"/>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rgbClr val="5DADE2">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rtl="1"/>
          <a:r>
            <a:rPr lang="en-US" sz="1400" b="1">
              <a:solidFill>
                <a:srgbClr val="002060"/>
              </a:solidFill>
              <a:latin typeface="Segoe UI" panose="020B0502040204020203" pitchFamily="34" charset="0"/>
              <a:ea typeface="+mn-ea"/>
              <a:cs typeface="Segoe UI" panose="020B0502040204020203" pitchFamily="34" charset="0"/>
            </a:rPr>
            <a:t>Project Cost Aalysis</a:t>
          </a:r>
        </a:p>
      </xdr:txBody>
    </xdr:sp>
    <xdr:clientData/>
  </xdr:twoCellAnchor>
  <xdr:twoCellAnchor>
    <xdr:from>
      <xdr:col>12</xdr:col>
      <xdr:colOff>593983</xdr:colOff>
      <xdr:row>0</xdr:row>
      <xdr:rowOff>143147</xdr:rowOff>
    </xdr:from>
    <xdr:to>
      <xdr:col>15</xdr:col>
      <xdr:colOff>621415</xdr:colOff>
      <xdr:row>1</xdr:row>
      <xdr:rowOff>122464</xdr:rowOff>
    </xdr:to>
    <xdr:sp macro="" textlink="">
      <xdr:nvSpPr>
        <xdr:cNvPr id="21" name="Flowchart: Display 20">
          <a:hlinkClick xmlns:r="http://schemas.openxmlformats.org/officeDocument/2006/relationships" r:id="rId3"/>
          <a:extLst>
            <a:ext uri="{FF2B5EF4-FFF2-40B4-BE49-F238E27FC236}">
              <a16:creationId xmlns:a16="http://schemas.microsoft.com/office/drawing/2014/main" id="{570AAA04-41C7-4D56-860B-FCFF3735E5F7}"/>
            </a:ext>
          </a:extLst>
        </xdr:cNvPr>
        <xdr:cNvSpPr/>
      </xdr:nvSpPr>
      <xdr:spPr>
        <a:xfrm>
          <a:off x="10492019973" y="143147"/>
          <a:ext cx="1950361" cy="467893"/>
        </a:xfrm>
        <a:prstGeom prst="flowChartDisplay">
          <a:avLst/>
        </a:prstGeom>
        <a:solidFill>
          <a:srgbClr val="66FFF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63500">
            <a:srgbClr val="5DADE2">
              <a:alpha val="40000"/>
            </a:srgb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2060"/>
              </a:solidFill>
              <a:latin typeface="Segoe UI" panose="020B0502040204020203" pitchFamily="34" charset="0"/>
              <a:cs typeface="Segoe UI" panose="020B0502040204020203" pitchFamily="34" charset="0"/>
            </a:rPr>
            <a:t>HR Aalysis</a:t>
          </a:r>
        </a:p>
      </xdr:txBody>
    </xdr:sp>
    <xdr:clientData/>
  </xdr:twoCellAnchor>
  <xdr:twoCellAnchor>
    <xdr:from>
      <xdr:col>16</xdr:col>
      <xdr:colOff>34290</xdr:colOff>
      <xdr:row>0</xdr:row>
      <xdr:rowOff>83821</xdr:rowOff>
    </xdr:from>
    <xdr:to>
      <xdr:col>20</xdr:col>
      <xdr:colOff>615044</xdr:colOff>
      <xdr:row>2</xdr:row>
      <xdr:rowOff>38101</xdr:rowOff>
    </xdr:to>
    <xdr:sp macro="" textlink="">
      <xdr:nvSpPr>
        <xdr:cNvPr id="22" name="Rectangle: Rounded Corners 21">
          <a:extLst>
            <a:ext uri="{FF2B5EF4-FFF2-40B4-BE49-F238E27FC236}">
              <a16:creationId xmlns:a16="http://schemas.microsoft.com/office/drawing/2014/main" id="{29E31B2F-D246-47F2-AF57-1EF1A7C8096C}"/>
            </a:ext>
          </a:extLst>
        </xdr:cNvPr>
        <xdr:cNvSpPr/>
      </xdr:nvSpPr>
      <xdr:spPr>
        <a:xfrm>
          <a:off x="10488821461" y="83821"/>
          <a:ext cx="3144660" cy="626633"/>
        </a:xfrm>
        <a:prstGeom prst="roundRect">
          <a:avLst>
            <a:gd name="adj" fmla="val 48715"/>
          </a:avLst>
        </a:prstGeom>
        <a:gradFill flip="none" rotWithShape="1">
          <a:gsLst>
            <a:gs pos="0">
              <a:srgbClr val="66FFFF"/>
            </a:gs>
            <a:gs pos="50000">
              <a:srgbClr val="CCFFFF"/>
            </a:gs>
            <a:gs pos="58850">
              <a:srgbClr val="5DADE2"/>
            </a:gs>
            <a:gs pos="100000">
              <a:srgbClr val="CCFFFF"/>
            </a:gs>
          </a:gsLst>
          <a:path path="circle">
            <a:fillToRect l="100000" t="100000"/>
          </a:path>
          <a:tileRect r="-100000" b="-100000"/>
        </a:gradFill>
        <a:ln w="12700">
          <a:gradFill flip="none" rotWithShape="1">
            <a:gsLst>
              <a:gs pos="0">
                <a:srgbClr val="FFFFFF"/>
              </a:gs>
              <a:gs pos="74000">
                <a:srgbClr val="A6ACAF"/>
              </a:gs>
              <a:gs pos="83000">
                <a:srgbClr val="A6ACAF"/>
              </a:gs>
              <a:gs pos="100000">
                <a:srgbClr val="A6ACAF">
                  <a:lumMod val="100000"/>
                </a:srgbClr>
              </a:gs>
            </a:gsLst>
            <a:lin ang="2700000" scaled="1"/>
            <a:tileRect/>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2800" b="1">
              <a:solidFill>
                <a:schemeClr val="accent1">
                  <a:lumMod val="75000"/>
                </a:schemeClr>
              </a:solidFill>
              <a:latin typeface="Segoe UI" panose="020B0502040204020203" pitchFamily="34" charset="0"/>
              <a:cs typeface="Segoe UI" panose="020B0502040204020203" pitchFamily="34" charset="0"/>
            </a:rPr>
            <a:t>Payroll</a:t>
          </a:r>
          <a:r>
            <a:rPr lang="en-US" sz="2800" b="1" baseline="0">
              <a:solidFill>
                <a:schemeClr val="accent1">
                  <a:lumMod val="75000"/>
                </a:schemeClr>
              </a:solidFill>
              <a:latin typeface="Segoe UI" panose="020B0502040204020203" pitchFamily="34" charset="0"/>
              <a:cs typeface="Segoe UI" panose="020B0502040204020203" pitchFamily="34" charset="0"/>
            </a:rPr>
            <a:t> Analysis</a:t>
          </a:r>
          <a:endParaRPr lang="en-US" sz="2800" b="1">
            <a:solidFill>
              <a:schemeClr val="accent1">
                <a:lumMod val="75000"/>
              </a:schemeClr>
            </a:solidFill>
            <a:latin typeface="Segoe UI" panose="020B0502040204020203" pitchFamily="34" charset="0"/>
            <a:cs typeface="Segoe UI" panose="020B0502040204020203" pitchFamily="34" charset="0"/>
          </a:endParaRPr>
        </a:p>
      </xdr:txBody>
    </xdr:sp>
    <xdr:clientData/>
  </xdr:twoCellAnchor>
  <xdr:twoCellAnchor>
    <xdr:from>
      <xdr:col>6</xdr:col>
      <xdr:colOff>375558</xdr:colOff>
      <xdr:row>21</xdr:row>
      <xdr:rowOff>71297</xdr:rowOff>
    </xdr:from>
    <xdr:to>
      <xdr:col>16</xdr:col>
      <xdr:colOff>11170</xdr:colOff>
      <xdr:row>35</xdr:row>
      <xdr:rowOff>25576</xdr:rowOff>
    </xdr:to>
    <xdr:grpSp>
      <xdr:nvGrpSpPr>
        <xdr:cNvPr id="27" name="Group 26">
          <a:extLst>
            <a:ext uri="{FF2B5EF4-FFF2-40B4-BE49-F238E27FC236}">
              <a16:creationId xmlns:a16="http://schemas.microsoft.com/office/drawing/2014/main" id="{E6986443-EABD-4270-A597-A2A6F6E6C918}"/>
            </a:ext>
          </a:extLst>
        </xdr:cNvPr>
        <xdr:cNvGrpSpPr/>
      </xdr:nvGrpSpPr>
      <xdr:grpSpPr>
        <a:xfrm>
          <a:off x="10491989241" y="4235403"/>
          <a:ext cx="6045377" cy="2576455"/>
          <a:chOff x="10515022773" y="4724944"/>
          <a:chExt cx="6001948" cy="2594065"/>
        </a:xfrm>
        <a:effectLst>
          <a:glow rad="101600">
            <a:schemeClr val="accent5">
              <a:satMod val="175000"/>
              <a:alpha val="40000"/>
            </a:schemeClr>
          </a:glow>
        </a:effectLst>
      </xdr:grpSpPr>
      <xdr:sp macro="" textlink="">
        <xdr:nvSpPr>
          <xdr:cNvPr id="28" name="Rectangle: Top Corners Rounded 27">
            <a:extLst>
              <a:ext uri="{FF2B5EF4-FFF2-40B4-BE49-F238E27FC236}">
                <a16:creationId xmlns:a16="http://schemas.microsoft.com/office/drawing/2014/main" id="{33CA4071-E5E0-F0B4-4BD9-C2DE78112E42}"/>
              </a:ext>
            </a:extLst>
          </xdr:cNvPr>
          <xdr:cNvSpPr/>
        </xdr:nvSpPr>
        <xdr:spPr>
          <a:xfrm rot="10800000">
            <a:off x="10515022773" y="4827814"/>
            <a:ext cx="6001948" cy="2491195"/>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29" name="Rectangle: Top Corners Rounded 28">
            <a:extLst>
              <a:ext uri="{FF2B5EF4-FFF2-40B4-BE49-F238E27FC236}">
                <a16:creationId xmlns:a16="http://schemas.microsoft.com/office/drawing/2014/main" id="{F2FBFBA3-A287-E37C-256E-905A8CBF9E1B}"/>
              </a:ext>
            </a:extLst>
          </xdr:cNvPr>
          <xdr:cNvSpPr/>
        </xdr:nvSpPr>
        <xdr:spPr>
          <a:xfrm>
            <a:off x="10515039385" y="4724944"/>
            <a:ext cx="5970815" cy="444137"/>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Highest Payroll Cost by Job Title</a:t>
            </a:r>
          </a:p>
        </xdr:txBody>
      </xdr:sp>
    </xdr:grpSp>
    <xdr:clientData/>
  </xdr:twoCellAnchor>
  <xdr:twoCellAnchor>
    <xdr:from>
      <xdr:col>11</xdr:col>
      <xdr:colOff>206829</xdr:colOff>
      <xdr:row>7</xdr:row>
      <xdr:rowOff>81639</xdr:rowOff>
    </xdr:from>
    <xdr:to>
      <xdr:col>16</xdr:col>
      <xdr:colOff>23856</xdr:colOff>
      <xdr:row>20</xdr:row>
      <xdr:rowOff>173623</xdr:rowOff>
    </xdr:to>
    <xdr:sp macro="" textlink="">
      <xdr:nvSpPr>
        <xdr:cNvPr id="32" name="Rectangle: Top Corners Rounded 31">
          <a:extLst>
            <a:ext uri="{FF2B5EF4-FFF2-40B4-BE49-F238E27FC236}">
              <a16:creationId xmlns:a16="http://schemas.microsoft.com/office/drawing/2014/main" id="{F32D72BA-29A9-8FA0-6AEB-B1E15FB3FBD1}"/>
            </a:ext>
          </a:extLst>
        </xdr:cNvPr>
        <xdr:cNvSpPr/>
      </xdr:nvSpPr>
      <xdr:spPr>
        <a:xfrm rot="10800000">
          <a:off x="10491976555" y="1672874"/>
          <a:ext cx="3021910" cy="2481078"/>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clientData/>
  </xdr:twoCellAnchor>
  <xdr:twoCellAnchor>
    <xdr:from>
      <xdr:col>11</xdr:col>
      <xdr:colOff>219345</xdr:colOff>
      <xdr:row>7</xdr:row>
      <xdr:rowOff>34287</xdr:rowOff>
    </xdr:from>
    <xdr:to>
      <xdr:col>16</xdr:col>
      <xdr:colOff>5285</xdr:colOff>
      <xdr:row>9</xdr:row>
      <xdr:rowOff>41085</xdr:rowOff>
    </xdr:to>
    <xdr:sp macro="" textlink="">
      <xdr:nvSpPr>
        <xdr:cNvPr id="33" name="Rectangle: Top Corners Rounded 32">
          <a:extLst>
            <a:ext uri="{FF2B5EF4-FFF2-40B4-BE49-F238E27FC236}">
              <a16:creationId xmlns:a16="http://schemas.microsoft.com/office/drawing/2014/main" id="{30CB05FA-C5CA-4993-37AB-9982EA9FDC99}"/>
            </a:ext>
          </a:extLst>
        </xdr:cNvPr>
        <xdr:cNvSpPr/>
      </xdr:nvSpPr>
      <xdr:spPr>
        <a:xfrm>
          <a:off x="10491995126" y="1625522"/>
          <a:ext cx="2990823" cy="374351"/>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Salary</a:t>
          </a:r>
          <a:r>
            <a:rPr lang="en-US" sz="1600" b="1" baseline="0">
              <a:solidFill>
                <a:srgbClr val="003366"/>
              </a:solidFill>
            </a:rPr>
            <a:t> By Department</a:t>
          </a:r>
          <a:endParaRPr lang="en-US" sz="1600" b="1">
            <a:solidFill>
              <a:srgbClr val="003366"/>
            </a:solidFill>
          </a:endParaRPr>
        </a:p>
      </xdr:txBody>
    </xdr:sp>
    <xdr:clientData/>
  </xdr:twoCellAnchor>
  <xdr:twoCellAnchor>
    <xdr:from>
      <xdr:col>6</xdr:col>
      <xdr:colOff>375014</xdr:colOff>
      <xdr:row>7</xdr:row>
      <xdr:rowOff>34287</xdr:rowOff>
    </xdr:from>
    <xdr:to>
      <xdr:col>11</xdr:col>
      <xdr:colOff>145044</xdr:colOff>
      <xdr:row>20</xdr:row>
      <xdr:rowOff>173624</xdr:rowOff>
    </xdr:to>
    <xdr:grpSp>
      <xdr:nvGrpSpPr>
        <xdr:cNvPr id="35" name="Group 34">
          <a:extLst>
            <a:ext uri="{FF2B5EF4-FFF2-40B4-BE49-F238E27FC236}">
              <a16:creationId xmlns:a16="http://schemas.microsoft.com/office/drawing/2014/main" id="{364A60D8-66E3-47B1-BF01-94D47850FCD5}"/>
            </a:ext>
          </a:extLst>
        </xdr:cNvPr>
        <xdr:cNvGrpSpPr/>
      </xdr:nvGrpSpPr>
      <xdr:grpSpPr>
        <a:xfrm>
          <a:off x="10495060250" y="1625522"/>
          <a:ext cx="2974912" cy="2528431"/>
          <a:chOff x="10518100174" y="2042704"/>
          <a:chExt cx="2925138" cy="2545080"/>
        </a:xfrm>
        <a:effectLst>
          <a:glow rad="101600">
            <a:schemeClr val="accent5">
              <a:satMod val="175000"/>
              <a:alpha val="40000"/>
            </a:schemeClr>
          </a:glow>
        </a:effectLst>
      </xdr:grpSpPr>
      <xdr:sp macro="" textlink="">
        <xdr:nvSpPr>
          <xdr:cNvPr id="36" name="Rectangle: Top Corners Rounded 35">
            <a:extLst>
              <a:ext uri="{FF2B5EF4-FFF2-40B4-BE49-F238E27FC236}">
                <a16:creationId xmlns:a16="http://schemas.microsoft.com/office/drawing/2014/main" id="{267C924C-CFE3-7492-2094-9F6CE7EA0483}"/>
              </a:ext>
            </a:extLst>
          </xdr:cNvPr>
          <xdr:cNvSpPr/>
        </xdr:nvSpPr>
        <xdr:spPr>
          <a:xfrm rot="10800000">
            <a:off x="10518100174" y="2106386"/>
            <a:ext cx="2925138" cy="2481398"/>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sp macro="" textlink="">
        <xdr:nvSpPr>
          <xdr:cNvPr id="37" name="Rectangle: Top Corners Rounded 36">
            <a:extLst>
              <a:ext uri="{FF2B5EF4-FFF2-40B4-BE49-F238E27FC236}">
                <a16:creationId xmlns:a16="http://schemas.microsoft.com/office/drawing/2014/main" id="{5F293CC5-256B-C5F5-6A97-1A68076F7103}"/>
              </a:ext>
            </a:extLst>
          </xdr:cNvPr>
          <xdr:cNvSpPr/>
        </xdr:nvSpPr>
        <xdr:spPr>
          <a:xfrm>
            <a:off x="10518109256" y="2042704"/>
            <a:ext cx="2910157" cy="376912"/>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400" b="1">
                <a:solidFill>
                  <a:srgbClr val="003366"/>
                </a:solidFill>
              </a:rPr>
              <a:t>Total Salary</a:t>
            </a:r>
            <a:r>
              <a:rPr lang="en-US" sz="1400" b="1" baseline="0">
                <a:solidFill>
                  <a:srgbClr val="003366"/>
                </a:solidFill>
              </a:rPr>
              <a:t> By Payment Method</a:t>
            </a:r>
            <a:endParaRPr lang="en-US" sz="1400" b="1">
              <a:solidFill>
                <a:srgbClr val="003366"/>
              </a:solidFill>
            </a:endParaRPr>
          </a:p>
        </xdr:txBody>
      </xdr:sp>
    </xdr:grpSp>
    <xdr:clientData/>
  </xdr:twoCellAnchor>
  <xdr:twoCellAnchor>
    <xdr:from>
      <xdr:col>16</xdr:col>
      <xdr:colOff>78286</xdr:colOff>
      <xdr:row>9</xdr:row>
      <xdr:rowOff>65314</xdr:rowOff>
    </xdr:from>
    <xdr:to>
      <xdr:col>20</xdr:col>
      <xdr:colOff>543639</xdr:colOff>
      <xdr:row>35</xdr:row>
      <xdr:rowOff>44625</xdr:rowOff>
    </xdr:to>
    <xdr:sp macro="" textlink="">
      <xdr:nvSpPr>
        <xdr:cNvPr id="40" name="Rectangle: Top Corners Rounded 39">
          <a:extLst>
            <a:ext uri="{FF2B5EF4-FFF2-40B4-BE49-F238E27FC236}">
              <a16:creationId xmlns:a16="http://schemas.microsoft.com/office/drawing/2014/main" id="{2E7123A6-BD8E-0174-834E-588AA9191CCB}"/>
            </a:ext>
          </a:extLst>
        </xdr:cNvPr>
        <xdr:cNvSpPr/>
      </xdr:nvSpPr>
      <xdr:spPr>
        <a:xfrm rot="10800000">
          <a:off x="10488892866" y="2024102"/>
          <a:ext cx="3029259" cy="4806805"/>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clientData/>
  </xdr:twoCellAnchor>
  <xdr:twoCellAnchor>
    <xdr:from>
      <xdr:col>16</xdr:col>
      <xdr:colOff>96862</xdr:colOff>
      <xdr:row>7</xdr:row>
      <xdr:rowOff>26650</xdr:rowOff>
    </xdr:from>
    <xdr:to>
      <xdr:col>20</xdr:col>
      <xdr:colOff>541646</xdr:colOff>
      <xdr:row>9</xdr:row>
      <xdr:rowOff>84451</xdr:rowOff>
    </xdr:to>
    <xdr:sp macro="" textlink="">
      <xdr:nvSpPr>
        <xdr:cNvPr id="41" name="Rectangle: Top Corners Rounded 40">
          <a:extLst>
            <a:ext uri="{FF2B5EF4-FFF2-40B4-BE49-F238E27FC236}">
              <a16:creationId xmlns:a16="http://schemas.microsoft.com/office/drawing/2014/main" id="{7FB76784-71F9-AB26-AD2B-3974FFD26107}"/>
            </a:ext>
          </a:extLst>
        </xdr:cNvPr>
        <xdr:cNvSpPr/>
      </xdr:nvSpPr>
      <xdr:spPr>
        <a:xfrm>
          <a:off x="10488894859" y="1617885"/>
          <a:ext cx="3008690" cy="425354"/>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Top</a:t>
          </a:r>
          <a:r>
            <a:rPr lang="en-US" sz="1600" b="1" baseline="0">
              <a:solidFill>
                <a:srgbClr val="003366"/>
              </a:solidFill>
            </a:rPr>
            <a:t> Employees by Salary</a:t>
          </a:r>
          <a:endParaRPr lang="en-US" sz="1600" b="1">
            <a:solidFill>
              <a:srgbClr val="003366"/>
            </a:solidFill>
          </a:endParaRPr>
        </a:p>
      </xdr:txBody>
    </xdr:sp>
    <xdr:clientData/>
  </xdr:twoCellAnchor>
  <xdr:twoCellAnchor>
    <xdr:from>
      <xdr:col>6</xdr:col>
      <xdr:colOff>372251</xdr:colOff>
      <xdr:row>36</xdr:row>
      <xdr:rowOff>40449</xdr:rowOff>
    </xdr:from>
    <xdr:to>
      <xdr:col>20</xdr:col>
      <xdr:colOff>563880</xdr:colOff>
      <xdr:row>49</xdr:row>
      <xdr:rowOff>82181</xdr:rowOff>
    </xdr:to>
    <xdr:sp macro="" textlink="">
      <xdr:nvSpPr>
        <xdr:cNvPr id="43" name="Rectangle: Top Corners Rounded 42">
          <a:extLst>
            <a:ext uri="{FF2B5EF4-FFF2-40B4-BE49-F238E27FC236}">
              <a16:creationId xmlns:a16="http://schemas.microsoft.com/office/drawing/2014/main" id="{BC8DA45D-217E-4CDF-ACBC-3475B41323C8}"/>
            </a:ext>
          </a:extLst>
        </xdr:cNvPr>
        <xdr:cNvSpPr/>
      </xdr:nvSpPr>
      <xdr:spPr>
        <a:xfrm rot="10800000">
          <a:off x="10488872625" y="7010508"/>
          <a:ext cx="9165300" cy="2430826"/>
        </a:xfrm>
        <a:prstGeom prst="round2SameRect">
          <a:avLst>
            <a:gd name="adj1" fmla="val 4491"/>
            <a:gd name="adj2" fmla="val 0"/>
          </a:avLst>
        </a:prstGeom>
        <a:solidFill>
          <a:srgbClr val="E9ECEF"/>
        </a:solidFill>
        <a:ln w="12700">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r" rtl="1"/>
          <a:endParaRPr lang="en-US" sz="1100">
            <a:solidFill>
              <a:schemeClr val="lt1"/>
            </a:solidFill>
            <a:latin typeface="+mn-lt"/>
            <a:ea typeface="+mn-ea"/>
            <a:cs typeface="+mn-cs"/>
          </a:endParaRPr>
        </a:p>
        <a:p>
          <a:pPr marL="0" indent="0" algn="r" rtl="1"/>
          <a:endParaRPr lang="en-US" sz="1100">
            <a:solidFill>
              <a:schemeClr val="lt1"/>
            </a:solidFill>
            <a:latin typeface="+mn-lt"/>
            <a:ea typeface="+mn-ea"/>
            <a:cs typeface="+mn-cs"/>
          </a:endParaRPr>
        </a:p>
      </xdr:txBody>
    </xdr:sp>
    <xdr:clientData/>
  </xdr:twoCellAnchor>
  <xdr:twoCellAnchor>
    <xdr:from>
      <xdr:col>6</xdr:col>
      <xdr:colOff>388574</xdr:colOff>
      <xdr:row>35</xdr:row>
      <xdr:rowOff>106130</xdr:rowOff>
    </xdr:from>
    <xdr:to>
      <xdr:col>20</xdr:col>
      <xdr:colOff>560691</xdr:colOff>
      <xdr:row>37</xdr:row>
      <xdr:rowOff>128189</xdr:rowOff>
    </xdr:to>
    <xdr:sp macro="" textlink="">
      <xdr:nvSpPr>
        <xdr:cNvPr id="45" name="Rectangle: Top Corners Rounded 44">
          <a:extLst>
            <a:ext uri="{FF2B5EF4-FFF2-40B4-BE49-F238E27FC236}">
              <a16:creationId xmlns:a16="http://schemas.microsoft.com/office/drawing/2014/main" id="{F8EBCAA5-BEBB-481E-9501-906BF7D81FA2}"/>
            </a:ext>
          </a:extLst>
        </xdr:cNvPr>
        <xdr:cNvSpPr/>
      </xdr:nvSpPr>
      <xdr:spPr>
        <a:xfrm>
          <a:off x="10488875814" y="6892412"/>
          <a:ext cx="9145788" cy="389612"/>
        </a:xfrm>
        <a:prstGeom prst="round2SameRect">
          <a:avLst/>
        </a:prstGeom>
        <a:gradFill>
          <a:gsLst>
            <a:gs pos="0">
              <a:srgbClr val="FFFFFF"/>
            </a:gs>
            <a:gs pos="74000">
              <a:srgbClr val="E9ECEF"/>
            </a:gs>
            <a:gs pos="83000">
              <a:srgbClr val="E9ECEF"/>
            </a:gs>
            <a:gs pos="100000">
              <a:srgbClr val="A6ACAF">
                <a:lumMod val="100000"/>
              </a:srgbClr>
            </a:gs>
          </a:gsLst>
          <a:lin ang="5400000" scaled="0"/>
        </a:gradFill>
        <a:ln>
          <a:solidFill>
            <a:srgbClr val="F4F6F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600" b="1">
              <a:solidFill>
                <a:srgbClr val="003366"/>
              </a:solidFill>
            </a:rPr>
            <a:t>Payroll Expenses Over Time</a:t>
          </a:r>
        </a:p>
      </xdr:txBody>
    </xdr:sp>
    <xdr:clientData/>
  </xdr:twoCellAnchor>
  <xdr:twoCellAnchor editAs="oneCell">
    <xdr:from>
      <xdr:col>4</xdr:col>
      <xdr:colOff>348344</xdr:colOff>
      <xdr:row>0</xdr:row>
      <xdr:rowOff>87088</xdr:rowOff>
    </xdr:from>
    <xdr:to>
      <xdr:col>6</xdr:col>
      <xdr:colOff>312094</xdr:colOff>
      <xdr:row>49</xdr:row>
      <xdr:rowOff>87086</xdr:rowOff>
    </xdr:to>
    <xdr:sp macro="" textlink="">
      <xdr:nvSpPr>
        <xdr:cNvPr id="46" name="Rectangle: Rounded Corners 45">
          <a:extLst>
            <a:ext uri="{FF2B5EF4-FFF2-40B4-BE49-F238E27FC236}">
              <a16:creationId xmlns:a16="http://schemas.microsoft.com/office/drawing/2014/main" id="{726163DE-6C6F-4CAC-967E-F34978E37C10}"/>
            </a:ext>
          </a:extLst>
        </xdr:cNvPr>
        <xdr:cNvSpPr/>
      </xdr:nvSpPr>
      <xdr:spPr>
        <a:xfrm>
          <a:off x="10498098082" y="87088"/>
          <a:ext cx="1895644" cy="9359151"/>
        </a:xfrm>
        <a:prstGeom prst="roundRect">
          <a:avLst>
            <a:gd name="adj" fmla="val 9788"/>
          </a:avLst>
        </a:prstGeom>
        <a:solidFill>
          <a:srgbClr val="5DADE2"/>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rtl="1"/>
          <a:endParaRPr lang="en-US"/>
        </a:p>
      </xdr:txBody>
    </xdr:sp>
    <xdr:clientData/>
  </xdr:twoCellAnchor>
  <xdr:twoCellAnchor editAs="oneCell">
    <xdr:from>
      <xdr:col>4</xdr:col>
      <xdr:colOff>421341</xdr:colOff>
      <xdr:row>7</xdr:row>
      <xdr:rowOff>161367</xdr:rowOff>
    </xdr:from>
    <xdr:to>
      <xdr:col>6</xdr:col>
      <xdr:colOff>249610</xdr:colOff>
      <xdr:row>24</xdr:row>
      <xdr:rowOff>71338</xdr:rowOff>
    </xdr:to>
    <mc:AlternateContent xmlns:mc="http://schemas.openxmlformats.org/markup-compatibility/2006" xmlns:a14="http://schemas.microsoft.com/office/drawing/2010/main">
      <mc:Choice Requires="a14">
        <xdr:graphicFrame macro="">
          <xdr:nvGraphicFramePr>
            <xdr:cNvPr id="47" name="Dept_Name 2">
              <a:extLst>
                <a:ext uri="{FF2B5EF4-FFF2-40B4-BE49-F238E27FC236}">
                  <a16:creationId xmlns:a16="http://schemas.microsoft.com/office/drawing/2014/main" id="{1C17EBA7-B3D2-4CB0-9E41-FA942DDF7B58}"/>
                </a:ext>
              </a:extLst>
            </xdr:cNvPr>
            <xdr:cNvGraphicFramePr/>
          </xdr:nvGraphicFramePr>
          <xdr:xfrm>
            <a:off x="0" y="0"/>
            <a:ext cx="0" cy="0"/>
          </xdr:xfrm>
          <a:graphic>
            <a:graphicData uri="http://schemas.microsoft.com/office/drawing/2010/slicer">
              <sle:slicer xmlns:sle="http://schemas.microsoft.com/office/drawing/2010/slicer" name="Dept_Name 2"/>
            </a:graphicData>
          </a:graphic>
        </xdr:graphicFrame>
      </mc:Choice>
      <mc:Fallback xmlns="">
        <xdr:sp macro="" textlink="">
          <xdr:nvSpPr>
            <xdr:cNvPr id="0" name=""/>
            <xdr:cNvSpPr>
              <a:spLocks noTextEdit="1"/>
            </xdr:cNvSpPr>
          </xdr:nvSpPr>
          <xdr:spPr>
            <a:xfrm>
              <a:off x="10500724472" y="1752602"/>
              <a:ext cx="1760163" cy="3083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374891</xdr:colOff>
      <xdr:row>24</xdr:row>
      <xdr:rowOff>79308</xdr:rowOff>
    </xdr:from>
    <xdr:to>
      <xdr:col>6</xdr:col>
      <xdr:colOff>272021</xdr:colOff>
      <xdr:row>43</xdr:row>
      <xdr:rowOff>49148</xdr:rowOff>
    </xdr:to>
    <mc:AlternateContent xmlns:mc="http://schemas.openxmlformats.org/markup-compatibility/2006" xmlns:a14="http://schemas.microsoft.com/office/drawing/2010/main">
      <mc:Choice Requires="a14">
        <xdr:graphicFrame macro="">
          <xdr:nvGraphicFramePr>
            <xdr:cNvPr id="50" name="Job_Title 2">
              <a:extLst>
                <a:ext uri="{FF2B5EF4-FFF2-40B4-BE49-F238E27FC236}">
                  <a16:creationId xmlns:a16="http://schemas.microsoft.com/office/drawing/2014/main" id="{A232FD07-3239-4151-B75B-D3D9778D2AFA}"/>
                </a:ext>
              </a:extLst>
            </xdr:cNvPr>
            <xdr:cNvGraphicFramePr/>
          </xdr:nvGraphicFramePr>
          <xdr:xfrm>
            <a:off x="0" y="0"/>
            <a:ext cx="0" cy="0"/>
          </xdr:xfrm>
          <a:graphic>
            <a:graphicData uri="http://schemas.microsoft.com/office/drawing/2010/slicer">
              <sle:slicer xmlns:sle="http://schemas.microsoft.com/office/drawing/2010/slicer" name="Job_Title 2"/>
            </a:graphicData>
          </a:graphic>
        </xdr:graphicFrame>
      </mc:Choice>
      <mc:Fallback xmlns="">
        <xdr:sp macro="" textlink="">
          <xdr:nvSpPr>
            <xdr:cNvPr id="0" name=""/>
            <xdr:cNvSpPr>
              <a:spLocks noTextEdit="1"/>
            </xdr:cNvSpPr>
          </xdr:nvSpPr>
          <xdr:spPr>
            <a:xfrm>
              <a:off x="10500702061" y="4844049"/>
              <a:ext cx="1829024" cy="3461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337457</xdr:colOff>
      <xdr:row>9</xdr:row>
      <xdr:rowOff>0</xdr:rowOff>
    </xdr:from>
    <xdr:to>
      <xdr:col>11</xdr:col>
      <xdr:colOff>214513</xdr:colOff>
      <xdr:row>21</xdr:row>
      <xdr:rowOff>24972</xdr:rowOff>
    </xdr:to>
    <xdr:graphicFrame macro="">
      <xdr:nvGraphicFramePr>
        <xdr:cNvPr id="58" name="Chart 57">
          <a:extLst>
            <a:ext uri="{FF2B5EF4-FFF2-40B4-BE49-F238E27FC236}">
              <a16:creationId xmlns:a16="http://schemas.microsoft.com/office/drawing/2014/main" id="{B15DE7BF-EFAF-4D1F-9C5E-516CA0E2D0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185059</xdr:colOff>
      <xdr:row>7</xdr:row>
      <xdr:rowOff>38099</xdr:rowOff>
    </xdr:from>
    <xdr:to>
      <xdr:col>16</xdr:col>
      <xdr:colOff>27214</xdr:colOff>
      <xdr:row>20</xdr:row>
      <xdr:rowOff>168727</xdr:rowOff>
    </xdr:to>
    <xdr:graphicFrame macro="">
      <xdr:nvGraphicFramePr>
        <xdr:cNvPr id="61" name="Salary_Dep">
          <a:extLst>
            <a:ext uri="{FF2B5EF4-FFF2-40B4-BE49-F238E27FC236}">
              <a16:creationId xmlns:a16="http://schemas.microsoft.com/office/drawing/2014/main" id="{AF0B7E08-9ECE-49D8-B1CE-96BF58675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381001</xdr:colOff>
      <xdr:row>23</xdr:row>
      <xdr:rowOff>119743</xdr:rowOff>
    </xdr:from>
    <xdr:to>
      <xdr:col>15</xdr:col>
      <xdr:colOff>576942</xdr:colOff>
      <xdr:row>34</xdr:row>
      <xdr:rowOff>136071</xdr:rowOff>
    </xdr:to>
    <xdr:graphicFrame macro="">
      <xdr:nvGraphicFramePr>
        <xdr:cNvPr id="62" name="Salary_Job">
          <a:extLst>
            <a:ext uri="{FF2B5EF4-FFF2-40B4-BE49-F238E27FC236}">
              <a16:creationId xmlns:a16="http://schemas.microsoft.com/office/drawing/2014/main" id="{A6622906-DDD1-43DE-94D7-AE2950393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59872</xdr:colOff>
      <xdr:row>9</xdr:row>
      <xdr:rowOff>21772</xdr:rowOff>
    </xdr:from>
    <xdr:to>
      <xdr:col>20</xdr:col>
      <xdr:colOff>506186</xdr:colOff>
      <xdr:row>35</xdr:row>
      <xdr:rowOff>27214</xdr:rowOff>
    </xdr:to>
    <xdr:graphicFrame macro="">
      <xdr:nvGraphicFramePr>
        <xdr:cNvPr id="63" name="Chart 62">
          <a:extLst>
            <a:ext uri="{FF2B5EF4-FFF2-40B4-BE49-F238E27FC236}">
              <a16:creationId xmlns:a16="http://schemas.microsoft.com/office/drawing/2014/main" id="{85450772-3B9E-406B-AAD9-69A88B0B8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419102</xdr:colOff>
      <xdr:row>37</xdr:row>
      <xdr:rowOff>168729</xdr:rowOff>
    </xdr:from>
    <xdr:to>
      <xdr:col>20</xdr:col>
      <xdr:colOff>506187</xdr:colOff>
      <xdr:row>48</xdr:row>
      <xdr:rowOff>108856</xdr:rowOff>
    </xdr:to>
    <xdr:graphicFrame macro="">
      <xdr:nvGraphicFramePr>
        <xdr:cNvPr id="64" name="Chart 63">
          <a:extLst>
            <a:ext uri="{FF2B5EF4-FFF2-40B4-BE49-F238E27FC236}">
              <a16:creationId xmlns:a16="http://schemas.microsoft.com/office/drawing/2014/main" id="{FDA49362-40AE-43DE-A736-4B719F9AC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576379</xdr:colOff>
      <xdr:row>2</xdr:row>
      <xdr:rowOff>110348</xdr:rowOff>
    </xdr:from>
    <xdr:to>
      <xdr:col>11</xdr:col>
      <xdr:colOff>186690</xdr:colOff>
      <xdr:row>6</xdr:row>
      <xdr:rowOff>124368</xdr:rowOff>
    </xdr:to>
    <xdr:grpSp>
      <xdr:nvGrpSpPr>
        <xdr:cNvPr id="79" name="Group 78">
          <a:extLst>
            <a:ext uri="{FF2B5EF4-FFF2-40B4-BE49-F238E27FC236}">
              <a16:creationId xmlns:a16="http://schemas.microsoft.com/office/drawing/2014/main" id="{8844E3E6-AD91-768C-E38D-B554391D11E2}"/>
            </a:ext>
          </a:extLst>
        </xdr:cNvPr>
        <xdr:cNvGrpSpPr/>
      </xdr:nvGrpSpPr>
      <xdr:grpSpPr>
        <a:xfrm>
          <a:off x="10495018604" y="782701"/>
          <a:ext cx="1533240" cy="749126"/>
          <a:chOff x="10482902580" y="780908"/>
          <a:chExt cx="1530551" cy="745540"/>
        </a:xfrm>
      </xdr:grpSpPr>
      <xdr:sp macro="" textlink="">
        <xdr:nvSpPr>
          <xdr:cNvPr id="70" name="Rectangle: Rounded Corners 69">
            <a:extLst>
              <a:ext uri="{FF2B5EF4-FFF2-40B4-BE49-F238E27FC236}">
                <a16:creationId xmlns:a16="http://schemas.microsoft.com/office/drawing/2014/main" id="{D669E53B-4CAC-B2CA-4AA5-CD440C0BC1E9}"/>
              </a:ext>
            </a:extLst>
          </xdr:cNvPr>
          <xdr:cNvSpPr/>
        </xdr:nvSpPr>
        <xdr:spPr>
          <a:xfrm>
            <a:off x="10482997460" y="806359"/>
            <a:ext cx="1367246" cy="720089"/>
          </a:xfrm>
          <a:prstGeom prst="roundRect">
            <a:avLst>
              <a:gd name="adj" fmla="val 37421"/>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71" name="TextBox 70">
            <a:extLst>
              <a:ext uri="{FF2B5EF4-FFF2-40B4-BE49-F238E27FC236}">
                <a16:creationId xmlns:a16="http://schemas.microsoft.com/office/drawing/2014/main" id="{B42228AA-CB23-DB60-B164-B697C1B032DF}"/>
              </a:ext>
            </a:extLst>
          </xdr:cNvPr>
          <xdr:cNvSpPr txBox="1"/>
        </xdr:nvSpPr>
        <xdr:spPr>
          <a:xfrm>
            <a:off x="10482902580" y="780908"/>
            <a:ext cx="1530551"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000" b="1">
                <a:solidFill>
                  <a:srgbClr val="002060"/>
                </a:solidFill>
                <a:latin typeface="Segoe UI" panose="020B0502040204020203" pitchFamily="34" charset="0"/>
                <a:ea typeface="Segoe UI Black" panose="020B0A02040204020203" pitchFamily="34" charset="0"/>
                <a:cs typeface="Segoe UI" panose="020B0502040204020203" pitchFamily="34" charset="0"/>
              </a:rPr>
              <a:t>Selected Month</a:t>
            </a:r>
            <a:endParaRPr lang="ar-EG" sz="1000" b="1">
              <a:solidFill>
                <a:srgbClr val="002060"/>
              </a:solidFill>
              <a:latin typeface="Segoe UI" panose="020B0502040204020203" pitchFamily="34" charset="0"/>
              <a:ea typeface="Segoe UI Black" panose="020B0A02040204020203" pitchFamily="34" charset="0"/>
              <a:cs typeface="Segoe UI" panose="020B0502040204020203" pitchFamily="34" charset="0"/>
            </a:endParaRPr>
          </a:p>
          <a:p>
            <a:pPr algn="ctr" rtl="1"/>
            <a:r>
              <a:rPr lang="en-US" sz="1000" b="1">
                <a:solidFill>
                  <a:srgbClr val="002060"/>
                </a:solidFill>
                <a:latin typeface="Segoe UI" panose="020B0502040204020203" pitchFamily="34" charset="0"/>
                <a:ea typeface="Segoe UI Black" panose="020B0A02040204020203" pitchFamily="34" charset="0"/>
                <a:cs typeface="Segoe UI" panose="020B0502040204020203" pitchFamily="34" charset="0"/>
              </a:rPr>
              <a:t> Salary</a:t>
            </a:r>
          </a:p>
        </xdr:txBody>
      </xdr:sp>
      <xdr:sp macro="" textlink="Pivot_Tables!G5">
        <xdr:nvSpPr>
          <xdr:cNvPr id="72" name="TextBox 71">
            <a:extLst>
              <a:ext uri="{FF2B5EF4-FFF2-40B4-BE49-F238E27FC236}">
                <a16:creationId xmlns:a16="http://schemas.microsoft.com/office/drawing/2014/main" id="{20666CE5-EE66-93F3-74B7-C4F4150EFDD3}"/>
              </a:ext>
            </a:extLst>
          </xdr:cNvPr>
          <xdr:cNvSpPr txBox="1"/>
        </xdr:nvSpPr>
        <xdr:spPr>
          <a:xfrm>
            <a:off x="10483034471" y="1175670"/>
            <a:ext cx="1303418" cy="269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01786905-E1AD-4E36-ABAD-FE0DBE0ADA0A}"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 12,846 </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xdr:from>
      <xdr:col>6</xdr:col>
      <xdr:colOff>221543</xdr:colOff>
      <xdr:row>2</xdr:row>
      <xdr:rowOff>115610</xdr:rowOff>
    </xdr:from>
    <xdr:to>
      <xdr:col>8</xdr:col>
      <xdr:colOff>598170</xdr:colOff>
      <xdr:row>6</xdr:row>
      <xdr:rowOff>124368</xdr:rowOff>
    </xdr:to>
    <xdr:grpSp>
      <xdr:nvGrpSpPr>
        <xdr:cNvPr id="78" name="Group 77">
          <a:extLst>
            <a:ext uri="{FF2B5EF4-FFF2-40B4-BE49-F238E27FC236}">
              <a16:creationId xmlns:a16="http://schemas.microsoft.com/office/drawing/2014/main" id="{A31A60CD-0616-BD4B-42E3-273596F7F753}"/>
            </a:ext>
          </a:extLst>
        </xdr:cNvPr>
        <xdr:cNvGrpSpPr/>
      </xdr:nvGrpSpPr>
      <xdr:grpSpPr>
        <a:xfrm>
          <a:off x="10496530053" y="787963"/>
          <a:ext cx="1658580" cy="743864"/>
          <a:chOff x="10484411340" y="786170"/>
          <a:chExt cx="1656787" cy="740278"/>
        </a:xfrm>
      </xdr:grpSpPr>
      <xdr:sp macro="" textlink="">
        <xdr:nvSpPr>
          <xdr:cNvPr id="74" name="Rectangle: Rounded Corners 73">
            <a:extLst>
              <a:ext uri="{FF2B5EF4-FFF2-40B4-BE49-F238E27FC236}">
                <a16:creationId xmlns:a16="http://schemas.microsoft.com/office/drawing/2014/main" id="{C799E62D-2788-BB2A-F814-6C2919F76F6A}"/>
              </a:ext>
            </a:extLst>
          </xdr:cNvPr>
          <xdr:cNvSpPr/>
        </xdr:nvSpPr>
        <xdr:spPr>
          <a:xfrm>
            <a:off x="10484560148" y="806359"/>
            <a:ext cx="1367245" cy="720089"/>
          </a:xfrm>
          <a:prstGeom prst="roundRect">
            <a:avLst>
              <a:gd name="adj" fmla="val 37421"/>
            </a:avLst>
          </a:prstGeom>
          <a:solidFill>
            <a:srgbClr val="E9ECEF"/>
          </a:solidFill>
          <a:ln w="127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sp macro="" textlink="">
        <xdr:nvSpPr>
          <xdr:cNvPr id="75" name="TextBox 74">
            <a:extLst>
              <a:ext uri="{FF2B5EF4-FFF2-40B4-BE49-F238E27FC236}">
                <a16:creationId xmlns:a16="http://schemas.microsoft.com/office/drawing/2014/main" id="{9103FF01-7BB3-3BD8-D22B-B0D006F09167}"/>
              </a:ext>
            </a:extLst>
          </xdr:cNvPr>
          <xdr:cNvSpPr txBox="1"/>
        </xdr:nvSpPr>
        <xdr:spPr>
          <a:xfrm>
            <a:off x="10484411340" y="786170"/>
            <a:ext cx="1656787" cy="5016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rtl="1"/>
            <a:r>
              <a:rPr lang="en-US" sz="1000" b="1">
                <a:solidFill>
                  <a:srgbClr val="002060"/>
                </a:solidFill>
                <a:latin typeface="Segoe UI" panose="020B0502040204020203" pitchFamily="34" charset="0"/>
                <a:ea typeface="Segoe UI Black" panose="020B0A02040204020203" pitchFamily="34" charset="0"/>
                <a:cs typeface="Segoe UI" panose="020B0502040204020203" pitchFamily="34" charset="0"/>
              </a:rPr>
              <a:t>Previous Month</a:t>
            </a:r>
            <a:endParaRPr lang="ar-EG" sz="1000" b="1">
              <a:solidFill>
                <a:srgbClr val="002060"/>
              </a:solidFill>
              <a:latin typeface="Segoe UI" panose="020B0502040204020203" pitchFamily="34" charset="0"/>
              <a:ea typeface="Segoe UI Black" panose="020B0A02040204020203" pitchFamily="34" charset="0"/>
              <a:cs typeface="Segoe UI" panose="020B0502040204020203" pitchFamily="34" charset="0"/>
            </a:endParaRPr>
          </a:p>
          <a:p>
            <a:pPr algn="ctr" rtl="1"/>
            <a:r>
              <a:rPr lang="en-US" sz="1000" b="1">
                <a:solidFill>
                  <a:srgbClr val="002060"/>
                </a:solidFill>
                <a:latin typeface="Segoe UI" panose="020B0502040204020203" pitchFamily="34" charset="0"/>
                <a:ea typeface="Segoe UI Black" panose="020B0A02040204020203" pitchFamily="34" charset="0"/>
                <a:cs typeface="Segoe UI" panose="020B0502040204020203" pitchFamily="34" charset="0"/>
              </a:rPr>
              <a:t> Salary </a:t>
            </a:r>
          </a:p>
        </xdr:txBody>
      </xdr:sp>
      <xdr:sp macro="" textlink="Pivot_Tables!H5">
        <xdr:nvSpPr>
          <xdr:cNvPr id="76" name="TextBox 75">
            <a:extLst>
              <a:ext uri="{FF2B5EF4-FFF2-40B4-BE49-F238E27FC236}">
                <a16:creationId xmlns:a16="http://schemas.microsoft.com/office/drawing/2014/main" id="{7F3904A1-F1E7-D802-06A4-0CE0822F4F07}"/>
              </a:ext>
            </a:extLst>
          </xdr:cNvPr>
          <xdr:cNvSpPr txBox="1"/>
        </xdr:nvSpPr>
        <xdr:spPr>
          <a:xfrm>
            <a:off x="10484597042" y="1175560"/>
            <a:ext cx="1303620" cy="270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58FDBDAB-8C8B-40B7-83C8-09C9B2AA8065}" type="TxLink">
              <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rPr>
              <a:pPr marL="0" indent="0" algn="ctr" rtl="1"/>
              <a:t> 5,366 </a:t>
            </a:fld>
            <a:endParaRPr lang="en-US" sz="1800" b="1">
              <a:solidFill>
                <a:srgbClr val="5DADE2"/>
              </a:solidFill>
              <a:latin typeface="Segoe UI" panose="020B0502040204020203" pitchFamily="34" charset="0"/>
              <a:ea typeface="Segoe UI Black" panose="020B0A02040204020203" pitchFamily="34" charset="0"/>
              <a:cs typeface="Segoe UI" panose="020B0502040204020203" pitchFamily="34" charset="0"/>
            </a:endParaRPr>
          </a:p>
        </xdr:txBody>
      </xdr:sp>
    </xdr:grpSp>
    <xdr:clientData/>
  </xdr:twoCellAnchor>
  <xdr:twoCellAnchor editAs="oneCell">
    <xdr:from>
      <xdr:col>4</xdr:col>
      <xdr:colOff>425824</xdr:colOff>
      <xdr:row>43</xdr:row>
      <xdr:rowOff>22416</xdr:rowOff>
    </xdr:from>
    <xdr:to>
      <xdr:col>6</xdr:col>
      <xdr:colOff>197223</xdr:colOff>
      <xdr:row>49</xdr:row>
      <xdr:rowOff>35861</xdr:rowOff>
    </xdr:to>
    <mc:AlternateContent xmlns:mc="http://schemas.openxmlformats.org/markup-compatibility/2006" xmlns:a14="http://schemas.microsoft.com/office/drawing/2010/main">
      <mc:Choice Requires="a14">
        <xdr:graphicFrame macro="">
          <xdr:nvGraphicFramePr>
            <xdr:cNvPr id="81" name="Payment_Method">
              <a:extLst>
                <a:ext uri="{FF2B5EF4-FFF2-40B4-BE49-F238E27FC236}">
                  <a16:creationId xmlns:a16="http://schemas.microsoft.com/office/drawing/2014/main" id="{32D2EADE-8C85-47A2-BC6A-5E5CDD7177F3}"/>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500776859" y="8278910"/>
              <a:ext cx="1703293" cy="1116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367553</xdr:colOff>
      <xdr:row>0</xdr:row>
      <xdr:rowOff>259975</xdr:rowOff>
    </xdr:from>
    <xdr:to>
      <xdr:col>6</xdr:col>
      <xdr:colOff>277905</xdr:colOff>
      <xdr:row>7</xdr:row>
      <xdr:rowOff>40340</xdr:rowOff>
    </xdr:to>
    <mc:AlternateContent xmlns:mc="http://schemas.openxmlformats.org/markup-compatibility/2006" xmlns:tsle="http://schemas.microsoft.com/office/drawing/2012/timeslicer">
      <mc:Choice Requires="tsle">
        <xdr:graphicFrame macro="">
          <xdr:nvGraphicFramePr>
            <xdr:cNvPr id="82" name="Month">
              <a:extLst>
                <a:ext uri="{FF2B5EF4-FFF2-40B4-BE49-F238E27FC236}">
                  <a16:creationId xmlns:a16="http://schemas.microsoft.com/office/drawing/2014/main" id="{ACEDB419-4273-4FE3-A60C-E6E88C1715FF}"/>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10500696177" y="259975"/>
              <a:ext cx="184224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16</xdr:col>
      <xdr:colOff>499110</xdr:colOff>
      <xdr:row>4</xdr:row>
      <xdr:rowOff>156209</xdr:rowOff>
    </xdr:from>
    <xdr:to>
      <xdr:col>20</xdr:col>
      <xdr:colOff>638175</xdr:colOff>
      <xdr:row>19</xdr:row>
      <xdr:rowOff>15240</xdr:rowOff>
    </xdr:to>
    <xdr:graphicFrame macro="">
      <xdr:nvGraphicFramePr>
        <xdr:cNvPr id="2" name="Salary_Dep">
          <a:extLst>
            <a:ext uri="{FF2B5EF4-FFF2-40B4-BE49-F238E27FC236}">
              <a16:creationId xmlns:a16="http://schemas.microsoft.com/office/drawing/2014/main" id="{F677E217-CF34-3D9D-9489-746BEBB85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552450</xdr:colOff>
      <xdr:row>6</xdr:row>
      <xdr:rowOff>156209</xdr:rowOff>
    </xdr:from>
    <xdr:to>
      <xdr:col>13</xdr:col>
      <xdr:colOff>226695</xdr:colOff>
      <xdr:row>19</xdr:row>
      <xdr:rowOff>64770</xdr:rowOff>
    </xdr:to>
    <xdr:graphicFrame macro="">
      <xdr:nvGraphicFramePr>
        <xdr:cNvPr id="3" name="Salary_Job">
          <a:extLst>
            <a:ext uri="{FF2B5EF4-FFF2-40B4-BE49-F238E27FC236}">
              <a16:creationId xmlns:a16="http://schemas.microsoft.com/office/drawing/2014/main" id="{9E3048B1-990A-36E5-E7F9-21C646819B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53787</xdr:colOff>
      <xdr:row>7</xdr:row>
      <xdr:rowOff>143436</xdr:rowOff>
    </xdr:from>
    <xdr:to>
      <xdr:col>5</xdr:col>
      <xdr:colOff>537882</xdr:colOff>
      <xdr:row>20</xdr:row>
      <xdr:rowOff>0</xdr:rowOff>
    </xdr:to>
    <xdr:graphicFrame macro="">
      <xdr:nvGraphicFramePr>
        <xdr:cNvPr id="4" name="Chart 3">
          <a:extLst>
            <a:ext uri="{FF2B5EF4-FFF2-40B4-BE49-F238E27FC236}">
              <a16:creationId xmlns:a16="http://schemas.microsoft.com/office/drawing/2014/main" id="{2E154B44-1DE7-9925-5FFF-7C30A510A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224791</xdr:colOff>
      <xdr:row>5</xdr:row>
      <xdr:rowOff>7619</xdr:rowOff>
    </xdr:from>
    <xdr:to>
      <xdr:col>31</xdr:col>
      <xdr:colOff>59056</xdr:colOff>
      <xdr:row>19</xdr:row>
      <xdr:rowOff>127634</xdr:rowOff>
    </xdr:to>
    <xdr:graphicFrame macro="">
      <xdr:nvGraphicFramePr>
        <xdr:cNvPr id="5" name="Chart 4">
          <a:extLst>
            <a:ext uri="{FF2B5EF4-FFF2-40B4-BE49-F238E27FC236}">
              <a16:creationId xmlns:a16="http://schemas.microsoft.com/office/drawing/2014/main" id="{0C3E2EB9-18E8-461C-D9F3-8F0E48FC6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701712</xdr:colOff>
      <xdr:row>25</xdr:row>
      <xdr:rowOff>32050</xdr:rowOff>
    </xdr:from>
    <xdr:to>
      <xdr:col>8</xdr:col>
      <xdr:colOff>367328</xdr:colOff>
      <xdr:row>38</xdr:row>
      <xdr:rowOff>183440</xdr:rowOff>
    </xdr:to>
    <xdr:graphicFrame macro="">
      <xdr:nvGraphicFramePr>
        <xdr:cNvPr id="6" name="Chart 5">
          <a:extLst>
            <a:ext uri="{FF2B5EF4-FFF2-40B4-BE49-F238E27FC236}">
              <a16:creationId xmlns:a16="http://schemas.microsoft.com/office/drawing/2014/main" id="{8229C4E7-9A74-00F3-E1F4-394F8CDDCD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42</xdr:col>
      <xdr:colOff>161926</xdr:colOff>
      <xdr:row>28</xdr:row>
      <xdr:rowOff>156209</xdr:rowOff>
    </xdr:from>
    <xdr:to>
      <xdr:col>47</xdr:col>
      <xdr:colOff>194311</xdr:colOff>
      <xdr:row>40</xdr:row>
      <xdr:rowOff>43814</xdr:rowOff>
    </xdr:to>
    <xdr:graphicFrame macro="">
      <xdr:nvGraphicFramePr>
        <xdr:cNvPr id="16" name="Chart 15">
          <a:extLst>
            <a:ext uri="{FF2B5EF4-FFF2-40B4-BE49-F238E27FC236}">
              <a16:creationId xmlns:a16="http://schemas.microsoft.com/office/drawing/2014/main" id="{620DF1F0-B4F8-2625-80DC-E1438944EA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58680553" backgroundQuery="1" createdVersion="8" refreshedVersion="8" minRefreshableVersion="3" recordCount="0" supportSubquery="1" supportAdvancedDrill="1" xr:uid="{B2029174-6599-4B64-BEA7-335B7300B3BD}">
  <cacheSource type="external" connectionId="6"/>
  <cacheFields count="4">
    <cacheField name="[Measures].[Count of Emp_ID]" caption="Count of Emp_ID" numFmtId="0" hierarchy="127" level="32767"/>
    <cacheField name="[tbl_Dept].[Dept_Name].[Dept_Name]" caption="Dept_Name" numFmtId="0" hierarchy="54" level="1">
      <sharedItems count="3">
        <s v="الإدارة"/>
        <s v="الإنشاءات"/>
        <s v="التشطيبات"/>
      </sharedItems>
      <extLst>
        <ext xmlns:x15="http://schemas.microsoft.com/office/spreadsheetml/2010/11/main" uri="{4F2E5C28-24EA-4eb8-9CBF-B6C8F9C3D259}">
          <x15:cachedUniqueNames>
            <x15:cachedUniqueName index="0" name="[tbl_Dept].[Dept_Name].&amp;[الإدارة]"/>
            <x15:cachedUniqueName index="1" name="[tbl_Dept].[Dept_Name].&amp;[الإنشاءات]"/>
            <x15:cachedUniqueName index="2" name="[tbl_Dept].[Dept_Name].&amp;[التشطيبات]"/>
          </x15:cachedUniqueNames>
        </ext>
      </extLst>
    </cacheField>
    <cacheField name="[tbl_Dept].[Dept_Name_EN].[Dept_Name_EN]" caption="Dept_Name_EN" numFmtId="0" hierarchy="55" level="1">
      <sharedItems count="3">
        <s v="Administration"/>
        <s v="Construction"/>
        <s v="Finishes"/>
      </sharedItems>
      <extLst>
        <ext xmlns:x15="http://schemas.microsoft.com/office/spreadsheetml/2010/11/main" uri="{4F2E5C28-24EA-4eb8-9CBF-B6C8F9C3D259}">
          <x15:cachedUniqueNames>
            <x15:cachedUniqueName index="0" name="[tbl_Dept].[Dept_Name_EN].&amp;[Administration]"/>
            <x15:cachedUniqueName index="1" name="[tbl_Dept].[Dept_Name_EN].&amp;[Construction]"/>
            <x15:cachedUniqueName index="2" name="[tbl_Dept].[Dept_Name_EN].&amp;[Finishes]"/>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3"/>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fieldsUsage count="2">
        <fieldUsage x="-1"/>
        <fieldUsage x="1"/>
      </fieldsUsage>
    </cacheHierarchy>
    <cacheHierarchy uniqueName="[tbl_Dept].[Dept_Name_EN]" caption="Dept_Name_EN" attribute="1" defaultMemberUniqueName="[tbl_Dept].[Dept_Name_EN].[All]" allUniqueName="[tbl_Dept].[Dept_Name_EN].[All]" dimensionUniqueName="[tbl_Dept]" displayFolder="" count="2" memberValueDatatype="130" unbalanced="0">
      <fieldsUsage count="2">
        <fieldUsage x="-1"/>
        <fieldUsage x="2"/>
      </fieldsUsage>
    </cacheHierarchy>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59027776" backgroundQuery="1" createdVersion="8" refreshedVersion="8" minRefreshableVersion="3" recordCount="0" supportSubquery="1" supportAdvancedDrill="1" xr:uid="{CDE027EC-6234-48DD-9CE9-5CE7ACCD389C}">
  <cacheSource type="external" connectionId="6"/>
  <cacheFields count="2">
    <cacheField name="[Measures].[Employee Count]" caption="Employee Count" numFmtId="0" hierarchy="92"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1"/>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0"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oneField="1">
      <fieldsUsage count="1">
        <fieldUsage x="0"/>
      </fieldsUsage>
    </cacheHierarchy>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59259261" backgroundQuery="1" createdVersion="8" refreshedVersion="8" minRefreshableVersion="3" recordCount="0" supportSubquery="1" supportAdvancedDrill="1" xr:uid="{F65E4669-E158-4293-93BE-47769A5F3B41}">
  <cacheSource type="external" connectionId="6"/>
  <cacheFields count="3">
    <cacheField name="[Measures].[Count of Emp_ID]" caption="Count of Emp_ID" numFmtId="0" hierarchy="127" level="32767"/>
    <cacheField name="[Master_Employee].[sponsorship].[sponsorship]" caption="sponsorship" numFmtId="0" hierarchy="50" level="1">
      <sharedItems count="2">
        <s v="غير كفالة-NoSponsership"/>
        <s v="كفالة-Sponsership"/>
      </sharedItems>
      <extLst>
        <ext xmlns:x15="http://schemas.microsoft.com/office/spreadsheetml/2010/11/main" uri="{4F2E5C28-24EA-4eb8-9CBF-B6C8F9C3D259}">
          <x15:cachedUniqueNames>
            <x15:cachedUniqueName index="0" name="[Master_Employee].[sponsorship].&amp;[غير كفالة-NoSponsership]"/>
            <x15:cachedUniqueName index="1" name="[Master_Employee].[sponsorship].&amp;[كفالة-Sponsership]"/>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2" memberValueDatatype="130" unbalanced="0">
      <fieldsUsage count="2">
        <fieldUsage x="-1"/>
        <fieldUsage x="1"/>
      </fieldsUsage>
    </cacheHierarchy>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0"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59837961" backgroundQuery="1" createdVersion="8" refreshedVersion="8" minRefreshableVersion="3" recordCount="0" supportSubquery="1" supportAdvancedDrill="1" xr:uid="{A26896D7-BDA2-4516-85DC-E23C309124E1}">
  <cacheSource type="external" connectionId="6"/>
  <cacheFields count="3">
    <cacheField name="[Measures].[Count of Flag_Status]" caption="Count of Flag_Status" numFmtId="0" hierarchy="141" level="32767"/>
    <cacheField name="[tbl_Projects].[Status].[Status]" caption="Status" numFmtId="0" hierarchy="64" level="1">
      <sharedItems count="3">
        <s v="جاري - Active"/>
        <s v="متوقف - On Hold"/>
        <s v="مكتمل - Completed"/>
      </sharedItems>
      <extLst>
        <ext xmlns:x15="http://schemas.microsoft.com/office/spreadsheetml/2010/11/main" uri="{4F2E5C28-24EA-4eb8-9CBF-B6C8F9C3D259}">
          <x15:cachedUniqueNames>
            <x15:cachedUniqueName index="0" name="[tbl_Projects].[Status].&amp;[جاري - Active]"/>
            <x15:cachedUniqueName index="1" name="[tbl_Projects].[Status].&amp;[متوقف - On Hold]"/>
            <x15:cachedUniqueName index="2" name="[tbl_Projects].[Status].&amp;[مكتمل - Completed]"/>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2" memberValueDatatype="130" unbalanced="0">
      <fieldsUsage count="2">
        <fieldUsage x="-1"/>
        <fieldUsage x="1"/>
      </fieldsUsage>
    </cacheHierarchy>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oneField="1" hidden="1">
      <fieldsUsage count="1">
        <fieldUsage x="0"/>
      </fieldsUsage>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0069446" backgroundQuery="1" createdVersion="8" refreshedVersion="8" minRefreshableVersion="3" recordCount="0" supportSubquery="1" supportAdvancedDrill="1" xr:uid="{0E526109-DC86-4A1D-8299-55104873D462}">
  <cacheSource type="external" connectionId="6"/>
  <cacheFields count="2">
    <cacheField name="[Measures].[Count of Dept_ID 2]" caption="Count of Dept_ID 2" numFmtId="0" hierarchy="137"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1"/>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oneField="1" hidden="1">
      <fieldsUsage count="1">
        <fieldUsage x="0"/>
      </fieldsUsage>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0416669" backgroundQuery="1" createdVersion="8" refreshedVersion="8" minRefreshableVersion="3" recordCount="0" supportSubquery="1" supportAdvancedDrill="1" xr:uid="{477DFBAC-1EEE-417F-B7B8-A741D73C69B3}">
  <cacheSource type="external" connectionId="6"/>
  <cacheFields count="3">
    <cacheField name="[Master_Employee].[Grade].[Grade]" caption="Grade" numFmtId="0" hierarchy="49" level="1">
      <sharedItems count="3">
        <s v="Manager"/>
        <s v="Supervisor"/>
        <s v="Worker"/>
      </sharedItems>
      <extLst>
        <ext xmlns:x15="http://schemas.microsoft.com/office/spreadsheetml/2010/11/main" uri="{4F2E5C28-24EA-4eb8-9CBF-B6C8F9C3D259}">
          <x15:cachedUniqueNames>
            <x15:cachedUniqueName index="0" name="[Master_Employee].[Grade].&amp;[Manager]"/>
            <x15:cachedUniqueName index="1" name="[Master_Employee].[Grade].&amp;[Supervisor]"/>
            <x15:cachedUniqueName index="2" name="[Master_Employee].[Grade].&amp;[Worker]"/>
          </x15:cachedUniqueNames>
        </ext>
      </extLst>
    </cacheField>
    <cacheField name="[Measures].[Count of Emp_ID]" caption="Count of Emp_ID" numFmtId="0" hierarchy="127"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fieldsUsage count="2">
        <fieldUsage x="-1"/>
        <fieldUsage x="0"/>
      </fieldsUsage>
    </cacheHierarchy>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0763892" backgroundQuery="1" createdVersion="8" refreshedVersion="8" minRefreshableVersion="3" recordCount="0" supportSubquery="1" supportAdvancedDrill="1" xr:uid="{0F0258CF-6595-4E7C-8DAB-026DEF4BC99B}">
  <cacheSource type="external" connectionId="6"/>
  <cacheFields count="3">
    <cacheField name="[Measures].[Count of Status_Code 2]" caption="Count of Status_Code 2" numFmtId="0" hierarchy="140" level="32767"/>
    <cacheField name="[Master_Employee].[Emp_Status].[Emp_Status]" caption="Emp_Status" numFmtId="0" hierarchy="33" level="1">
      <sharedItems count="3">
        <s v="New appointment - تعيين جديد"/>
        <s v="vacation - إجازة"/>
        <s v="works - يعمل"/>
      </sharedItems>
      <extLst>
        <ext xmlns:x15="http://schemas.microsoft.com/office/spreadsheetml/2010/11/main" uri="{4F2E5C28-24EA-4eb8-9CBF-B6C8F9C3D259}">
          <x15:cachedUniqueNames>
            <x15:cachedUniqueName index="0" name="[Master_Employee].[Emp_Status].&amp;[New appointment - تعيين جديد]"/>
            <x15:cachedUniqueName index="1" name="[Master_Employee].[Emp_Status].&amp;[vacation - إجازة]"/>
            <x15:cachedUniqueName index="2" name="[Master_Employee].[Emp_Status].&amp;[works - يعمل]"/>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fieldsUsage count="2">
        <fieldUsage x="-1"/>
        <fieldUsage x="1"/>
      </fieldsUsage>
    </cacheHierarchy>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oneField="1" hidden="1">
      <fieldsUsage count="1">
        <fieldUsage x="0"/>
      </fieldsUsage>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1342593" backgroundQuery="1" createdVersion="8" refreshedVersion="8" minRefreshableVersion="3" recordCount="0" supportSubquery="1" supportAdvancedDrill="1" xr:uid="{FCE0EC8D-6627-4C4C-A917-1B0A20C00244}">
  <cacheSource type="external" connectionId="6"/>
  <cacheFields count="2">
    <cacheField name="[Measures].[Count of Emp_ID]" caption="Count of Emp_ID" numFmtId="0" hierarchy="127" level="32767"/>
    <cacheField name="[Master_Employee].[Job_Title].[Job_Title]" caption="Job_Title" numFmtId="0" hierarchy="29" level="1">
      <sharedItems count="15">
        <s v="سائق"/>
        <s v="سباك"/>
        <s v="صباغ"/>
        <s v="عامل"/>
        <s v="عامل الثرى دى"/>
        <s v="فنى"/>
        <s v="فني بلاستر"/>
        <s v="فني عزل"/>
        <s v="فورمان"/>
        <s v="كهربائي"/>
        <s v="مساعد كهربائي"/>
        <s v="مشرف_موقع"/>
        <s v="معلم  تشطيب"/>
        <s v="معلم جبس بورد"/>
        <s v="ناطور"/>
      </sharedItems>
      <extLst>
        <ext xmlns:x15="http://schemas.microsoft.com/office/spreadsheetml/2010/11/main" uri="{4F2E5C28-24EA-4eb8-9CBF-B6C8F9C3D259}">
          <x15:cachedUniqueNames>
            <x15:cachedUniqueName index="0" name="[Master_Employee].[Job_Title].&amp;[سائق]"/>
            <x15:cachedUniqueName index="1" name="[Master_Employee].[Job_Title].&amp;[سباك]"/>
            <x15:cachedUniqueName index="2" name="[Master_Employee].[Job_Title].&amp;[صباغ]"/>
            <x15:cachedUniqueName index="3" name="[Master_Employee].[Job_Title].&amp;[عامل]"/>
            <x15:cachedUniqueName index="4" name="[Master_Employee].[Job_Title].&amp;[عامل الثرى دى]"/>
            <x15:cachedUniqueName index="5" name="[Master_Employee].[Job_Title].&amp;[فنى]"/>
            <x15:cachedUniqueName index="6" name="[Master_Employee].[Job_Title].&amp;[فني بلاستر]"/>
            <x15:cachedUniqueName index="7" name="[Master_Employee].[Job_Title].&amp;[فني عزل]"/>
            <x15:cachedUniqueName index="8" name="[Master_Employee].[Job_Title].&amp;[فورمان]"/>
            <x15:cachedUniqueName index="9" name="[Master_Employee].[Job_Title].&amp;[كهربائي]"/>
            <x15:cachedUniqueName index="10" name="[Master_Employee].[Job_Title].&amp;[مساعد كهربائي]"/>
            <x15:cachedUniqueName index="11" name="[Master_Employee].[Job_Title].&amp;[مشرف_موقع]"/>
            <x15:cachedUniqueName index="12" name="[Master_Employee].[Job_Title].&amp;[معلم  تشطيب]"/>
            <x15:cachedUniqueName index="13" name="[Master_Employee].[Job_Title].&amp;[معلم جبس بورد]"/>
            <x15:cachedUniqueName index="14" name="[Master_Employee].[Job_Title].&amp;[ناطور]"/>
          </x15:cachedUniqueNames>
        </ext>
      </extLst>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1"/>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1921294" backgroundQuery="1" createdVersion="8" refreshedVersion="8" minRefreshableVersion="3" recordCount="0" supportSubquery="1" supportAdvancedDrill="1" xr:uid="{4EB34714-FF03-4A7F-850C-495FE1086F64}">
  <cacheSource type="external" connectionId="6"/>
  <cacheFields count="2">
    <cacheField name="[Measures].[Net Salary]" caption="Net Salary" numFmtId="0" hierarchy="93" level="32767"/>
    <cacheField name="[Master_Employee].[Job_Title].[Job_Title]" caption="Job_Title" numFmtId="0" hierarchy="29" level="1">
      <sharedItems count="7">
        <s v="سائق"/>
        <s v="صباغ"/>
        <s v="عامل"/>
        <s v="عامل الثرى دى"/>
        <s v="فورمان"/>
        <s v="مساعد كهربائي"/>
        <s v="مشرف_موقع"/>
      </sharedItems>
      <extLst>
        <ext xmlns:x15="http://schemas.microsoft.com/office/spreadsheetml/2010/11/main" uri="{4F2E5C28-24EA-4eb8-9CBF-B6C8F9C3D259}">
          <x15:cachedUniqueNames>
            <x15:cachedUniqueName index="0" name="[Master_Employee].[Job_Title].&amp;[سائق]"/>
            <x15:cachedUniqueName index="1" name="[Master_Employee].[Job_Title].&amp;[صباغ]"/>
            <x15:cachedUniqueName index="2" name="[Master_Employee].[Job_Title].&amp;[عامل]"/>
            <x15:cachedUniqueName index="3" name="[Master_Employee].[Job_Title].&amp;[عامل الثرى دى]"/>
            <x15:cachedUniqueName index="4" name="[Master_Employee].[Job_Title].&amp;[فورمان]"/>
            <x15:cachedUniqueName index="5" name="[Master_Employee].[Job_Title].&amp;[مساعد كهربائي]"/>
            <x15:cachedUniqueName index="6" name="[Master_Employee].[Job_Title].&amp;[مشرف_موقع]"/>
          </x15:cachedUniqueNames>
        </ext>
      </extLst>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1"/>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oneField="1">
      <fieldsUsage count="1">
        <fieldUsage x="0"/>
      </fieldsUsage>
    </cacheHierarchy>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2268517" backgroundQuery="1" createdVersion="8" refreshedVersion="8" minRefreshableVersion="3" recordCount="0" supportSubquery="1" supportAdvancedDrill="1" xr:uid="{6F493B96-3DE3-4C20-A83A-20BE8DB4AFC7}">
  <cacheSource type="external" connectionId="6"/>
  <cacheFields count="3">
    <cacheField name="[Measures].[Count of Emp_ID]" caption="Count of Emp_ID" numFmtId="0" hierarchy="127" level="32767"/>
    <cacheField name="[Master_Employee].[Nationality].[Nationality]" caption="Nationality" numFmtId="0" hierarchy="28" level="1">
      <sharedItems count="8">
        <s v="إندونيسي – Indonesian"/>
        <s v="أوغندي – Ugandan"/>
        <s v="باكستاني – Pakistani"/>
        <s v="تونسي – Tunisian"/>
        <s v="فلبيني – Filipino"/>
        <s v="مصري – Egyptian"/>
        <s v="نيبالي – Nepali"/>
        <s v="هندي – Indian"/>
      </sharedItems>
      <extLst>
        <ext xmlns:x15="http://schemas.microsoft.com/office/spreadsheetml/2010/11/main" uri="{4F2E5C28-24EA-4eb8-9CBF-B6C8F9C3D259}">
          <x15:cachedUniqueNames>
            <x15:cachedUniqueName index="0" name="[Master_Employee].[Nationality].&amp;[إندونيسي – Indonesian]"/>
            <x15:cachedUniqueName index="1" name="[Master_Employee].[Nationality].&amp;[أوغندي – Ugandan]"/>
            <x15:cachedUniqueName index="2" name="[Master_Employee].[Nationality].&amp;[باكستاني – Pakistani]"/>
            <x15:cachedUniqueName index="3" name="[Master_Employee].[Nationality].&amp;[تونسي – Tunisian]"/>
            <x15:cachedUniqueName index="4" name="[Master_Employee].[Nationality].&amp;[فلبيني – Filipino]"/>
            <x15:cachedUniqueName index="5" name="[Master_Employee].[Nationality].&amp;[مصري – Egyptian]"/>
            <x15:cachedUniqueName index="6" name="[Master_Employee].[Nationality].&amp;[نيبالي – Nepali]"/>
            <x15:cachedUniqueName index="7" name="[Master_Employee].[Nationality].&amp;[هندي – Indian]"/>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2" memberValueDatatype="130" unbalanced="0">
      <fieldsUsage count="2">
        <fieldUsage x="-1"/>
        <fieldUsage x="1"/>
      </fieldsUsage>
    </cacheHierarchy>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261574" backgroundQuery="1" createdVersion="8" refreshedVersion="8" minRefreshableVersion="3" recordCount="0" supportSubquery="1" supportAdvancedDrill="1" xr:uid="{15338ED1-AE4E-4C7C-BA76-CD2D7F1AC704}">
  <cacheSource type="external" connectionId="6"/>
  <cacheFields count="3">
    <cacheField name="[Measures].[Count of Project_ID]" caption="Count of Project_ID" numFmtId="0" hierarchy="138" level="32767"/>
    <cacheField name="[Measures].[Count of Nationality]" caption="Count of Nationality" numFmtId="0" hierarchy="144"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oneField="1" hidden="1">
      <fieldsUsage count="1">
        <fieldUsage x="0"/>
      </fieldsUsage>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261574" backgroundQuery="1" createdVersion="8" refreshedVersion="8" minRefreshableVersion="3" recordCount="0" supportSubquery="1" supportAdvancedDrill="1" xr:uid="{AF1E35E5-744D-4992-A2E6-4E8AD6E6FBB4}">
  <cacheSource type="external" connectionId="6"/>
  <cacheFields count="1">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2"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0"/>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2"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3541664" backgroundQuery="1" createdVersion="8" refreshedVersion="8" minRefreshableVersion="3" recordCount="0" supportSubquery="1" supportAdvancedDrill="1" xr:uid="{35A03875-C368-44A7-91FD-C8DF2B6E117E}">
  <cacheSource type="external" connectionId="6"/>
  <cacheFields count="3">
    <cacheField name="[Master_Employee].[Job_Title].[Job_Title]" caption="Job_Title" numFmtId="0" hierarchy="29" level="1">
      <sharedItems count="15">
        <s v="مشرف_موقع"/>
        <s v="سائق"/>
        <s v="سباك"/>
        <s v="صباغ"/>
        <s v="عامل"/>
        <s v="عامل الثرى دى"/>
        <s v="فنى"/>
        <s v="فني بلاستر"/>
        <s v="فني عزل"/>
        <s v="فورمان"/>
        <s v="كهربائي"/>
        <s v="مساعد كهربائي"/>
        <s v="معلم  تشطيب"/>
        <s v="معلم جبس بورد"/>
        <s v="ناطور"/>
      </sharedItems>
      <extLst>
        <ext xmlns:x15="http://schemas.microsoft.com/office/spreadsheetml/2010/11/main" uri="{4F2E5C28-24EA-4eb8-9CBF-B6C8F9C3D259}">
          <x15:cachedUniqueNames>
            <x15:cachedUniqueName index="0" name="[Master_Employee].[Job_Title].&amp;[مشرف_موقع]"/>
            <x15:cachedUniqueName index="1" name="[Master_Employee].[Job_Title].&amp;[سائق]"/>
            <x15:cachedUniqueName index="2" name="[Master_Employee].[Job_Title].&amp;[سباك]"/>
            <x15:cachedUniqueName index="3" name="[Master_Employee].[Job_Title].&amp;[صباغ]"/>
            <x15:cachedUniqueName index="4" name="[Master_Employee].[Job_Title].&amp;[عامل]"/>
            <x15:cachedUniqueName index="5" name="[Master_Employee].[Job_Title].&amp;[عامل الثرى دى]"/>
            <x15:cachedUniqueName index="6" name="[Master_Employee].[Job_Title].&amp;[فنى]"/>
            <x15:cachedUniqueName index="7" name="[Master_Employee].[Job_Title].&amp;[فني بلاستر]"/>
            <x15:cachedUniqueName index="8" name="[Master_Employee].[Job_Title].&amp;[فني عزل]"/>
            <x15:cachedUniqueName index="9" name="[Master_Employee].[Job_Title].&amp;[فورمان]"/>
            <x15:cachedUniqueName index="10" name="[Master_Employee].[Job_Title].&amp;[كهربائي]"/>
            <x15:cachedUniqueName index="11" name="[Master_Employee].[Job_Title].&amp;[مساعد كهربائي]"/>
            <x15:cachedUniqueName index="12" name="[Master_Employee].[Job_Title].&amp;[معلم  تشطيب]"/>
            <x15:cachedUniqueName index="13" name="[Master_Employee].[Job_Title].&amp;[معلم جبس بورد]"/>
            <x15:cachedUniqueName index="14" name="[Master_Employee].[Job_Title].&amp;[ناطور]"/>
          </x15:cachedUniqueNames>
        </ext>
      </extLst>
    </cacheField>
    <cacheField name="[Master_Employee].[Grade].[Grade]" caption="Grade" numFmtId="0" hierarchy="49" level="1">
      <sharedItems count="3">
        <s v="Manager"/>
        <s v="Supervisor"/>
        <s v="Worker"/>
      </sharedItems>
      <extLst>
        <ext xmlns:x15="http://schemas.microsoft.com/office/spreadsheetml/2010/11/main" uri="{4F2E5C28-24EA-4eb8-9CBF-B6C8F9C3D259}">
          <x15:cachedUniqueNames>
            <x15:cachedUniqueName index="0" name="[Master_Employee].[Grade].&amp;[Manager]"/>
            <x15:cachedUniqueName index="1" name="[Master_Employee].[Grade].&amp;[Supervisor]"/>
            <x15:cachedUniqueName index="2" name="[Master_Employee].[Grade].&amp;[Worker]"/>
          </x15:cachedUniqueNames>
        </ext>
      </extLst>
    </cacheField>
    <cacheField name="[Measures].[Sum of Total_Salary]" caption="Sum of Total_Salary" numFmtId="0" hierarchy="143" level="32767"/>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0"/>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fieldsUsage count="2">
        <fieldUsage x="-1"/>
        <fieldUsage x="1"/>
      </fieldsUsage>
    </cacheHierarchy>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0"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oneField="1" hidden="1">
      <fieldsUsage count="1">
        <fieldUsage x="2"/>
      </fieldsUsage>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4351849" backgroundQuery="1" createdVersion="8" refreshedVersion="8" minRefreshableVersion="3" recordCount="0" supportSubquery="1" supportAdvancedDrill="1" xr:uid="{C5770783-DC62-4A88-A54A-9959E22BC078}">
  <cacheSource type="external" connectionId="6"/>
  <cacheFields count="9">
    <cacheField name="[Measures].[Net Salary]" caption="Net Salary" numFmtId="0" hierarchy="93" level="32767"/>
    <cacheField name="[Measures].[Max Salary]" caption="Max Salary" numFmtId="0" hierarchy="99" level="32767"/>
    <cacheField name="[Measures].[Min Salary]" caption="Min Salary" numFmtId="0" hierarchy="100" level="32767"/>
    <cacheField name="[Measures].[Avg Salary]" caption="Avg Salary" numFmtId="0" hierarchy="95" level="32767"/>
    <cacheField name="[Measures].[Selected Month Salary]" caption="Selected Month Salary" numFmtId="0" hierarchy="103" level="32767"/>
    <cacheField name="[Measures].[Previous Month Salary]" caption="Previous Month Salary" numFmtId="0" hierarchy="102" level="32767"/>
    <cacheField name="[Measures].[Difference Display]" caption="Difference Display" numFmtId="0" hierarchy="106" level="32767"/>
    <cacheField name="[Measures].[Workers Count]" caption="Workers Count" numFmtId="0" hierarchy="109"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8"/>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0"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oneField="1">
      <fieldsUsage count="1">
        <fieldUsage x="0"/>
      </fieldsUsage>
    </cacheHierarchy>
    <cacheHierarchy uniqueName="[Measures].[Absence Rate]" caption="Absence Rate" measure="1" displayFolder="" measureGroup="Daily_Work" count="0"/>
    <cacheHierarchy uniqueName="[Measures].[Avg Salary]" caption="Avg Salary" measure="1" displayFolder="" measureGroup="Master_Employee" count="0" oneField="1">
      <fieldsUsage count="1">
        <fieldUsage x="3"/>
      </fieldsUsage>
    </cacheHierarchy>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oneField="1">
      <fieldsUsage count="1">
        <fieldUsage x="1"/>
      </fieldsUsage>
    </cacheHierarchy>
    <cacheHierarchy uniqueName="[Measures].[Min Salary]" caption="Min Salary" measure="1" displayFolder="" measureGroup="Master_Employee" count="0" oneField="1">
      <fieldsUsage count="1">
        <fieldUsage x="2"/>
      </fieldsUsage>
    </cacheHierarchy>
    <cacheHierarchy uniqueName="[Measures].[Active Employees]" caption="Active Employees" measure="1" displayFolder="" measureGroup="Master_Employee" count="0"/>
    <cacheHierarchy uniqueName="[Measures].[Previous Month Salary]" caption="Previous Month Salary" measure="1" displayFolder="" measureGroup="Daily_Work" count="0" oneField="1">
      <fieldsUsage count="1">
        <fieldUsage x="5"/>
      </fieldsUsage>
    </cacheHierarchy>
    <cacheHierarchy uniqueName="[Measures].[Selected Month Salary]" caption="Selected Month Salary" measure="1" displayFolder="" measureGroup="Daily_Work" count="0" oneField="1">
      <fieldsUsage count="1">
        <fieldUsage x="4"/>
      </fieldsUsage>
    </cacheHierarchy>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oneField="1">
      <fieldsUsage count="1">
        <fieldUsage x="6"/>
      </fieldsUsage>
    </cacheHierarchy>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oneField="1">
      <fieldsUsage count="1">
        <fieldUsage x="7"/>
      </fieldsUsage>
    </cacheHierarchy>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4699072" backgroundQuery="1" createdVersion="8" refreshedVersion="8" minRefreshableVersion="3" recordCount="0" supportSubquery="1" supportAdvancedDrill="1" xr:uid="{9C6F53E3-2002-4505-8068-FB49B97035FF}">
  <cacheSource type="external" connectionId="6"/>
  <cacheFields count="16">
    <cacheField name="[Measures].[Project Cost]" caption="Project Cost" numFmtId="0" hierarchy="98" level="32767"/>
    <cacheField name="[Measures].[Total Work Cost]" caption="Total Work Cost" numFmtId="0" hierarchy="85" level="32767"/>
    <cacheField name="[Measures].[Workers Count]" caption="Workers Count" numFmtId="0" hierarchy="109" level="32767"/>
    <cacheField name="[Measures].[Total Work Days]" caption="Total Work Days" numFmtId="0" hierarchy="113" level="32767"/>
    <cacheField name="[Measures].[Days per Worker]" caption="Days per Worker" numFmtId="0" hierarchy="115" level="32767"/>
    <cacheField name="[Measures].[Sum of Days_Work]" caption="Sum of Days_Work" numFmtId="0" hierarchy="128" level="32767"/>
    <cacheField name="[Measures].[Sum of OT_Hrs]" caption="Sum of OT_Hrs" numFmtId="0" hierarchy="129" level="32767"/>
    <cacheField name="[Measures].[Absent Days]" caption="Absent Days" numFmtId="0" hierarchy="116" level="32767"/>
    <cacheField name="[Measures].[OT Cost]" caption="OT Cost" numFmtId="0" hierarchy="83" level="32767"/>
    <cacheField name="[Measures].[Normal Cost]" caption="Normal Cost" numFmtId="0" hierarchy="84" level="32767"/>
    <cacheField name="[Measures].[Total Days]" caption="Total Days" numFmtId="0" hierarchy="86" level="32767"/>
    <cacheField name="[Measures].[Valid Worker]" caption="Valid Worker" numFmtId="0" hierarchy="108" level="32767"/>
    <cacheField name="[Measures].[OT per Worker]" caption="OT per Worker" numFmtId="0" hierarchy="112" level="32767"/>
    <cacheField name="[Measures].[Cost per Worker]" caption="Cost per Worker" numFmtId="0" hierarchy="110" level="32767"/>
    <cacheField name="[Measures].[Projects per Employee]" caption="Projects per Employee" numFmtId="0" hierarchy="114"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15"/>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0"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oneField="1">
      <fieldsUsage count="1">
        <fieldUsage x="8"/>
      </fieldsUsage>
    </cacheHierarchy>
    <cacheHierarchy uniqueName="[Measures].[Normal Cost]" caption="Normal Cost" measure="1" displayFolder="" measureGroup="Daily_Work" count="0" oneField="1">
      <fieldsUsage count="1">
        <fieldUsage x="9"/>
      </fieldsUsage>
    </cacheHierarchy>
    <cacheHierarchy uniqueName="[Measures].[Total Work Cost]" caption="Total Work Cost" measure="1" displayFolder="" measureGroup="Daily_Work" count="0" oneField="1">
      <fieldsUsage count="1">
        <fieldUsage x="1"/>
      </fieldsUsage>
    </cacheHierarchy>
    <cacheHierarchy uniqueName="[Measures].[Total Days]" caption="Total Days" measure="1" displayFolder="" measureGroup="Daily_Work" count="0" oneField="1">
      <fieldsUsage count="1">
        <fieldUsage x="10"/>
      </fieldsUsage>
    </cacheHierarchy>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oneField="1">
      <fieldsUsage count="1">
        <fieldUsage x="0"/>
      </fieldsUsage>
    </cacheHierarchy>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oneField="1">
      <fieldsUsage count="1">
        <fieldUsage x="11"/>
      </fieldsUsage>
    </cacheHierarchy>
    <cacheHierarchy uniqueName="[Measures].[Workers Count]" caption="Workers Count" measure="1" displayFolder="" measureGroup="Daily_Work" count="0" oneField="1">
      <fieldsUsage count="1">
        <fieldUsage x="2"/>
      </fieldsUsage>
    </cacheHierarchy>
    <cacheHierarchy uniqueName="[Measures].[Cost per Worker]" caption="Cost per Worker" measure="1" displayFolder="" measureGroup="Daily_Work" count="0" oneField="1">
      <fieldsUsage count="1">
        <fieldUsage x="13"/>
      </fieldsUsage>
    </cacheHierarchy>
    <cacheHierarchy uniqueName="[Measures].[OT %]" caption="OT %" measure="1" displayFolder="" measureGroup="Daily_Work" count="0"/>
    <cacheHierarchy uniqueName="[Measures].[OT per Worker]" caption="OT per Worker" measure="1" displayFolder="" measureGroup="Daily_Work" count="0" oneField="1">
      <fieldsUsage count="1">
        <fieldUsage x="12"/>
      </fieldsUsage>
    </cacheHierarchy>
    <cacheHierarchy uniqueName="[Measures].[Total Work Days]" caption="Total Work Days" measure="1" displayFolder="" measureGroup="Daily_Work" count="0" oneField="1">
      <fieldsUsage count="1">
        <fieldUsage x="3"/>
      </fieldsUsage>
    </cacheHierarchy>
    <cacheHierarchy uniqueName="[Measures].[Projects per Employee]" caption="Projects per Employee" measure="1" displayFolder="" measureGroup="Daily_Work" count="0" oneField="1">
      <fieldsUsage count="1">
        <fieldUsage x="14"/>
      </fieldsUsage>
    </cacheHierarchy>
    <cacheHierarchy uniqueName="[Measures].[Days per Worker]" caption="Days per Worker" measure="1" displayFolder="" measureGroup="Daily_Work" count="0" oneField="1">
      <fieldsUsage count="1">
        <fieldUsage x="4"/>
      </fieldsUsage>
    </cacheHierarchy>
    <cacheHierarchy uniqueName="[Measures].[Absent Days]" caption="Absent Days" measure="1" displayFolder="" measureGroup="Master_Employee" count="0" oneField="1">
      <fieldsUsage count="1">
        <fieldUsage x="7"/>
      </fieldsUsage>
    </cacheHierarchy>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oneField="1" hidden="1">
      <fieldsUsage count="1">
        <fieldUsage x="5"/>
      </fieldsUsage>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oneField="1" hidden="1">
      <fieldsUsage count="1">
        <fieldUsage x="6"/>
      </fieldsUsage>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5162034" backgroundQuery="1" createdVersion="8" refreshedVersion="8" minRefreshableVersion="3" recordCount="0" supportSubquery="1" supportAdvancedDrill="1" xr:uid="{C8D579F0-0AEB-45DF-A0B9-F4819F1EAE14}">
  <cacheSource type="external" connectionId="6"/>
  <cacheFields count="4">
    <cacheField name="[Measures].[Project Cost]" caption="Project Cost" numFmtId="0" hierarchy="98" level="32767"/>
    <cacheField name="[tbl_Projects].[Project_Name].[Project_Name]" caption="Project_Name" numFmtId="0" hierarchy="59" level="1">
      <sharedItems count="26">
        <s v="امل الشمري"/>
        <s v="جابر سالم الغواص"/>
        <s v="جابر قحيز المري"/>
        <s v="حمد المعاضيد"/>
        <s v="حمد عايض حسين الاحبابي"/>
        <s v="سعد الدوسري"/>
        <s v="سعد عزران"/>
        <s v="سعود الأحبابي"/>
        <s v="سعود الفهد"/>
        <s v="سعود نقدان"/>
        <s v="سعود وعبدالرحمن  ناقادان"/>
        <s v="سعيد صالح الجحيش"/>
        <s v="صالح العذبة"/>
        <s v="عبد الهادي السهلي"/>
        <s v="عبدالرحمن نقدان"/>
        <s v="عبدالعزيز قحيز المري"/>
        <s v="عبدالهادي الماجد"/>
        <s v="عمارة الدوسري"/>
        <s v="عمير راشد المري"/>
        <s v="فهد ظافر القحطاني"/>
        <s v="فهد ونواف الكربى"/>
        <s v="فيصل محمد العذبة"/>
        <s v="مصطفى"/>
        <s v="ناصر الحايف"/>
        <s v="نايف الموسى"/>
        <s v="هزاع مبارك الهاجري"/>
      </sharedItems>
      <extLst>
        <ext xmlns:x15="http://schemas.microsoft.com/office/spreadsheetml/2010/11/main" uri="{4F2E5C28-24EA-4eb8-9CBF-B6C8F9C3D259}">
          <x15:cachedUniqueNames>
            <x15:cachedUniqueName index="0" name="[tbl_Projects].[Project_Name].&amp;[امل الشمري]"/>
            <x15:cachedUniqueName index="1" name="[tbl_Projects].[Project_Name].&amp;[جابر سالم الغواص]"/>
            <x15:cachedUniqueName index="2" name="[tbl_Projects].[Project_Name].&amp;[جابر قحيز المري]"/>
            <x15:cachedUniqueName index="3" name="[tbl_Projects].[Project_Name].&amp;[حمد المعاضيد]"/>
            <x15:cachedUniqueName index="4" name="[tbl_Projects].[Project_Name].&amp;[حمد عايض حسين الاحبابي]"/>
            <x15:cachedUniqueName index="5" name="[tbl_Projects].[Project_Name].&amp;[سعد الدوسري]"/>
            <x15:cachedUniqueName index="6" name="[tbl_Projects].[Project_Name].&amp;[سعد عزران]"/>
            <x15:cachedUniqueName index="7" name="[tbl_Projects].[Project_Name].&amp;[سعود الأحبابي]"/>
            <x15:cachedUniqueName index="8" name="[tbl_Projects].[Project_Name].&amp;[سعود الفهد]"/>
            <x15:cachedUniqueName index="9" name="[tbl_Projects].[Project_Name].&amp;[سعود نقدان]"/>
            <x15:cachedUniqueName index="10" name="[tbl_Projects].[Project_Name].&amp;[سعود وعبدالرحمن  ناقادان]"/>
            <x15:cachedUniqueName index="11" name="[tbl_Projects].[Project_Name].&amp;[سعيد صالح الجحيش]"/>
            <x15:cachedUniqueName index="12" name="[tbl_Projects].[Project_Name].&amp;[صالح العذبة]"/>
            <x15:cachedUniqueName index="13" name="[tbl_Projects].[Project_Name].&amp;[عبد الهادي السهلي]"/>
            <x15:cachedUniqueName index="14" name="[tbl_Projects].[Project_Name].&amp;[عبدالرحمن نقدان]"/>
            <x15:cachedUniqueName index="15" name="[tbl_Projects].[Project_Name].&amp;[عبدالعزيز قحيز المري]"/>
            <x15:cachedUniqueName index="16" name="[tbl_Projects].[Project_Name].&amp;[عبدالهادي الماجد]"/>
            <x15:cachedUniqueName index="17" name="[tbl_Projects].[Project_Name].&amp;[عمارة الدوسري]"/>
            <x15:cachedUniqueName index="18" name="[tbl_Projects].[Project_Name].&amp;[عمير راشد المري]"/>
            <x15:cachedUniqueName index="19" name="[tbl_Projects].[Project_Name].&amp;[فهد ظافر القحطاني]"/>
            <x15:cachedUniqueName index="20" name="[tbl_Projects].[Project_Name].&amp;[فهد ونواف الكربى]"/>
            <x15:cachedUniqueName index="21" name="[tbl_Projects].[Project_Name].&amp;[فيصل محمد العذبة]"/>
            <x15:cachedUniqueName index="22" name="[tbl_Projects].[Project_Name].&amp;[مصطفى]"/>
            <x15:cachedUniqueName index="23" name="[tbl_Projects].[Project_Name].&amp;[ناصر الحايف]"/>
            <x15:cachedUniqueName index="24" name="[tbl_Projects].[Project_Name].&amp;[نايف الموسى]"/>
            <x15:cachedUniqueName index="25" name="[tbl_Projects].[Project_Name].&amp;[هزاع مبارك الهاجري]"/>
          </x15:cachedUniqueNames>
        </ext>
      </extLst>
    </cacheField>
    <cacheField name="[Daily_Work].[Department].[Department]" caption="Department" numFmtId="0" hierarchy="5" level="1">
      <sharedItems containsSemiMixedTypes="0" containsNonDate="0" containsString="0"/>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2" memberValueDatatype="130" unbalanced="0">
      <fieldsUsage count="2">
        <fieldUsage x="-1"/>
        <fieldUsage x="2"/>
      </fieldsUsage>
    </cacheHierarchy>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3"/>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0"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fieldsUsage count="2">
        <fieldUsage x="-1"/>
        <fieldUsage x="1"/>
      </fieldsUsage>
    </cacheHierarchy>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oneField="1">
      <fieldsUsage count="1">
        <fieldUsage x="0"/>
      </fieldsUsage>
    </cacheHierarchy>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6550927" backgroundQuery="1" createdVersion="8" refreshedVersion="8" minRefreshableVersion="3" recordCount="0" supportSubquery="1" supportAdvancedDrill="1" xr:uid="{6F929ADE-5488-4A2F-8735-0A50BDD7CB37}">
  <cacheSource type="external" connectionId="6"/>
  <cacheFields count="4">
    <cacheField name="[tbl_Projects].[Project_Name].[Project_Name]" caption="Project_Name" numFmtId="0" hierarchy="59" level="1">
      <sharedItems containsBlank="1" count="28">
        <s v="الحجر"/>
        <s v="امل الشمري"/>
        <s v="جابر سالم الغواص"/>
        <s v="جابر قحيز المري"/>
        <s v="حمد المعاضيد"/>
        <s v="حمد عايض حسين الاحبابي"/>
        <s v="سعد الدوسري"/>
        <s v="سعد عزران"/>
        <s v="سعود الأحبابي"/>
        <s v="سعود الفهد"/>
        <s v="سعود نقدان"/>
        <s v="سعود وعبدالرحمن  ناقادان"/>
        <s v="سعيد صالح الجحيش"/>
        <s v="صالح العذبة"/>
        <s v="عبد الهادي السهلي"/>
        <s v="عبدالرحمن نقدان"/>
        <s v="عبدالعزيز قحيز المري"/>
        <s v="عبدالهادي الماجد"/>
        <s v="عمارة الدوسري"/>
        <s v="عمير راشد المري"/>
        <s v="فهد ظافر القحطاني"/>
        <s v="فهد ونواف الكربى"/>
        <s v="فيصل محمد العذبة"/>
        <s v="مصطفى"/>
        <s v="ناصر الحايف"/>
        <s v="نايف الموسى"/>
        <s v="هزاع مبارك الهاجري"/>
        <m/>
      </sharedItems>
      <extLst>
        <ext xmlns:x15="http://schemas.microsoft.com/office/spreadsheetml/2010/11/main" uri="{4F2E5C28-24EA-4eb8-9CBF-B6C8F9C3D259}">
          <x15:cachedUniqueNames>
            <x15:cachedUniqueName index="0" name="[tbl_Projects].[Project_Name].&amp;[الحجر]"/>
            <x15:cachedUniqueName index="1" name="[tbl_Projects].[Project_Name].&amp;[امل الشمري]"/>
            <x15:cachedUniqueName index="2" name="[tbl_Projects].[Project_Name].&amp;[جابر سالم الغواص]"/>
            <x15:cachedUniqueName index="3" name="[tbl_Projects].[Project_Name].&amp;[جابر قحيز المري]"/>
            <x15:cachedUniqueName index="4" name="[tbl_Projects].[Project_Name].&amp;[حمد المعاضيد]"/>
            <x15:cachedUniqueName index="5" name="[tbl_Projects].[Project_Name].&amp;[حمد عايض حسين الاحبابي]"/>
            <x15:cachedUniqueName index="6" name="[tbl_Projects].[Project_Name].&amp;[سعد الدوسري]"/>
            <x15:cachedUniqueName index="7" name="[tbl_Projects].[Project_Name].&amp;[سعد عزران]"/>
            <x15:cachedUniqueName index="8" name="[tbl_Projects].[Project_Name].&amp;[سعود الأحبابي]"/>
            <x15:cachedUniqueName index="9" name="[tbl_Projects].[Project_Name].&amp;[سعود الفهد]"/>
            <x15:cachedUniqueName index="10" name="[tbl_Projects].[Project_Name].&amp;[سعود نقدان]"/>
            <x15:cachedUniqueName index="11" name="[tbl_Projects].[Project_Name].&amp;[سعود وعبدالرحمن  ناقادان]"/>
            <x15:cachedUniqueName index="12" name="[tbl_Projects].[Project_Name].&amp;[سعيد صالح الجحيش]"/>
            <x15:cachedUniqueName index="13" name="[tbl_Projects].[Project_Name].&amp;[صالح العذبة]"/>
            <x15:cachedUniqueName index="14" name="[tbl_Projects].[Project_Name].&amp;[عبد الهادي السهلي]"/>
            <x15:cachedUniqueName index="15" name="[tbl_Projects].[Project_Name].&amp;[عبدالرحمن نقدان]"/>
            <x15:cachedUniqueName index="16" name="[tbl_Projects].[Project_Name].&amp;[عبدالعزيز قحيز المري]"/>
            <x15:cachedUniqueName index="17" name="[tbl_Projects].[Project_Name].&amp;[عبدالهادي الماجد]"/>
            <x15:cachedUniqueName index="18" name="[tbl_Projects].[Project_Name].&amp;[عمارة الدوسري]"/>
            <x15:cachedUniqueName index="19" name="[tbl_Projects].[Project_Name].&amp;[عمير راشد المري]"/>
            <x15:cachedUniqueName index="20" name="[tbl_Projects].[Project_Name].&amp;[فهد ظافر القحطاني]"/>
            <x15:cachedUniqueName index="21" name="[tbl_Projects].[Project_Name].&amp;[فهد ونواف الكربى]"/>
            <x15:cachedUniqueName index="22" name="[tbl_Projects].[Project_Name].&amp;[فيصل محمد العذبة]"/>
            <x15:cachedUniqueName index="23" name="[tbl_Projects].[Project_Name].&amp;[مصطفى]"/>
            <x15:cachedUniqueName index="24" name="[tbl_Projects].[Project_Name].&amp;[ناصر الحايف]"/>
            <x15:cachedUniqueName index="25" name="[tbl_Projects].[Project_Name].&amp;[نايف الموسى]"/>
            <x15:cachedUniqueName index="26" name="[tbl_Projects].[Project_Name].&amp;[هزاع مبارك الهاجري]"/>
            <x15:cachedUniqueName index="27" name="[tbl_Projects].[Project_Name].&amp;"/>
          </x15:cachedUniqueNames>
        </ext>
      </extLst>
    </cacheField>
    <cacheField name="[Measures].[Sum of Normal_Cost]" caption="Sum of Normal_Cost" numFmtId="0" hierarchy="130" level="32767"/>
    <cacheField name="[Measures].[Sum of OT_Cost]" caption="Sum of OT_Cost" numFmtId="0" hierarchy="131"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3"/>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fieldsUsage count="2">
        <fieldUsage x="-1"/>
        <fieldUsage x="0"/>
      </fieldsUsage>
    </cacheHierarchy>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689815" backgroundQuery="1" createdVersion="8" refreshedVersion="8" minRefreshableVersion="3" recordCount="0" supportSubquery="1" supportAdvancedDrill="1" xr:uid="{9CAC88E2-09BA-40B2-927D-A1D036CE7612}">
  <cacheSource type="external" connectionId="6"/>
  <cacheFields count="5">
    <cacheField name="[tbl_Projects].[Project_Name].[Project_Name]" caption="Project_Name" numFmtId="0" hierarchy="59" level="1">
      <sharedItems containsBlank="1" count="28">
        <s v="الحجر"/>
        <s v="امل الشمري"/>
        <s v="جابر سالم الغواص"/>
        <s v="جابر قحيز المري"/>
        <s v="حمد المعاضيد"/>
        <s v="حمد عايض حسين الاحبابي"/>
        <s v="سعد الدوسري"/>
        <s v="سعد عزران"/>
        <s v="سعود الأحبابي"/>
        <s v="سعود الفهد"/>
        <s v="سعود نقدان"/>
        <s v="سعود وعبدالرحمن  ناقادان"/>
        <s v="سعيد صالح الجحيش"/>
        <s v="صالح العذبة"/>
        <s v="عبد الهادي السهلي"/>
        <s v="عبدالرحمن نقدان"/>
        <s v="عبدالعزيز قحيز المري"/>
        <s v="عبدالهادي الماجد"/>
        <s v="عمارة الدوسري"/>
        <s v="عمير راشد المري"/>
        <s v="فهد ظافر القحطاني"/>
        <s v="فهد ونواف الكربى"/>
        <s v="فيصل محمد العذبة"/>
        <s v="مصطفى"/>
        <s v="ناصر الحايف"/>
        <s v="نايف الموسى"/>
        <s v="هزاع مبارك الهاجري"/>
        <m/>
      </sharedItems>
      <extLst>
        <ext xmlns:x15="http://schemas.microsoft.com/office/spreadsheetml/2010/11/main" uri="{4F2E5C28-24EA-4eb8-9CBF-B6C8F9C3D259}">
          <x15:cachedUniqueNames>
            <x15:cachedUniqueName index="0" name="[tbl_Projects].[Project_Name].&amp;[الحجر]"/>
            <x15:cachedUniqueName index="1" name="[tbl_Projects].[Project_Name].&amp;[امل الشمري]"/>
            <x15:cachedUniqueName index="2" name="[tbl_Projects].[Project_Name].&amp;[جابر سالم الغواص]"/>
            <x15:cachedUniqueName index="3" name="[tbl_Projects].[Project_Name].&amp;[جابر قحيز المري]"/>
            <x15:cachedUniqueName index="4" name="[tbl_Projects].[Project_Name].&amp;[حمد المعاضيد]"/>
            <x15:cachedUniqueName index="5" name="[tbl_Projects].[Project_Name].&amp;[حمد عايض حسين الاحبابي]"/>
            <x15:cachedUniqueName index="6" name="[tbl_Projects].[Project_Name].&amp;[سعد الدوسري]"/>
            <x15:cachedUniqueName index="7" name="[tbl_Projects].[Project_Name].&amp;[سعد عزران]"/>
            <x15:cachedUniqueName index="8" name="[tbl_Projects].[Project_Name].&amp;[سعود الأحبابي]"/>
            <x15:cachedUniqueName index="9" name="[tbl_Projects].[Project_Name].&amp;[سعود الفهد]"/>
            <x15:cachedUniqueName index="10" name="[tbl_Projects].[Project_Name].&amp;[سعود نقدان]"/>
            <x15:cachedUniqueName index="11" name="[tbl_Projects].[Project_Name].&amp;[سعود وعبدالرحمن  ناقادان]"/>
            <x15:cachedUniqueName index="12" name="[tbl_Projects].[Project_Name].&amp;[سعيد صالح الجحيش]"/>
            <x15:cachedUniqueName index="13" name="[tbl_Projects].[Project_Name].&amp;[صالح العذبة]"/>
            <x15:cachedUniqueName index="14" name="[tbl_Projects].[Project_Name].&amp;[عبد الهادي السهلي]"/>
            <x15:cachedUniqueName index="15" name="[tbl_Projects].[Project_Name].&amp;[عبدالرحمن نقدان]"/>
            <x15:cachedUniqueName index="16" name="[tbl_Projects].[Project_Name].&amp;[عبدالعزيز قحيز المري]"/>
            <x15:cachedUniqueName index="17" name="[tbl_Projects].[Project_Name].&amp;[عبدالهادي الماجد]"/>
            <x15:cachedUniqueName index="18" name="[tbl_Projects].[Project_Name].&amp;[عمارة الدوسري]"/>
            <x15:cachedUniqueName index="19" name="[tbl_Projects].[Project_Name].&amp;[عمير راشد المري]"/>
            <x15:cachedUniqueName index="20" name="[tbl_Projects].[Project_Name].&amp;[فهد ظافر القحطاني]"/>
            <x15:cachedUniqueName index="21" name="[tbl_Projects].[Project_Name].&amp;[فهد ونواف الكربى]"/>
            <x15:cachedUniqueName index="22" name="[tbl_Projects].[Project_Name].&amp;[فيصل محمد العذبة]"/>
            <x15:cachedUniqueName index="23" name="[tbl_Projects].[Project_Name].&amp;[مصطفى]"/>
            <x15:cachedUniqueName index="24" name="[tbl_Projects].[Project_Name].&amp;[ناصر الحايف]"/>
            <x15:cachedUniqueName index="25" name="[tbl_Projects].[Project_Name].&amp;[نايف الموسى]"/>
            <x15:cachedUniqueName index="26" name="[tbl_Projects].[Project_Name].&amp;[هزاع مبارك الهاجري]"/>
            <x15:cachedUniqueName index="27" name="[tbl_Projects].[Project_Name].&amp;"/>
          </x15:cachedUniqueNames>
        </ext>
      </extLst>
    </cacheField>
    <cacheField name="[Measures].[Sum of Normal_Cost]" caption="Sum of Normal_Cost" numFmtId="0" hierarchy="130" level="32767"/>
    <cacheField name="[Measures].[Sum of OT_Cost]" caption="Sum of OT_Cost" numFmtId="0" hierarchy="131" level="32767"/>
    <cacheField name="[tbl_Dept].[Dept_ID].[Dept_ID]" caption="Dept_ID" numFmtId="0" hierarchy="53" level="1">
      <sharedItems containsBlank="1" count="4">
        <s v="ADM_D01"/>
        <s v="CON_D03"/>
        <s v="FIN_D02"/>
        <m/>
      </sharedItems>
      <extLst>
        <ext xmlns:x15="http://schemas.microsoft.com/office/spreadsheetml/2010/11/main" uri="{4F2E5C28-24EA-4eb8-9CBF-B6C8F9C3D259}">
          <x15:cachedUniqueNames>
            <x15:cachedUniqueName index="0" name="[tbl_Dept].[Dept_ID].&amp;[ADM_D01]"/>
            <x15:cachedUniqueName index="1" name="[tbl_Dept].[Dept_ID].&amp;[CON_D03]"/>
            <x15:cachedUniqueName index="2" name="[tbl_Dept].[Dept_ID].&amp;[FIN_D02]"/>
            <x15:cachedUniqueName index="3" name="[tbl_Dept].[Dept_ID].&amp;"/>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2"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2"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4"/>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2" memberValueDatatype="130" unbalanced="0">
      <fieldsUsage count="2">
        <fieldUsage x="-1"/>
        <fieldUsage x="3"/>
      </fieldsUsage>
    </cacheHierarchy>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fieldsUsage count="2">
        <fieldUsage x="-1"/>
        <fieldUsage x="0"/>
      </fieldsUsage>
    </cacheHierarchy>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759259" backgroundQuery="1" createdVersion="8" refreshedVersion="8" minRefreshableVersion="3" recordCount="0" supportSubquery="1" supportAdvancedDrill="1" xr:uid="{84A0039F-5119-4249-9EDE-30327995780B}">
  <cacheSource type="external" connectionId="6"/>
  <cacheFields count="3">
    <cacheField name="[Measures].[Workers Count]" caption="Workers Count" numFmtId="0" hierarchy="109" level="32767"/>
    <cacheField name="[Daily_Work].[Project_Name].[Project_Name]" caption="Project_Name" numFmtId="0" hierarchy="7" level="1">
      <sharedItems count="26">
        <s v="امل الشمري"/>
        <s v="جابر سالم الغواص"/>
        <s v="جابر قحيز المري"/>
        <s v="حمد المعاضيد"/>
        <s v="حمد عايض حسين الاحبابي"/>
        <s v="سعد الدوسري"/>
        <s v="سعد عزران"/>
        <s v="سعود الأحبابي"/>
        <s v="سعود الفهد"/>
        <s v="سعود نقدان"/>
        <s v="سعود وعبدالرحمن  ناقادان"/>
        <s v="سعيد صالح الجحيش"/>
        <s v="صالح العذبة"/>
        <s v="عبد الهادي السهلي"/>
        <s v="عبدالرحمن نقدان"/>
        <s v="عبدالعزيز قحيز المري"/>
        <s v="عبدالهادي الماجد"/>
        <s v="عمارة الدوسري"/>
        <s v="عمير راشد المري"/>
        <s v="فهد ظافر القحطاني"/>
        <s v="فهد ونواف الكربى"/>
        <s v="فيصل محمد العذبة"/>
        <s v="مصطفى"/>
        <s v="ناصر الحايف"/>
        <s v="نايف الموسى"/>
        <s v="هزاع مبارك الهاجري"/>
      </sharedItems>
      <extLst>
        <ext xmlns:x15="http://schemas.microsoft.com/office/spreadsheetml/2010/11/main" uri="{4F2E5C28-24EA-4eb8-9CBF-B6C8F9C3D259}">
          <x15:cachedUniqueNames>
            <x15:cachedUniqueName index="0" name="[Daily_Work].[Project_Name].&amp;[امل الشمري]"/>
            <x15:cachedUniqueName index="1" name="[Daily_Work].[Project_Name].&amp;[جابر سالم الغواص]"/>
            <x15:cachedUniqueName index="2" name="[Daily_Work].[Project_Name].&amp;[جابر قحيز المري]"/>
            <x15:cachedUniqueName index="3" name="[Daily_Work].[Project_Name].&amp;[حمد المعاضيد]"/>
            <x15:cachedUniqueName index="4" name="[Daily_Work].[Project_Name].&amp;[حمد عايض حسين الاحبابي]"/>
            <x15:cachedUniqueName index="5" name="[Daily_Work].[Project_Name].&amp;[سعد الدوسري]"/>
            <x15:cachedUniqueName index="6" name="[Daily_Work].[Project_Name].&amp;[سعد عزران]"/>
            <x15:cachedUniqueName index="7" name="[Daily_Work].[Project_Name].&amp;[سعود الأحبابي]"/>
            <x15:cachedUniqueName index="8" name="[Daily_Work].[Project_Name].&amp;[سعود الفهد]"/>
            <x15:cachedUniqueName index="9" name="[Daily_Work].[Project_Name].&amp;[سعود نقدان]"/>
            <x15:cachedUniqueName index="10" name="[Daily_Work].[Project_Name].&amp;[سعود وعبدالرحمن  ناقادان]"/>
            <x15:cachedUniqueName index="11" name="[Daily_Work].[Project_Name].&amp;[سعيد صالح الجحيش]"/>
            <x15:cachedUniqueName index="12" name="[Daily_Work].[Project_Name].&amp;[صالح العذبة]"/>
            <x15:cachedUniqueName index="13" name="[Daily_Work].[Project_Name].&amp;[عبد الهادي السهلي]"/>
            <x15:cachedUniqueName index="14" name="[Daily_Work].[Project_Name].&amp;[عبدالرحمن نقدان]"/>
            <x15:cachedUniqueName index="15" name="[Daily_Work].[Project_Name].&amp;[عبدالعزيز قحيز المري]"/>
            <x15:cachedUniqueName index="16" name="[Daily_Work].[Project_Name].&amp;[عبدالهادي الماجد]"/>
            <x15:cachedUniqueName index="17" name="[Daily_Work].[Project_Name].&amp;[عمارة الدوسري]"/>
            <x15:cachedUniqueName index="18" name="[Daily_Work].[Project_Name].&amp;[عمير راشد المري]"/>
            <x15:cachedUniqueName index="19" name="[Daily_Work].[Project_Name].&amp;[فهد ظافر القحطاني]"/>
            <x15:cachedUniqueName index="20" name="[Daily_Work].[Project_Name].&amp;[فهد ونواف الكربى]"/>
            <x15:cachedUniqueName index="21" name="[Daily_Work].[Project_Name].&amp;[فيصل محمد العذبة]"/>
            <x15:cachedUniqueName index="22" name="[Daily_Work].[Project_Name].&amp;[مصطفى]"/>
            <x15:cachedUniqueName index="23" name="[Daily_Work].[Project_Name].&amp;[ناصر الحايف]"/>
            <x15:cachedUniqueName index="24" name="[Daily_Work].[Project_Name].&amp;[نايف الموسى]"/>
            <x15:cachedUniqueName index="25" name="[Daily_Work].[Project_Name].&amp;[هزاع مبارك الهاجري]"/>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2"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2" memberValueDatatype="130" unbalanced="0">
      <fieldsUsage count="2">
        <fieldUsage x="-1"/>
        <fieldUsage x="1"/>
      </fieldsUsage>
    </cacheHierarchy>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2"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oneField="1">
      <fieldsUsage count="1">
        <fieldUsage x="0"/>
      </fieldsUsage>
    </cacheHierarchy>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8287036" backgroundQuery="1" createdVersion="8" refreshedVersion="8" minRefreshableVersion="3" recordCount="0" supportSubquery="1" supportAdvancedDrill="1" xr:uid="{EE000F28-B3EC-456C-99E1-6C552A136B57}">
  <cacheSource type="external" connectionId="6"/>
  <cacheFields count="4">
    <cacheField name="[tbl_Projects].[Project_Name].[Project_Name]" caption="Project_Name" numFmtId="0" hierarchy="59" level="1">
      <sharedItems containsBlank="1" count="28">
        <s v="الحجر"/>
        <s v="امل الشمري"/>
        <s v="جابر سالم الغواص"/>
        <s v="جابر قحيز المري"/>
        <s v="حمد المعاضيد"/>
        <s v="حمد عايض حسين الاحبابي"/>
        <s v="سعد الدوسري"/>
        <s v="سعد عزران"/>
        <s v="سعود الأحبابي"/>
        <s v="سعود الفهد"/>
        <s v="سعود نقدان"/>
        <s v="سعود وعبدالرحمن  ناقادان"/>
        <s v="سعيد صالح الجحيش"/>
        <s v="صالح العذبة"/>
        <s v="عبد الهادي السهلي"/>
        <s v="عبدالرحمن نقدان"/>
        <s v="عبدالعزيز قحيز المري"/>
        <s v="عبدالهادي الماجد"/>
        <s v="عمارة الدوسري"/>
        <s v="عمير راشد المري"/>
        <s v="فهد ظافر القحطاني"/>
        <s v="فهد ونواف الكربى"/>
        <s v="فيصل محمد العذبة"/>
        <s v="مصطفى"/>
        <s v="ناصر الحايف"/>
        <s v="نايف الموسى"/>
        <s v="هزاع مبارك الهاجري"/>
        <m/>
      </sharedItems>
      <extLst>
        <ext xmlns:x15="http://schemas.microsoft.com/office/spreadsheetml/2010/11/main" uri="{4F2E5C28-24EA-4eb8-9CBF-B6C8F9C3D259}">
          <x15:cachedUniqueNames>
            <x15:cachedUniqueName index="0" name="[tbl_Projects].[Project_Name].&amp;[الحجر]"/>
            <x15:cachedUniqueName index="1" name="[tbl_Projects].[Project_Name].&amp;[امل الشمري]"/>
            <x15:cachedUniqueName index="2" name="[tbl_Projects].[Project_Name].&amp;[جابر سالم الغواص]"/>
            <x15:cachedUniqueName index="3" name="[tbl_Projects].[Project_Name].&amp;[جابر قحيز المري]"/>
            <x15:cachedUniqueName index="4" name="[tbl_Projects].[Project_Name].&amp;[حمد المعاضيد]"/>
            <x15:cachedUniqueName index="5" name="[tbl_Projects].[Project_Name].&amp;[حمد عايض حسين الاحبابي]"/>
            <x15:cachedUniqueName index="6" name="[tbl_Projects].[Project_Name].&amp;[سعد الدوسري]"/>
            <x15:cachedUniqueName index="7" name="[tbl_Projects].[Project_Name].&amp;[سعد عزران]"/>
            <x15:cachedUniqueName index="8" name="[tbl_Projects].[Project_Name].&amp;[سعود الأحبابي]"/>
            <x15:cachedUniqueName index="9" name="[tbl_Projects].[Project_Name].&amp;[سعود الفهد]"/>
            <x15:cachedUniqueName index="10" name="[tbl_Projects].[Project_Name].&amp;[سعود نقدان]"/>
            <x15:cachedUniqueName index="11" name="[tbl_Projects].[Project_Name].&amp;[سعود وعبدالرحمن  ناقادان]"/>
            <x15:cachedUniqueName index="12" name="[tbl_Projects].[Project_Name].&amp;[سعيد صالح الجحيش]"/>
            <x15:cachedUniqueName index="13" name="[tbl_Projects].[Project_Name].&amp;[صالح العذبة]"/>
            <x15:cachedUniqueName index="14" name="[tbl_Projects].[Project_Name].&amp;[عبد الهادي السهلي]"/>
            <x15:cachedUniqueName index="15" name="[tbl_Projects].[Project_Name].&amp;[عبدالرحمن نقدان]"/>
            <x15:cachedUniqueName index="16" name="[tbl_Projects].[Project_Name].&amp;[عبدالعزيز قحيز المري]"/>
            <x15:cachedUniqueName index="17" name="[tbl_Projects].[Project_Name].&amp;[عبدالهادي الماجد]"/>
            <x15:cachedUniqueName index="18" name="[tbl_Projects].[Project_Name].&amp;[عمارة الدوسري]"/>
            <x15:cachedUniqueName index="19" name="[tbl_Projects].[Project_Name].&amp;[عمير راشد المري]"/>
            <x15:cachedUniqueName index="20" name="[tbl_Projects].[Project_Name].&amp;[فهد ظافر القحطاني]"/>
            <x15:cachedUniqueName index="21" name="[tbl_Projects].[Project_Name].&amp;[فهد ونواف الكربى]"/>
            <x15:cachedUniqueName index="22" name="[tbl_Projects].[Project_Name].&amp;[فيصل محمد العذبة]"/>
            <x15:cachedUniqueName index="23" name="[tbl_Projects].[Project_Name].&amp;[مصطفى]"/>
            <x15:cachedUniqueName index="24" name="[tbl_Projects].[Project_Name].&amp;[ناصر الحايف]"/>
            <x15:cachedUniqueName index="25" name="[tbl_Projects].[Project_Name].&amp;[نايف الموسى]"/>
            <x15:cachedUniqueName index="26" name="[tbl_Projects].[Project_Name].&amp;[هزاع مبارك الهاجري]"/>
            <x15:cachedUniqueName index="27" name="[tbl_Projects].[Project_Name].&amp;"/>
          </x15:cachedUniqueNames>
        </ext>
      </extLst>
    </cacheField>
    <cacheField name="[Measures].[Sum of Normal_Cost]" caption="Sum of Normal_Cost" numFmtId="0" hierarchy="130" level="32767"/>
    <cacheField name="[Measures].[Sum of OT_Cost]" caption="Sum of OT_Cost" numFmtId="0" hierarchy="131"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3"/>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fieldsUsage count="2">
        <fieldUsage x="-1"/>
        <fieldUsage x="0"/>
      </fieldsUsage>
    </cacheHierarchy>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8749998" backgroundQuery="1" createdVersion="8" refreshedVersion="8" minRefreshableVersion="3" recordCount="0" supportSubquery="1" supportAdvancedDrill="1" xr:uid="{F20A9B98-DD5B-4F32-8F9A-3FAF4984A5EA}">
  <cacheSource type="external" connectionId="6"/>
  <cacheFields count="3">
    <cacheField name="[Master_Employee].[Payment_Method].[Payment_Method]" caption="Payment_Method" numFmtId="0" hierarchy="35" level="1">
      <sharedItems count="3">
        <s v="Bank - بنك"/>
        <s v="cash - نقدا"/>
        <s v="Vodafone - فودافون"/>
      </sharedItems>
      <extLst>
        <ext xmlns:x15="http://schemas.microsoft.com/office/spreadsheetml/2010/11/main" uri="{4F2E5C28-24EA-4eb8-9CBF-B6C8F9C3D259}">
          <x15:cachedUniqueNames>
            <x15:cachedUniqueName index="0" name="[Master_Employee].[Payment_Method].&amp;[Bank - بنك]"/>
            <x15:cachedUniqueName index="1" name="[Master_Employee].[Payment_Method].&amp;[cash - نقدا]"/>
            <x15:cachedUniqueName index="2" name="[Master_Employee].[Payment_Method].&amp;[Vodafone - فودافون]"/>
          </x15:cachedUniqueNames>
        </ext>
      </extLst>
    </cacheField>
    <cacheField name="[Measures].[Net Salary]" caption="Net Salary" numFmtId="0" hierarchy="93" level="32767"/>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2" memberValueDatatype="20" unbalanced="0"/>
    <cacheHierarchy uniqueName="[Daily_Work].[Month]" caption="Month" attribute="1" time="1" defaultMemberUniqueName="[Daily_Work].[Month].[All]" allUniqueName="[Daily_Work].[Month].[All]" dimensionUniqueName="[Daily_Work]" displayFolder="" count="2" memberValueDatatype="7" unbalanced="0"/>
    <cacheHierarchy uniqueName="[Daily_Work].[Emp_ID]" caption="Emp_ID" attribute="1" defaultMemberUniqueName="[Daily_Work].[Emp_ID].[All]" allUniqueName="[Daily_Work].[Emp_ID].[All]" dimensionUniqueName="[Daily_Work]" displayFolder="" count="2" memberValueDatatype="130" unbalanced="0"/>
    <cacheHierarchy uniqueName="[Daily_Work].[Name_AR]" caption="Name_AR" attribute="1" defaultMemberUniqueName="[Daily_Work].[Name_AR].[All]" allUniqueName="[Daily_Work].[Name_AR].[All]" dimensionUniqueName="[Daily_Work]" displayFolder="" count="2" memberValueDatatype="130" unbalanced="0"/>
    <cacheHierarchy uniqueName="[Daily_Work].[Name_EN]" caption="Name_EN" attribute="1" defaultMemberUniqueName="[Daily_Work].[Name_EN].[All]" allUniqueName="[Daily_Work].[Name_EN].[All]" dimensionUniqueName="[Daily_Work]" displayFolder="" count="2" memberValueDatatype="130" unbalanced="0"/>
    <cacheHierarchy uniqueName="[Daily_Work].[Department]" caption="Department" attribute="1" defaultMemberUniqueName="[Daily_Work].[Department].[All]" allUniqueName="[Daily_Work].[Department].[All]" dimensionUniqueName="[Daily_Work]" displayFolder="" count="2"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2" memberValueDatatype="130" unbalanced="0"/>
    <cacheHierarchy uniqueName="[Daily_Work].[Project_ID]" caption="Project_ID" attribute="1" defaultMemberUniqueName="[Daily_Work].[Project_ID].[All]" allUniqueName="[Daily_Work].[Project_ID].[All]" dimensionUniqueName="[Daily_Work]" displayFolder="" count="2" memberValueDatatype="130" unbalanced="0"/>
    <cacheHierarchy uniqueName="[Daily_Work].[Emp_Status]" caption="Emp_Status" attribute="1" defaultMemberUniqueName="[Daily_Work].[Emp_Status].[All]" allUniqueName="[Daily_Work].[Emp_Status].[All]" dimensionUniqueName="[Daily_Work]" displayFolder="" count="2" memberValueDatatype="130" unbalanced="0"/>
    <cacheHierarchy uniqueName="[Daily_Work].[Status_Code]" caption="Status_Code" attribute="1" defaultMemberUniqueName="[Daily_Work].[Status_Code].[All]" allUniqueName="[Daily_Work].[Status_Code].[All]" dimensionUniqueName="[Daily_Work]" displayFolder="" count="2" memberValueDatatype="20" unbalanced="0"/>
    <cacheHierarchy uniqueName="[Daily_Work].[Days_Work]" caption="Days_Work" attribute="1" defaultMemberUniqueName="[Daily_Work].[Days_Work].[All]" allUniqueName="[Daily_Work].[Days_Work].[All]" dimensionUniqueName="[Daily_Work]" displayFolder="" count="2" memberValueDatatype="20" unbalanced="0"/>
    <cacheHierarchy uniqueName="[Daily_Work].[OT_Hrs]" caption="OT_Hrs" attribute="1" defaultMemberUniqueName="[Daily_Work].[OT_Hrs].[All]" allUniqueName="[Daily_Work].[OT_Hrs].[All]" dimensionUniqueName="[Daily_Work]" displayFolder="" count="2" memberValueDatatype="20" unbalanced="0"/>
    <cacheHierarchy uniqueName="[Daily_Work].[Normal_Hrs]" caption="Normal_Hrs" attribute="1" defaultMemberUniqueName="[Daily_Work].[Normal_Hrs].[All]" allUniqueName="[Daily_Work].[Normal_Hrs].[All]" dimensionUniqueName="[Daily_Work]" displayFolder="" count="2" memberValueDatatype="20" unbalanced="0"/>
    <cacheHierarchy uniqueName="[Daily_Work].[Normal_Cost]" caption="Normal_Cost" attribute="1" defaultMemberUniqueName="[Daily_Work].[Normal_Cost].[All]" allUniqueName="[Daily_Work].[Normal_Cost].[All]" dimensionUniqueName="[Daily_Work]" displayFolder="" count="2" memberValueDatatype="5" unbalanced="0"/>
    <cacheHierarchy uniqueName="[Daily_Work].[OT_Cost]" caption="OT_Cost" attribute="1" defaultMemberUniqueName="[Daily_Work].[OT_Cost].[All]" allUniqueName="[Daily_Work].[OT_Cost].[All]" dimensionUniqueName="[Daily_Work]" displayFolder="" count="2" memberValueDatatype="5" unbalanced="0"/>
    <cacheHierarchy uniqueName="[Master_Employee].[#]" caption="#" attribute="1" defaultMemberUniqueName="[Master_Employee].[#].[All]" allUniqueName="[Master_Employee].[#].[All]" dimensionUniqueName="[Master_Employee]" displayFolder="" count="2" memberValueDatatype="20" unbalanced="0"/>
    <cacheHierarchy uniqueName="[Master_Employee].[Emp_ID]" caption="Emp_ID" attribute="1" defaultMemberUniqueName="[Master_Employee].[Emp_ID].[All]" allUniqueName="[Master_Employee].[Emp_ID].[All]" dimensionUniqueName="[Master_Employee]" displayFolder="" count="2" memberValueDatatype="130" unbalanced="0"/>
    <cacheHierarchy uniqueName="[Master_Employee].[Dept_ID]" caption="Dept_ID" attribute="1" defaultMemberUniqueName="[Master_Employee].[Dept_ID].[All]" allUniqueName="[Master_Employee].[Dept_ID].[All]" dimensionUniqueName="[Master_Employee]" displayFolder="" count="2" memberValueDatatype="130" unbalanced="0"/>
    <cacheHierarchy uniqueName="[Master_Employee].[Department]" caption="Department" attribute="1" defaultMemberUniqueName="[Master_Employee].[Department].[All]" allUniqueName="[Master_Employee].[Department].[All]" dimensionUniqueName="[Master_Employee]" displayFolder="" count="2" memberValueDatatype="130" unbalanced="0"/>
    <cacheHierarchy uniqueName="[Master_Employee].[Department_EN]" caption="Department_EN" attribute="1" defaultMemberUniqueName="[Master_Employee].[Department_EN].[All]" allUniqueName="[Master_Employee].[Department_EN].[All]" dimensionUniqueName="[Master_Employee]" displayFolder="" count="2"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2" memberValueDatatype="130" unbalanced="0"/>
    <cacheHierarchy uniqueName="[Master_Employee].[Supervisor_ID]" caption="Supervisor_ID" attribute="1" defaultMemberUniqueName="[Master_Employee].[Supervisor_ID].[All]" allUniqueName="[Master_Employee].[Supervisor_ID].[All]" dimensionUniqueName="[Master_Employee]" displayFolder="" count="2" memberValueDatatype="130" unbalanced="0"/>
    <cacheHierarchy uniqueName="[Master_Employee].[Name_AR]" caption="Name_AR" attribute="1" defaultMemberUniqueName="[Master_Employee].[Name_AR].[All]" allUniqueName="[Master_Employee].[Name_AR].[All]" dimensionUniqueName="[Master_Employee]" displayFolder="" count="2" memberValueDatatype="130" unbalanced="0"/>
    <cacheHierarchy uniqueName="[Master_Employee].[Name_EN]" caption="Name_EN" attribute="1" defaultMemberUniqueName="[Master_Employee].[Name_EN].[All]" allUniqueName="[Master_Employee].[Name_EN].[All]" dimensionUniqueName="[Master_Employee]" displayFolder="" count="2" memberValueDatatype="130" unbalanced="0"/>
    <cacheHierarchy uniqueName="[Master_Employee].[National_ID]" caption="National_ID" attribute="1" defaultMemberUniqueName="[Master_Employee].[National_ID].[All]" allUniqueName="[Master_Employee].[National_ID].[All]" dimensionUniqueName="[Master_Employee]" displayFolder="" count="2"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2"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2" memberValueDatatype="20" unbalanced="0"/>
    <cacheHierarchy uniqueName="[Master_Employee].[Nationality]" caption="Nationality" attribute="1" defaultMemberUniqueName="[Master_Employee].[Nationality].[All]" allUniqueName="[Master_Employee].[Nationality].[All]" dimensionUniqueName="[Master_Employee]" displayFolder="" count="2"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2" memberValueDatatype="130" unbalanced="0"/>
    <cacheHierarchy uniqueName="[Master_Employee].[Join_Date]" caption="Join_Date" attribute="1" defaultMemberUniqueName="[Master_Employee].[Join_Date].[All]" allUniqueName="[Master_Employee].[Join_Date].[All]" dimensionUniqueName="[Master_Employee]" displayFolder="" count="2"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2"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2"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2" memberValueDatatype="130" unbalanced="0">
      <fieldsUsage count="2">
        <fieldUsage x="-1"/>
        <fieldUsage x="0"/>
      </fieldsUsage>
    </cacheHierarchy>
    <cacheHierarchy uniqueName="[Master_Employee].[Payment_Code]" caption="Payment_Code" attribute="1" defaultMemberUniqueName="[Master_Employee].[Payment_Code].[All]" allUniqueName="[Master_Employee].[Payment_Code].[All]" dimensionUniqueName="[Master_Employee]" displayFolder="" count="2"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2"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2" memberValueDatatype="130" unbalanced="0"/>
    <cacheHierarchy uniqueName="[Master_Employee].[Notes]" caption="Notes" attribute="1" defaultMemberUniqueName="[Master_Employee].[Notes].[All]" allUniqueName="[Master_Employee].[Notes].[All]" dimensionUniqueName="[Master_Employee]" displayFolder="" count="2" memberValueDatatype="130" unbalanced="0"/>
    <cacheHierarchy uniqueName="[Master_Employee].[Basic_Salary]" caption="Basic_Salary" attribute="1" defaultMemberUniqueName="[Master_Employee].[Basic_Salary].[All]" allUniqueName="[Master_Employee].[Basic_Salary].[All]" dimensionUniqueName="[Master_Employee]" displayFolder="" count="2"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2"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2"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2" memberValueDatatype="20" unbalanced="0"/>
    <cacheHierarchy uniqueName="[Master_Employee].[Total_Salary]" caption="Total_Salary" attribute="1" defaultMemberUniqueName="[Master_Employee].[Total_Salary].[All]" allUniqueName="[Master_Employee].[Total_Salary].[All]" dimensionUniqueName="[Master_Employee]" displayFolder="" count="2" memberValueDatatype="20" unbalanced="0"/>
    <cacheHierarchy uniqueName="[Master_Employee].[Daily_Rate]" caption="Daily_Rate" attribute="1" defaultMemberUniqueName="[Master_Employee].[Daily_Rate].[All]" allUniqueName="[Master_Employee].[Daily_Rate].[All]" dimensionUniqueName="[Master_Employee]" displayFolder="" count="2" memberValueDatatype="5" unbalanced="0"/>
    <cacheHierarchy uniqueName="[Master_Employee].[Hour_Rate]" caption="Hour_Rate" attribute="1" defaultMemberUniqueName="[Master_Employee].[Hour_Rate].[All]" allUniqueName="[Master_Employee].[Hour_Rate].[All]" dimensionUniqueName="[Master_Employee]" displayFolder="" count="2" memberValueDatatype="130" unbalanced="0"/>
    <cacheHierarchy uniqueName="[Master_Employee].[OT_Hr_Rate]" caption="OT_Hr_Rate" attribute="1" defaultMemberUniqueName="[Master_Employee].[OT_Hr_Rate].[All]" allUniqueName="[Master_Employee].[OT_Hr_Rate].[All]" dimensionUniqueName="[Master_Employee]" displayFolder="" count="2" memberValueDatatype="5" unbalanced="0"/>
    <cacheHierarchy uniqueName="[Master_Employee].[OT_Multiplier]" caption="OT_Multiplier" attribute="1" defaultMemberUniqueName="[Master_Employee].[OT_Multiplier].[All]" allUniqueName="[Master_Employee].[OT_Multiplier].[All]" dimensionUniqueName="[Master_Employee]" displayFolder="" count="2"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2"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2" memberValueDatatype="130" unbalanced="0"/>
    <cacheHierarchy uniqueName="[tbl_Dept].[#]" caption="#" attribute="1" defaultMemberUniqueName="[tbl_Dept].[#].[All]" allUniqueName="[tbl_Dept].[#].[All]" dimensionUniqueName="[tbl_Dept]" displayFolder="" count="2" memberValueDatatype="20" unbalanced="0"/>
    <cacheHierarchy uniqueName="[tbl_Dept].[Dept_ID]" caption="Dept_ID" attribute="1" defaultMemberUniqueName="[tbl_Dept].[Dept_ID].[All]" allUniqueName="[tbl_Dept].[Dept_ID].[All]" dimensionUniqueName="[tbl_Dept]" displayFolder="" count="2"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2" memberValueDatatype="130" unbalanced="0"/>
    <cacheHierarchy uniqueName="[tbl_Dept].[Notes]" caption="Notes" attribute="1" defaultMemberUniqueName="[tbl_Dept].[Notes].[All]" allUniqueName="[tbl_Dept].[Notes].[All]" dimensionUniqueName="[tbl_Dept]" displayFolder="" count="2" memberValueDatatype="130" unbalanced="0"/>
    <cacheHierarchy uniqueName="[tbl_Projects].[#]" caption="#" attribute="1" defaultMemberUniqueName="[tbl_Projects].[#].[All]" allUniqueName="[tbl_Projects].[#].[All]" dimensionUniqueName="[tbl_Projects]" displayFolder="" count="2" memberValueDatatype="20" unbalanced="0"/>
    <cacheHierarchy uniqueName="[tbl_Projects].[Project_ID]" caption="Project_ID" attribute="1" defaultMemberUniqueName="[tbl_Projects].[Project_ID].[All]" allUniqueName="[tbl_Projects].[Project_ID].[All]" dimensionUniqueName="[tbl_Projects]" displayFolder="" count="2"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2" memberValueDatatype="130" unbalanced="0"/>
    <cacheHierarchy uniqueName="[tbl_Projects].[Location]" caption="Location" attribute="1" defaultMemberUniqueName="[tbl_Projects].[Location].[All]" allUniqueName="[tbl_Projects].[Location].[All]" dimensionUniqueName="[tbl_Projects]" displayFolder="" count="2" memberValueDatatype="130" unbalanced="0"/>
    <cacheHierarchy uniqueName="[tbl_Projects].[Start_Date]" caption="Start_Date" attribute="1" time="1" defaultMemberUniqueName="[tbl_Projects].[Start_Date].[All]" allUniqueName="[tbl_Projects].[Start_Date].[All]" dimensionUniqueName="[tbl_Projects]" displayFolder="" count="2" memberValueDatatype="7" unbalanced="0"/>
    <cacheHierarchy uniqueName="[tbl_Projects].[End_Date]" caption="End_Date" attribute="1" time="1" defaultMemberUniqueName="[tbl_Projects].[End_Date].[All]" allUniqueName="[tbl_Projects].[End_Date].[All]" dimensionUniqueName="[tbl_Projects]" displayFolder="" count="2" memberValueDatatype="7" unbalanced="0"/>
    <cacheHierarchy uniqueName="[tbl_Projects].[Status]" caption="Status" attribute="1" defaultMemberUniqueName="[tbl_Projects].[Status].[All]" allUniqueName="[tbl_Projects].[Status].[All]" dimensionUniqueName="[tbl_Projects]" displayFolder="" count="2" memberValueDatatype="130" unbalanced="0"/>
    <cacheHierarchy uniqueName="[tbl_Projects].[Flag_Status]" caption="Flag_Status" attribute="1" defaultMemberUniqueName="[tbl_Projects].[Flag_Status].[All]" allUniqueName="[tbl_Projects].[Flag_Status].[All]" dimensionUniqueName="[tbl_Projects]" displayFolder="" count="2" memberValueDatatype="130" unbalanced="0"/>
    <cacheHierarchy uniqueName="[tbl_Projects].[Client_Name]" caption="Client_Name" attribute="1" defaultMemberUniqueName="[tbl_Projects].[Client_Name].[All]" allUniqueName="[tbl_Projects].[Client_Name].[All]" dimensionUniqueName="[tbl_Projects]" displayFolder="" count="2" memberValueDatatype="130" unbalanced="0"/>
    <cacheHierarchy uniqueName="[tbl_Projects].[Contact_Number]" caption="Contact_Number" attribute="1" defaultMemberUniqueName="[tbl_Projects].[Contact_Number].[All]" allUniqueName="[tbl_Projects].[Contact_Number].[All]" dimensionUniqueName="[tbl_Projects]" displayFolder="" count="2" memberValueDatatype="130" unbalanced="0"/>
    <cacheHierarchy uniqueName="[tbl_Projects].[Client_Sales]" caption="Client_Sales" attribute="1" defaultMemberUniqueName="[tbl_Projects].[Client_Sales].[All]" allUniqueName="[tbl_Projects].[Client_Sales].[All]" dimensionUniqueName="[tbl_Projects]" displayFolder="" count="2" memberValueDatatype="130" unbalanced="0"/>
    <cacheHierarchy uniqueName="[tbl_Projects].[Notes]" caption="Notes" attribute="1" defaultMemberUniqueName="[tbl_Projects].[Notes].[All]" allUniqueName="[tbl_Projects].[Notes].[All]" dimensionUniqueName="[tbl_Projects]" displayFolder="" count="2" memberValueDatatype="130" unbalanced="0"/>
    <cacheHierarchy uniqueName="[tbl_Transactions].[#]" caption="#" attribute="1" defaultMemberUniqueName="[tbl_Transactions].[#].[All]" allUniqueName="[tbl_Transactions].[#].[All]" dimensionUniqueName="[tbl_Transactions]" displayFolder="" count="2" memberValueDatatype="20" unbalanced="0"/>
    <cacheHierarchy uniqueName="[tbl_Transactions].[Trans_ID]" caption="Trans_ID" attribute="1" defaultMemberUniqueName="[tbl_Transactions].[Trans_ID].[All]" allUniqueName="[tbl_Transactions].[Trans_ID].[All]" dimensionUniqueName="[tbl_Transactions]" displayFolder="" count="2" memberValueDatatype="130" unbalanced="0"/>
    <cacheHierarchy uniqueName="[tbl_Transactions].[Emp_ID]" caption="Emp_ID" attribute="1" defaultMemberUniqueName="[tbl_Transactions].[Emp_ID].[All]" allUniqueName="[tbl_Transactions].[Emp_ID].[All]" dimensionUniqueName="[tbl_Transactions]" displayFolder="" count="2" memberValueDatatype="130" unbalanced="0"/>
    <cacheHierarchy uniqueName="[tbl_Transactions].[Name_AR]" caption="Name_AR" attribute="1" defaultMemberUniqueName="[tbl_Transactions].[Name_AR].[All]" allUniqueName="[tbl_Transactions].[Name_AR].[All]" dimensionUniqueName="[tbl_Transactions]" displayFolder="" count="2" memberValueDatatype="130" unbalanced="0"/>
    <cacheHierarchy uniqueName="[tbl_Transactions].[Name_EN]" caption="Name_EN" attribute="1" defaultMemberUniqueName="[tbl_Transactions].[Name_EN].[All]" allUniqueName="[tbl_Transactions].[Name_EN].[All]" dimensionUniqueName="[tbl_Transactions]" displayFolder="" count="2" memberValueDatatype="130" unbalanced="0"/>
    <cacheHierarchy uniqueName="[tbl_Transactions].[Department]" caption="Department" attribute="1" defaultMemberUniqueName="[tbl_Transactions].[Department].[All]" allUniqueName="[tbl_Transactions].[Department].[All]" dimensionUniqueName="[tbl_Transactions]" displayFolder="" count="2" memberValueDatatype="130" unbalanced="0"/>
    <cacheHierarchy uniqueName="[tbl_Transactions].[Project_Name]" caption="Project_Name" attribute="1" defaultMemberUniqueName="[tbl_Transactions].[Project_Name].[All]" allUniqueName="[tbl_Transactions].[Project_Name].[All]" dimensionUniqueName="[tbl_Transactions]" displayFolder="" count="2" memberValueDatatype="130" unbalanced="0"/>
    <cacheHierarchy uniqueName="[tbl_Transactions].[Date]" caption="Date" attribute="1" time="1" defaultMemberUniqueName="[tbl_Transactions].[Date].[All]" allUniqueName="[tbl_Transactions].[Date].[All]" dimensionUniqueName="[tbl_Transactions]" displayFolder="" count="2" memberValueDatatype="7" unbalanced="0"/>
    <cacheHierarchy uniqueName="[tbl_Transactions].[Type]" caption="Type" attribute="1" defaultMemberUniqueName="[tbl_Transactions].[Type].[All]" allUniqueName="[tbl_Transactions].[Type].[All]" dimensionUniqueName="[tbl_Transactions]" displayFolder="" count="2" memberValueDatatype="130" unbalanced="0"/>
    <cacheHierarchy uniqueName="[tbl_Transactions].[Type_Code]" caption="Type_Code" attribute="1" defaultMemberUniqueName="[tbl_Transactions].[Type_Code].[All]" allUniqueName="[tbl_Transactions].[Type_Code].[All]" dimensionUniqueName="[tbl_Transactions]" displayFolder="" count="2" memberValueDatatype="130" unbalanced="0"/>
    <cacheHierarchy uniqueName="[tbl_Transactions].[Reasons]" caption="Reasons" attribute="1" defaultMemberUniqueName="[tbl_Transactions].[Reasons].[All]" allUniqueName="[tbl_Transactions].[Reasons].[All]" dimensionUniqueName="[tbl_Transactions]" displayFolder="" count="2" memberValueDatatype="130" unbalanced="0"/>
    <cacheHierarchy uniqueName="[tbl_Transactions].[Amount]" caption="Amount" attribute="1" defaultMemberUniqueName="[tbl_Transactions].[Amount].[All]" allUniqueName="[tbl_Transactions].[Amount].[All]" dimensionUniqueName="[tbl_Transactions]" displayFolder="" count="2" memberValueDatatype="20" unbalanced="0"/>
    <cacheHierarchy uniqueName="[tbl_Transactions].[Notes]" caption="Notes" attribute="1" defaultMemberUniqueName="[tbl_Transactions].[Notes].[All]" allUniqueName="[tbl_Transactions].[Notes].[All]" dimensionUniqueName="[tbl_Transactions]" displayFolder="" count="2"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oneField="1">
      <fieldsUsage count="1">
        <fieldUsage x="1"/>
      </fieldsUsage>
    </cacheHierarchy>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306921296" backgroundQuery="1" createdVersion="8" refreshedVersion="8" minRefreshableVersion="3" recordCount="0" supportSubquery="1" supportAdvancedDrill="1" xr:uid="{27ED8228-006E-4041-98C4-E45681BE60D3}">
  <cacheSource type="external" connectionId="6"/>
  <cacheFields count="3">
    <cacheField name="[Measures].[Net Salary]" caption="Net Salary" numFmtId="0" hierarchy="93" level="32767"/>
    <cacheField name="[Daily_Work].[Name_AR].[Name_AR]" caption="Name_AR" numFmtId="0" hierarchy="3" level="1">
      <sharedItems count="5">
        <s v="صلاح عبدالرحمن الحاج احمد"/>
        <s v="عبد الباسي عبد الرحمن اشير"/>
        <s v="عبدالحكيم رستم انصاري"/>
        <s v="محمد اكبر صافي"/>
        <s v="محمد نور الأسلام"/>
      </sharedItems>
      <extLst>
        <ext xmlns:x15="http://schemas.microsoft.com/office/spreadsheetml/2010/11/main" uri="{4F2E5C28-24EA-4eb8-9CBF-B6C8F9C3D259}">
          <x15:cachedUniqueNames>
            <x15:cachedUniqueName index="0" name="[Daily_Work].[Name_AR].&amp;[صلاح عبدالرحمن الحاج احمد]"/>
            <x15:cachedUniqueName index="1" name="[Daily_Work].[Name_AR].&amp;[عبد الباسي عبد الرحمن اشير]"/>
            <x15:cachedUniqueName index="2" name="[Daily_Work].[Name_AR].&amp;[عبدالحكيم رستم انصاري]"/>
            <x15:cachedUniqueName index="3" name="[Daily_Work].[Name_AR].&amp;[محمد اكبر صافي]"/>
            <x15:cachedUniqueName index="4" name="[Daily_Work].[Name_AR].&amp;[محمد نور الأسلام]"/>
          </x15:cachedUniqueNames>
        </ext>
      </extLst>
    </cacheField>
    <cacheField name="[Master_Employee].[Job_Title].[Job_Title]" caption="Job_Title" numFmtId="0" hierarchy="29"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2" memberValueDatatype="130" unbalanced="0">
      <fieldsUsage count="2">
        <fieldUsage x="-1"/>
        <fieldUsage x="1"/>
      </fieldsUsage>
    </cacheHierarchy>
    <cacheHierarchy uniqueName="[Daily_Work].[Name_EN]" caption="Name_EN" attribute="1" defaultMemberUniqueName="[Daily_Work].[Name_EN].[All]" allUniqueName="[Daily_Work].[Name_EN].[All]" dimensionUniqueName="[Daily_Work]" displayFolder="" count="2"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fieldsUsage count="2">
        <fieldUsage x="-1"/>
        <fieldUsage x="2"/>
      </fieldsUsage>
    </cacheHierarchy>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0"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oneField="1">
      <fieldsUsage count="1">
        <fieldUsage x="0"/>
      </fieldsUsage>
    </cacheHierarchy>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5114004629" backgroundQuery="1" createdVersion="8" refreshedVersion="8" minRefreshableVersion="3" recordCount="0" supportSubquery="1" supportAdvancedDrill="1" xr:uid="{E73AAF72-3207-4939-B7F2-FE83A97CFFD4}">
  <cacheSource type="external" connectionId="6"/>
  <cacheFields count="4">
    <cacheField name="[Measures].[Net Salary]" caption="Net Salary" numFmtId="0" hierarchy="93" level="32767"/>
    <cacheField name="[Master_Employee].[Department].[Department]" caption="Department" numFmtId="0" hierarchy="19" level="1">
      <sharedItems count="3">
        <s v="الإدارة"/>
        <s v="الإنشاءات"/>
        <s v="التشطيبات"/>
      </sharedItems>
      <extLst>
        <ext xmlns:x15="http://schemas.microsoft.com/office/spreadsheetml/2010/11/main" uri="{4F2E5C28-24EA-4eb8-9CBF-B6C8F9C3D259}">
          <x15:cachedUniqueNames>
            <x15:cachedUniqueName index="0" name="[Master_Employee].[Department].&amp;[الإدارة]"/>
            <x15:cachedUniqueName index="1" name="[Master_Employee].[Department].&amp;[الإنشاءات]"/>
            <x15:cachedUniqueName index="2" name="[Master_Employee].[Department].&amp;[التشطيبات]"/>
          </x15:cachedUniqueNames>
        </ext>
      </extLst>
    </cacheField>
    <cacheField name="[Master_Employee].[Dept_ID].[Dept_ID]" caption="Dept_ID" numFmtId="0" hierarchy="18" level="1">
      <sharedItems count="3">
        <s v="ADM_D01"/>
        <s v="CON_D03"/>
        <s v="FIN_D02"/>
      </sharedItems>
      <extLst>
        <ext xmlns:x15="http://schemas.microsoft.com/office/spreadsheetml/2010/11/main" uri="{4F2E5C28-24EA-4eb8-9CBF-B6C8F9C3D259}">
          <x15:cachedUniqueNames>
            <x15:cachedUniqueName index="0" name="[Master_Employee].[Dept_ID].&amp;[ADM_D01]"/>
            <x15:cachedUniqueName index="1" name="[Master_Employee].[Dept_ID].&amp;[CON_D03]"/>
            <x15:cachedUniqueName index="2" name="[Master_Employee].[Dept_ID].&amp;[FIN_D02]"/>
          </x15:cachedUniqueNames>
        </ext>
      </extLst>
    </cacheField>
    <cacheField name="[Master_Employee].[Payment_Method].[Payment_Method]" caption="Payment_Method" numFmtId="0" hierarchy="35" level="1">
      <sharedItems containsSemiMixedTypes="0" containsNonDate="0" containsString="0"/>
    </cacheField>
  </cacheFields>
  <cacheHierarchies count="146">
    <cacheHierarchy uniqueName="[Daily_Work].[# #]" caption="# #" attribute="1" defaultMemberUniqueName="[Daily_Work].[# #].[All]" allUniqueName="[Daily_Work].[# #].[All]" dimensionUniqueName="[Daily_Work]" displayFolder="" count="2" memberValueDatatype="20" unbalanced="0"/>
    <cacheHierarchy uniqueName="[Daily_Work].[Month]" caption="Month" attribute="1" time="1" defaultMemberUniqueName="[Daily_Work].[Month].[All]" allUniqueName="[Daily_Work].[Month].[All]" dimensionUniqueName="[Daily_Work]" displayFolder="" count="2" memberValueDatatype="7" unbalanced="0"/>
    <cacheHierarchy uniqueName="[Daily_Work].[Emp_ID]" caption="Emp_ID" attribute="1" defaultMemberUniqueName="[Daily_Work].[Emp_ID].[All]" allUniqueName="[Daily_Work].[Emp_ID].[All]" dimensionUniqueName="[Daily_Work]" displayFolder="" count="2" memberValueDatatype="130" unbalanced="0"/>
    <cacheHierarchy uniqueName="[Daily_Work].[Name_AR]" caption="Name_AR" attribute="1" defaultMemberUniqueName="[Daily_Work].[Name_AR].[All]" allUniqueName="[Daily_Work].[Name_AR].[All]" dimensionUniqueName="[Daily_Work]" displayFolder="" count="2" memberValueDatatype="130" unbalanced="0"/>
    <cacheHierarchy uniqueName="[Daily_Work].[Name_EN]" caption="Name_EN" attribute="1" defaultMemberUniqueName="[Daily_Work].[Name_EN].[All]" allUniqueName="[Daily_Work].[Name_EN].[All]" dimensionUniqueName="[Daily_Work]" displayFolder="" count="2" memberValueDatatype="130" unbalanced="0"/>
    <cacheHierarchy uniqueName="[Daily_Work].[Department]" caption="Department" attribute="1" defaultMemberUniqueName="[Daily_Work].[Department].[All]" allUniqueName="[Daily_Work].[Department].[All]" dimensionUniqueName="[Daily_Work]" displayFolder="" count="2"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2" memberValueDatatype="130" unbalanced="0"/>
    <cacheHierarchy uniqueName="[Daily_Work].[Project_ID]" caption="Project_ID" attribute="1" defaultMemberUniqueName="[Daily_Work].[Project_ID].[All]" allUniqueName="[Daily_Work].[Project_ID].[All]" dimensionUniqueName="[Daily_Work]" displayFolder="" count="2" memberValueDatatype="130" unbalanced="0"/>
    <cacheHierarchy uniqueName="[Daily_Work].[Emp_Status]" caption="Emp_Status" attribute="1" defaultMemberUniqueName="[Daily_Work].[Emp_Status].[All]" allUniqueName="[Daily_Work].[Emp_Status].[All]" dimensionUniqueName="[Daily_Work]" displayFolder="" count="2" memberValueDatatype="130" unbalanced="0"/>
    <cacheHierarchy uniqueName="[Daily_Work].[Status_Code]" caption="Status_Code" attribute="1" defaultMemberUniqueName="[Daily_Work].[Status_Code].[All]" allUniqueName="[Daily_Work].[Status_Code].[All]" dimensionUniqueName="[Daily_Work]" displayFolder="" count="2" memberValueDatatype="20" unbalanced="0"/>
    <cacheHierarchy uniqueName="[Daily_Work].[Days_Work]" caption="Days_Work" attribute="1" defaultMemberUniqueName="[Daily_Work].[Days_Work].[All]" allUniqueName="[Daily_Work].[Days_Work].[All]" dimensionUniqueName="[Daily_Work]" displayFolder="" count="2" memberValueDatatype="20" unbalanced="0"/>
    <cacheHierarchy uniqueName="[Daily_Work].[OT_Hrs]" caption="OT_Hrs" attribute="1" defaultMemberUniqueName="[Daily_Work].[OT_Hrs].[All]" allUniqueName="[Daily_Work].[OT_Hrs].[All]" dimensionUniqueName="[Daily_Work]" displayFolder="" count="2" memberValueDatatype="20" unbalanced="0"/>
    <cacheHierarchy uniqueName="[Daily_Work].[Normal_Hrs]" caption="Normal_Hrs" attribute="1" defaultMemberUniqueName="[Daily_Work].[Normal_Hrs].[All]" allUniqueName="[Daily_Work].[Normal_Hrs].[All]" dimensionUniqueName="[Daily_Work]" displayFolder="" count="2" memberValueDatatype="20" unbalanced="0"/>
    <cacheHierarchy uniqueName="[Daily_Work].[Normal_Cost]" caption="Normal_Cost" attribute="1" defaultMemberUniqueName="[Daily_Work].[Normal_Cost].[All]" allUniqueName="[Daily_Work].[Normal_Cost].[All]" dimensionUniqueName="[Daily_Work]" displayFolder="" count="2" memberValueDatatype="5" unbalanced="0"/>
    <cacheHierarchy uniqueName="[Daily_Work].[OT_Cost]" caption="OT_Cost" attribute="1" defaultMemberUniqueName="[Daily_Work].[OT_Cost].[All]" allUniqueName="[Daily_Work].[OT_Cost].[All]" dimensionUniqueName="[Daily_Work]" displayFolder="" count="2" memberValueDatatype="5" unbalanced="0"/>
    <cacheHierarchy uniqueName="[Master_Employee].[#]" caption="#" attribute="1" defaultMemberUniqueName="[Master_Employee].[#].[All]" allUniqueName="[Master_Employee].[#].[All]" dimensionUniqueName="[Master_Employee]" displayFolder="" count="2" memberValueDatatype="20" unbalanced="0"/>
    <cacheHierarchy uniqueName="[Master_Employee].[Emp_ID]" caption="Emp_ID" attribute="1" defaultMemberUniqueName="[Master_Employee].[Emp_ID].[All]" allUniqueName="[Master_Employee].[Emp_ID].[All]" dimensionUniqueName="[Master_Employee]" displayFolder="" count="2" memberValueDatatype="130" unbalanced="0"/>
    <cacheHierarchy uniqueName="[Master_Employee].[Dept_ID]" caption="Dept_ID" attribute="1" defaultMemberUniqueName="[Master_Employee].[Dept_ID].[All]" allUniqueName="[Master_Employee].[Dept_ID].[All]" dimensionUniqueName="[Master_Employee]" displayFolder="" count="2" memberValueDatatype="130" unbalanced="0">
      <fieldsUsage count="2">
        <fieldUsage x="-1"/>
        <fieldUsage x="2"/>
      </fieldsUsage>
    </cacheHierarchy>
    <cacheHierarchy uniqueName="[Master_Employee].[Department]" caption="Department" attribute="1" defaultMemberUniqueName="[Master_Employee].[Department].[All]" allUniqueName="[Master_Employee].[Department].[All]" dimensionUniqueName="[Master_Employee]" displayFolder="" count="2" memberValueDatatype="130" unbalanced="0">
      <fieldsUsage count="2">
        <fieldUsage x="-1"/>
        <fieldUsage x="1"/>
      </fieldsUsage>
    </cacheHierarchy>
    <cacheHierarchy uniqueName="[Master_Employee].[Department_EN]" caption="Department_EN" attribute="1" defaultMemberUniqueName="[Master_Employee].[Department_EN].[All]" allUniqueName="[Master_Employee].[Department_EN].[All]" dimensionUniqueName="[Master_Employee]" displayFolder="" count="2"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2" memberValueDatatype="130" unbalanced="0"/>
    <cacheHierarchy uniqueName="[Master_Employee].[Supervisor_ID]" caption="Supervisor_ID" attribute="1" defaultMemberUniqueName="[Master_Employee].[Supervisor_ID].[All]" allUniqueName="[Master_Employee].[Supervisor_ID].[All]" dimensionUniqueName="[Master_Employee]" displayFolder="" count="2" memberValueDatatype="130" unbalanced="0"/>
    <cacheHierarchy uniqueName="[Master_Employee].[Name_AR]" caption="Name_AR" attribute="1" defaultMemberUniqueName="[Master_Employee].[Name_AR].[All]" allUniqueName="[Master_Employee].[Name_AR].[All]" dimensionUniqueName="[Master_Employee]" displayFolder="" count="2" memberValueDatatype="130" unbalanced="0"/>
    <cacheHierarchy uniqueName="[Master_Employee].[Name_EN]" caption="Name_EN" attribute="1" defaultMemberUniqueName="[Master_Employee].[Name_EN].[All]" allUniqueName="[Master_Employee].[Name_EN].[All]" dimensionUniqueName="[Master_Employee]" displayFolder="" count="2" memberValueDatatype="130" unbalanced="0"/>
    <cacheHierarchy uniqueName="[Master_Employee].[National_ID]" caption="National_ID" attribute="1" defaultMemberUniqueName="[Master_Employee].[National_ID].[All]" allUniqueName="[Master_Employee].[National_ID].[All]" dimensionUniqueName="[Master_Employee]" displayFolder="" count="2"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2"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2" memberValueDatatype="20" unbalanced="0"/>
    <cacheHierarchy uniqueName="[Master_Employee].[Nationality]" caption="Nationality" attribute="1" defaultMemberUniqueName="[Master_Employee].[Nationality].[All]" allUniqueName="[Master_Employee].[Nationality].[All]" dimensionUniqueName="[Master_Employee]" displayFolder="" count="2"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cacheHierarchy uniqueName="[Master_Employee].[Hire_Date]" caption="Hire_Date" attribute="1" defaultMemberUniqueName="[Master_Employee].[Hire_Date].[All]" allUniqueName="[Master_Employee].[Hire_Date].[All]" dimensionUniqueName="[Master_Employee]" displayFolder="" count="2" memberValueDatatype="130" unbalanced="0"/>
    <cacheHierarchy uniqueName="[Master_Employee].[Join_Date]" caption="Join_Date" attribute="1" defaultMemberUniqueName="[Master_Employee].[Join_Date].[All]" allUniqueName="[Master_Employee].[Join_Date].[All]" dimensionUniqueName="[Master_Employee]" displayFolder="" count="2"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2"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2"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2" memberValueDatatype="130" unbalanced="0">
      <fieldsUsage count="2">
        <fieldUsage x="-1"/>
        <fieldUsage x="3"/>
      </fieldsUsage>
    </cacheHierarchy>
    <cacheHierarchy uniqueName="[Master_Employee].[Payment_Code]" caption="Payment_Code" attribute="1" defaultMemberUniqueName="[Master_Employee].[Payment_Code].[All]" allUniqueName="[Master_Employee].[Payment_Code].[All]" dimensionUniqueName="[Master_Employee]" displayFolder="" count="2"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2"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2" memberValueDatatype="130" unbalanced="0"/>
    <cacheHierarchy uniqueName="[Master_Employee].[Notes]" caption="Notes" attribute="1" defaultMemberUniqueName="[Master_Employee].[Notes].[All]" allUniqueName="[Master_Employee].[Notes].[All]" dimensionUniqueName="[Master_Employee]" displayFolder="" count="2" memberValueDatatype="130" unbalanced="0"/>
    <cacheHierarchy uniqueName="[Master_Employee].[Basic_Salary]" caption="Basic_Salary" attribute="1" defaultMemberUniqueName="[Master_Employee].[Basic_Salary].[All]" allUniqueName="[Master_Employee].[Basic_Salary].[All]" dimensionUniqueName="[Master_Employee]" displayFolder="" count="2"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2"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2"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2" memberValueDatatype="20" unbalanced="0"/>
    <cacheHierarchy uniqueName="[Master_Employee].[Total_Salary]" caption="Total_Salary" attribute="1" defaultMemberUniqueName="[Master_Employee].[Total_Salary].[All]" allUniqueName="[Master_Employee].[Total_Salary].[All]" dimensionUniqueName="[Master_Employee]" displayFolder="" count="2" memberValueDatatype="20" unbalanced="0"/>
    <cacheHierarchy uniqueName="[Master_Employee].[Daily_Rate]" caption="Daily_Rate" attribute="1" defaultMemberUniqueName="[Master_Employee].[Daily_Rate].[All]" allUniqueName="[Master_Employee].[Daily_Rate].[All]" dimensionUniqueName="[Master_Employee]" displayFolder="" count="2" memberValueDatatype="5" unbalanced="0"/>
    <cacheHierarchy uniqueName="[Master_Employee].[Hour_Rate]" caption="Hour_Rate" attribute="1" defaultMemberUniqueName="[Master_Employee].[Hour_Rate].[All]" allUniqueName="[Master_Employee].[Hour_Rate].[All]" dimensionUniqueName="[Master_Employee]" displayFolder="" count="2" memberValueDatatype="130" unbalanced="0"/>
    <cacheHierarchy uniqueName="[Master_Employee].[OT_Hr_Rate]" caption="OT_Hr_Rate" attribute="1" defaultMemberUniqueName="[Master_Employee].[OT_Hr_Rate].[All]" allUniqueName="[Master_Employee].[OT_Hr_Rate].[All]" dimensionUniqueName="[Master_Employee]" displayFolder="" count="2" memberValueDatatype="5" unbalanced="0"/>
    <cacheHierarchy uniqueName="[Master_Employee].[OT_Multiplier]" caption="OT_Multiplier" attribute="1" defaultMemberUniqueName="[Master_Employee].[OT_Multiplier].[All]" allUniqueName="[Master_Employee].[OT_Multiplier].[All]" dimensionUniqueName="[Master_Employee]" displayFolder="" count="2"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2"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2" memberValueDatatype="130" unbalanced="0"/>
    <cacheHierarchy uniqueName="[tbl_Dept].[#]" caption="#" attribute="1" defaultMemberUniqueName="[tbl_Dept].[#].[All]" allUniqueName="[tbl_Dept].[#].[All]" dimensionUniqueName="[tbl_Dept]" displayFolder="" count="2" memberValueDatatype="20" unbalanced="0"/>
    <cacheHierarchy uniqueName="[tbl_Dept].[Dept_ID]" caption="Dept_ID" attribute="1" defaultMemberUniqueName="[tbl_Dept].[Dept_ID].[All]" allUniqueName="[tbl_Dept].[Dept_ID].[All]" dimensionUniqueName="[tbl_Dept]" displayFolder="" count="2"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2" memberValueDatatype="130" unbalanced="0"/>
    <cacheHierarchy uniqueName="[tbl_Dept].[Notes]" caption="Notes" attribute="1" defaultMemberUniqueName="[tbl_Dept].[Notes].[All]" allUniqueName="[tbl_Dept].[Notes].[All]" dimensionUniqueName="[tbl_Dept]" displayFolder="" count="2" memberValueDatatype="130" unbalanced="0"/>
    <cacheHierarchy uniqueName="[tbl_Projects].[#]" caption="#" attribute="1" defaultMemberUniqueName="[tbl_Projects].[#].[All]" allUniqueName="[tbl_Projects].[#].[All]" dimensionUniqueName="[tbl_Projects]" displayFolder="" count="2" memberValueDatatype="20" unbalanced="0"/>
    <cacheHierarchy uniqueName="[tbl_Projects].[Project_ID]" caption="Project_ID" attribute="1" defaultMemberUniqueName="[tbl_Projects].[Project_ID].[All]" allUniqueName="[tbl_Projects].[Project_ID].[All]" dimensionUniqueName="[tbl_Projects]" displayFolder="" count="2"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2" memberValueDatatype="130" unbalanced="0"/>
    <cacheHierarchy uniqueName="[tbl_Projects].[Location]" caption="Location" attribute="1" defaultMemberUniqueName="[tbl_Projects].[Location].[All]" allUniqueName="[tbl_Projects].[Location].[All]" dimensionUniqueName="[tbl_Projects]" displayFolder="" count="2" memberValueDatatype="130" unbalanced="0"/>
    <cacheHierarchy uniqueName="[tbl_Projects].[Start_Date]" caption="Start_Date" attribute="1" time="1" defaultMemberUniqueName="[tbl_Projects].[Start_Date].[All]" allUniqueName="[tbl_Projects].[Start_Date].[All]" dimensionUniqueName="[tbl_Projects]" displayFolder="" count="2" memberValueDatatype="7" unbalanced="0"/>
    <cacheHierarchy uniqueName="[tbl_Projects].[End_Date]" caption="End_Date" attribute="1" time="1" defaultMemberUniqueName="[tbl_Projects].[End_Date].[All]" allUniqueName="[tbl_Projects].[End_Date].[All]" dimensionUniqueName="[tbl_Projects]" displayFolder="" count="2" memberValueDatatype="7" unbalanced="0"/>
    <cacheHierarchy uniqueName="[tbl_Projects].[Status]" caption="Status" attribute="1" defaultMemberUniqueName="[tbl_Projects].[Status].[All]" allUniqueName="[tbl_Projects].[Status].[All]" dimensionUniqueName="[tbl_Projects]" displayFolder="" count="2" memberValueDatatype="130" unbalanced="0"/>
    <cacheHierarchy uniqueName="[tbl_Projects].[Flag_Status]" caption="Flag_Status" attribute="1" defaultMemberUniqueName="[tbl_Projects].[Flag_Status].[All]" allUniqueName="[tbl_Projects].[Flag_Status].[All]" dimensionUniqueName="[tbl_Projects]" displayFolder="" count="2" memberValueDatatype="130" unbalanced="0"/>
    <cacheHierarchy uniqueName="[tbl_Projects].[Client_Name]" caption="Client_Name" attribute="1" defaultMemberUniqueName="[tbl_Projects].[Client_Name].[All]" allUniqueName="[tbl_Projects].[Client_Name].[All]" dimensionUniqueName="[tbl_Projects]" displayFolder="" count="2" memberValueDatatype="130" unbalanced="0"/>
    <cacheHierarchy uniqueName="[tbl_Projects].[Contact_Number]" caption="Contact_Number" attribute="1" defaultMemberUniqueName="[tbl_Projects].[Contact_Number].[All]" allUniqueName="[tbl_Projects].[Contact_Number].[All]" dimensionUniqueName="[tbl_Projects]" displayFolder="" count="2" memberValueDatatype="130" unbalanced="0"/>
    <cacheHierarchy uniqueName="[tbl_Projects].[Client_Sales]" caption="Client_Sales" attribute="1" defaultMemberUniqueName="[tbl_Projects].[Client_Sales].[All]" allUniqueName="[tbl_Projects].[Client_Sales].[All]" dimensionUniqueName="[tbl_Projects]" displayFolder="" count="2" memberValueDatatype="130" unbalanced="0"/>
    <cacheHierarchy uniqueName="[tbl_Projects].[Notes]" caption="Notes" attribute="1" defaultMemberUniqueName="[tbl_Projects].[Notes].[All]" allUniqueName="[tbl_Projects].[Notes].[All]" dimensionUniqueName="[tbl_Projects]" displayFolder="" count="2" memberValueDatatype="130" unbalanced="0"/>
    <cacheHierarchy uniqueName="[tbl_Transactions].[#]" caption="#" attribute="1" defaultMemberUniqueName="[tbl_Transactions].[#].[All]" allUniqueName="[tbl_Transactions].[#].[All]" dimensionUniqueName="[tbl_Transactions]" displayFolder="" count="2" memberValueDatatype="20" unbalanced="0"/>
    <cacheHierarchy uniqueName="[tbl_Transactions].[Trans_ID]" caption="Trans_ID" attribute="1" defaultMemberUniqueName="[tbl_Transactions].[Trans_ID].[All]" allUniqueName="[tbl_Transactions].[Trans_ID].[All]" dimensionUniqueName="[tbl_Transactions]" displayFolder="" count="2" memberValueDatatype="130" unbalanced="0"/>
    <cacheHierarchy uniqueName="[tbl_Transactions].[Emp_ID]" caption="Emp_ID" attribute="1" defaultMemberUniqueName="[tbl_Transactions].[Emp_ID].[All]" allUniqueName="[tbl_Transactions].[Emp_ID].[All]" dimensionUniqueName="[tbl_Transactions]" displayFolder="" count="2" memberValueDatatype="130" unbalanced="0"/>
    <cacheHierarchy uniqueName="[tbl_Transactions].[Name_AR]" caption="Name_AR" attribute="1" defaultMemberUniqueName="[tbl_Transactions].[Name_AR].[All]" allUniqueName="[tbl_Transactions].[Name_AR].[All]" dimensionUniqueName="[tbl_Transactions]" displayFolder="" count="2" memberValueDatatype="130" unbalanced="0"/>
    <cacheHierarchy uniqueName="[tbl_Transactions].[Name_EN]" caption="Name_EN" attribute="1" defaultMemberUniqueName="[tbl_Transactions].[Name_EN].[All]" allUniqueName="[tbl_Transactions].[Name_EN].[All]" dimensionUniqueName="[tbl_Transactions]" displayFolder="" count="2" memberValueDatatype="130" unbalanced="0"/>
    <cacheHierarchy uniqueName="[tbl_Transactions].[Department]" caption="Department" attribute="1" defaultMemberUniqueName="[tbl_Transactions].[Department].[All]" allUniqueName="[tbl_Transactions].[Department].[All]" dimensionUniqueName="[tbl_Transactions]" displayFolder="" count="2" memberValueDatatype="130" unbalanced="0"/>
    <cacheHierarchy uniqueName="[tbl_Transactions].[Project_Name]" caption="Project_Name" attribute="1" defaultMemberUniqueName="[tbl_Transactions].[Project_Name].[All]" allUniqueName="[tbl_Transactions].[Project_Name].[All]" dimensionUniqueName="[tbl_Transactions]" displayFolder="" count="2" memberValueDatatype="130" unbalanced="0"/>
    <cacheHierarchy uniqueName="[tbl_Transactions].[Date]" caption="Date" attribute="1" time="1" defaultMemberUniqueName="[tbl_Transactions].[Date].[All]" allUniqueName="[tbl_Transactions].[Date].[All]" dimensionUniqueName="[tbl_Transactions]" displayFolder="" count="2" memberValueDatatype="7" unbalanced="0"/>
    <cacheHierarchy uniqueName="[tbl_Transactions].[Type]" caption="Type" attribute="1" defaultMemberUniqueName="[tbl_Transactions].[Type].[All]" allUniqueName="[tbl_Transactions].[Type].[All]" dimensionUniqueName="[tbl_Transactions]" displayFolder="" count="2" memberValueDatatype="130" unbalanced="0"/>
    <cacheHierarchy uniqueName="[tbl_Transactions].[Type_Code]" caption="Type_Code" attribute="1" defaultMemberUniqueName="[tbl_Transactions].[Type_Code].[All]" allUniqueName="[tbl_Transactions].[Type_Code].[All]" dimensionUniqueName="[tbl_Transactions]" displayFolder="" count="2" memberValueDatatype="130" unbalanced="0"/>
    <cacheHierarchy uniqueName="[tbl_Transactions].[Reasons]" caption="Reasons" attribute="1" defaultMemberUniqueName="[tbl_Transactions].[Reasons].[All]" allUniqueName="[tbl_Transactions].[Reasons].[All]" dimensionUniqueName="[tbl_Transactions]" displayFolder="" count="2" memberValueDatatype="130" unbalanced="0"/>
    <cacheHierarchy uniqueName="[tbl_Transactions].[Amount]" caption="Amount" attribute="1" defaultMemberUniqueName="[tbl_Transactions].[Amount].[All]" allUniqueName="[tbl_Transactions].[Amount].[All]" dimensionUniqueName="[tbl_Transactions]" displayFolder="" count="2" memberValueDatatype="20" unbalanced="0"/>
    <cacheHierarchy uniqueName="[tbl_Transactions].[Notes]" caption="Notes" attribute="1" defaultMemberUniqueName="[tbl_Transactions].[Notes].[All]" allUniqueName="[tbl_Transactions].[Notes].[All]" dimensionUniqueName="[tbl_Transactions]" displayFolder="" count="2"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oneField="1">
      <fieldsUsage count="1">
        <fieldUsage x="0"/>
      </fieldsUsage>
    </cacheHierarchy>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60078703702" backgroundQuery="1" createdVersion="8" refreshedVersion="8" minRefreshableVersion="3" recordCount="0" supportSubquery="1" supportAdvancedDrill="1" xr:uid="{58FE0C2A-9BB3-4D75-B3EC-868EA812FA9B}">
  <cacheSource type="external" connectionId="6"/>
  <cacheFields count="2">
    <cacheField name="[Daily_Work].[Month].[Month]" caption="Month" numFmtId="0" hierarchy="1" level="1">
      <sharedItems containsNonDate="0" containsDate="1" containsString="0" containsBlank="1" minDate="2026-03-01T00:00:00" maxDate="2026-04-02T00:00:00" count="3">
        <m/>
        <d v="2026-03-01T00:00:00"/>
        <d v="2026-04-01T00:00:00"/>
      </sharedItems>
      <extLst>
        <ext xmlns:x15="http://schemas.microsoft.com/office/spreadsheetml/2010/11/main" uri="{4F2E5C28-24EA-4eb8-9CBF-B6C8F9C3D259}">
          <x15:cachedUniqueNames>
            <x15:cachedUniqueName index="0" name="[Daily_Work].[Month].&amp;"/>
            <x15:cachedUniqueName index="1" name="[Daily_Work].[Month].&amp;[2026-03-01T00:00:00]"/>
            <x15:cachedUniqueName index="2" name="[Daily_Work].[Month].&amp;[2026-04-01T00:00:00]"/>
          </x15:cachedUniqueNames>
        </ext>
      </extLst>
    </cacheField>
    <cacheField name="[Measures].[Net Salary]" caption="Net Salary" numFmtId="0" hierarchy="93" level="32767"/>
  </cacheFields>
  <cacheHierarchies count="146">
    <cacheHierarchy uniqueName="[Daily_Work].[# #]" caption="# #" attribute="1" defaultMemberUniqueName="[Daily_Work].[# #].[All]" allUniqueName="[Daily_Work].[# #].[All]" dimensionUniqueName="[Daily_Work]" displayFolder="" count="2" memberValueDatatype="20" unbalanced="0"/>
    <cacheHierarchy uniqueName="[Daily_Work].[Month]" caption="Month" attribute="1" time="1" defaultMemberUniqueName="[Daily_Work].[Month].[All]" allUniqueName="[Daily_Work].[Month].[All]" dimensionUniqueName="[Daily_Work]" displayFolder="" count="2" memberValueDatatype="7" unbalanced="0">
      <fieldsUsage count="2">
        <fieldUsage x="-1"/>
        <fieldUsage x="0"/>
      </fieldsUsage>
    </cacheHierarchy>
    <cacheHierarchy uniqueName="[Daily_Work].[Emp_ID]" caption="Emp_ID" attribute="1" defaultMemberUniqueName="[Daily_Work].[Emp_ID].[All]" allUniqueName="[Daily_Work].[Emp_ID].[All]" dimensionUniqueName="[Daily_Work]" displayFolder="" count="2" memberValueDatatype="130" unbalanced="0"/>
    <cacheHierarchy uniqueName="[Daily_Work].[Name_AR]" caption="Name_AR" attribute="1" defaultMemberUniqueName="[Daily_Work].[Name_AR].[All]" allUniqueName="[Daily_Work].[Name_AR].[All]" dimensionUniqueName="[Daily_Work]" displayFolder="" count="2" memberValueDatatype="130" unbalanced="0"/>
    <cacheHierarchy uniqueName="[Daily_Work].[Name_EN]" caption="Name_EN" attribute="1" defaultMemberUniqueName="[Daily_Work].[Name_EN].[All]" allUniqueName="[Daily_Work].[Name_EN].[All]" dimensionUniqueName="[Daily_Work]" displayFolder="" count="2" memberValueDatatype="130" unbalanced="0"/>
    <cacheHierarchy uniqueName="[Daily_Work].[Department]" caption="Department" attribute="1" defaultMemberUniqueName="[Daily_Work].[Department].[All]" allUniqueName="[Daily_Work].[Department].[All]" dimensionUniqueName="[Daily_Work]" displayFolder="" count="2"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2" memberValueDatatype="130" unbalanced="0"/>
    <cacheHierarchy uniqueName="[Daily_Work].[Project_ID]" caption="Project_ID" attribute="1" defaultMemberUniqueName="[Daily_Work].[Project_ID].[All]" allUniqueName="[Daily_Work].[Project_ID].[All]" dimensionUniqueName="[Daily_Work]" displayFolder="" count="2" memberValueDatatype="130" unbalanced="0"/>
    <cacheHierarchy uniqueName="[Daily_Work].[Emp_Status]" caption="Emp_Status" attribute="1" defaultMemberUniqueName="[Daily_Work].[Emp_Status].[All]" allUniqueName="[Daily_Work].[Emp_Status].[All]" dimensionUniqueName="[Daily_Work]" displayFolder="" count="2" memberValueDatatype="130" unbalanced="0"/>
    <cacheHierarchy uniqueName="[Daily_Work].[Status_Code]" caption="Status_Code" attribute="1" defaultMemberUniqueName="[Daily_Work].[Status_Code].[All]" allUniqueName="[Daily_Work].[Status_Code].[All]" dimensionUniqueName="[Daily_Work]" displayFolder="" count="2" memberValueDatatype="20" unbalanced="0"/>
    <cacheHierarchy uniqueName="[Daily_Work].[Days_Work]" caption="Days_Work" attribute="1" defaultMemberUniqueName="[Daily_Work].[Days_Work].[All]" allUniqueName="[Daily_Work].[Days_Work].[All]" dimensionUniqueName="[Daily_Work]" displayFolder="" count="2" memberValueDatatype="20" unbalanced="0"/>
    <cacheHierarchy uniqueName="[Daily_Work].[OT_Hrs]" caption="OT_Hrs" attribute="1" defaultMemberUniqueName="[Daily_Work].[OT_Hrs].[All]" allUniqueName="[Daily_Work].[OT_Hrs].[All]" dimensionUniqueName="[Daily_Work]" displayFolder="" count="2" memberValueDatatype="20" unbalanced="0"/>
    <cacheHierarchy uniqueName="[Daily_Work].[Normal_Hrs]" caption="Normal_Hrs" attribute="1" defaultMemberUniqueName="[Daily_Work].[Normal_Hrs].[All]" allUniqueName="[Daily_Work].[Normal_Hrs].[All]" dimensionUniqueName="[Daily_Work]" displayFolder="" count="2" memberValueDatatype="20" unbalanced="0"/>
    <cacheHierarchy uniqueName="[Daily_Work].[Normal_Cost]" caption="Normal_Cost" attribute="1" defaultMemberUniqueName="[Daily_Work].[Normal_Cost].[All]" allUniqueName="[Daily_Work].[Normal_Cost].[All]" dimensionUniqueName="[Daily_Work]" displayFolder="" count="2" memberValueDatatype="5" unbalanced="0"/>
    <cacheHierarchy uniqueName="[Daily_Work].[OT_Cost]" caption="OT_Cost" attribute="1" defaultMemberUniqueName="[Daily_Work].[OT_Cost].[All]" allUniqueName="[Daily_Work].[OT_Cost].[All]" dimensionUniqueName="[Daily_Work]" displayFolder="" count="2" memberValueDatatype="5" unbalanced="0"/>
    <cacheHierarchy uniqueName="[Master_Employee].[#]" caption="#" attribute="1" defaultMemberUniqueName="[Master_Employee].[#].[All]" allUniqueName="[Master_Employee].[#].[All]" dimensionUniqueName="[Master_Employee]" displayFolder="" count="2" memberValueDatatype="20" unbalanced="0"/>
    <cacheHierarchy uniqueName="[Master_Employee].[Emp_ID]" caption="Emp_ID" attribute="1" defaultMemberUniqueName="[Master_Employee].[Emp_ID].[All]" allUniqueName="[Master_Employee].[Emp_ID].[All]" dimensionUniqueName="[Master_Employee]" displayFolder="" count="2" memberValueDatatype="130" unbalanced="0"/>
    <cacheHierarchy uniqueName="[Master_Employee].[Dept_ID]" caption="Dept_ID" attribute="1" defaultMemberUniqueName="[Master_Employee].[Dept_ID].[All]" allUniqueName="[Master_Employee].[Dept_ID].[All]" dimensionUniqueName="[Master_Employee]" displayFolder="" count="2" memberValueDatatype="130" unbalanced="0"/>
    <cacheHierarchy uniqueName="[Master_Employee].[Department]" caption="Department" attribute="1" defaultMemberUniqueName="[Master_Employee].[Department].[All]" allUniqueName="[Master_Employee].[Department].[All]" dimensionUniqueName="[Master_Employee]" displayFolder="" count="2" memberValueDatatype="130" unbalanced="0"/>
    <cacheHierarchy uniqueName="[Master_Employee].[Department_EN]" caption="Department_EN" attribute="1" defaultMemberUniqueName="[Master_Employee].[Department_EN].[All]" allUniqueName="[Master_Employee].[Department_EN].[All]" dimensionUniqueName="[Master_Employee]" displayFolder="" count="2"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2" memberValueDatatype="130" unbalanced="0"/>
    <cacheHierarchy uniqueName="[Master_Employee].[Supervisor_ID]" caption="Supervisor_ID" attribute="1" defaultMemberUniqueName="[Master_Employee].[Supervisor_ID].[All]" allUniqueName="[Master_Employee].[Supervisor_ID].[All]" dimensionUniqueName="[Master_Employee]" displayFolder="" count="2" memberValueDatatype="130" unbalanced="0"/>
    <cacheHierarchy uniqueName="[Master_Employee].[Name_AR]" caption="Name_AR" attribute="1" defaultMemberUniqueName="[Master_Employee].[Name_AR].[All]" allUniqueName="[Master_Employee].[Name_AR].[All]" dimensionUniqueName="[Master_Employee]" displayFolder="" count="2" memberValueDatatype="130" unbalanced="0"/>
    <cacheHierarchy uniqueName="[Master_Employee].[Name_EN]" caption="Name_EN" attribute="1" defaultMemberUniqueName="[Master_Employee].[Name_EN].[All]" allUniqueName="[Master_Employee].[Name_EN].[All]" dimensionUniqueName="[Master_Employee]" displayFolder="" count="2" memberValueDatatype="130" unbalanced="0"/>
    <cacheHierarchy uniqueName="[Master_Employee].[National_ID]" caption="National_ID" attribute="1" defaultMemberUniqueName="[Master_Employee].[National_ID].[All]" allUniqueName="[Master_Employee].[National_ID].[All]" dimensionUniqueName="[Master_Employee]" displayFolder="" count="2"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2"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2" memberValueDatatype="20" unbalanced="0"/>
    <cacheHierarchy uniqueName="[Master_Employee].[Nationality]" caption="Nationality" attribute="1" defaultMemberUniqueName="[Master_Employee].[Nationality].[All]" allUniqueName="[Master_Employee].[Nationality].[All]" dimensionUniqueName="[Master_Employee]" displayFolder="" count="2"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cacheHierarchy uniqueName="[Master_Employee].[Hire_Date]" caption="Hire_Date" attribute="1" defaultMemberUniqueName="[Master_Employee].[Hire_Date].[All]" allUniqueName="[Master_Employee].[Hire_Date].[All]" dimensionUniqueName="[Master_Employee]" displayFolder="" count="2" memberValueDatatype="130" unbalanced="0"/>
    <cacheHierarchy uniqueName="[Master_Employee].[Join_Date]" caption="Join_Date" attribute="1" defaultMemberUniqueName="[Master_Employee].[Join_Date].[All]" allUniqueName="[Master_Employee].[Join_Date].[All]" dimensionUniqueName="[Master_Employee]" displayFolder="" count="2"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2"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2"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2" memberValueDatatype="130" unbalanced="0"/>
    <cacheHierarchy uniqueName="[Master_Employee].[Payment_Code]" caption="Payment_Code" attribute="1" defaultMemberUniqueName="[Master_Employee].[Payment_Code].[All]" allUniqueName="[Master_Employee].[Payment_Code].[All]" dimensionUniqueName="[Master_Employee]" displayFolder="" count="2"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2"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2" memberValueDatatype="130" unbalanced="0"/>
    <cacheHierarchy uniqueName="[Master_Employee].[Notes]" caption="Notes" attribute="1" defaultMemberUniqueName="[Master_Employee].[Notes].[All]" allUniqueName="[Master_Employee].[Notes].[All]" dimensionUniqueName="[Master_Employee]" displayFolder="" count="2" memberValueDatatype="130" unbalanced="0"/>
    <cacheHierarchy uniqueName="[Master_Employee].[Basic_Salary]" caption="Basic_Salary" attribute="1" defaultMemberUniqueName="[Master_Employee].[Basic_Salary].[All]" allUniqueName="[Master_Employee].[Basic_Salary].[All]" dimensionUniqueName="[Master_Employee]" displayFolder="" count="2"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2"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2"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2" memberValueDatatype="20" unbalanced="0"/>
    <cacheHierarchy uniqueName="[Master_Employee].[Total_Salary]" caption="Total_Salary" attribute="1" defaultMemberUniqueName="[Master_Employee].[Total_Salary].[All]" allUniqueName="[Master_Employee].[Total_Salary].[All]" dimensionUniqueName="[Master_Employee]" displayFolder="" count="2" memberValueDatatype="20" unbalanced="0"/>
    <cacheHierarchy uniqueName="[Master_Employee].[Daily_Rate]" caption="Daily_Rate" attribute="1" defaultMemberUniqueName="[Master_Employee].[Daily_Rate].[All]" allUniqueName="[Master_Employee].[Daily_Rate].[All]" dimensionUniqueName="[Master_Employee]" displayFolder="" count="2" memberValueDatatype="5" unbalanced="0"/>
    <cacheHierarchy uniqueName="[Master_Employee].[Hour_Rate]" caption="Hour_Rate" attribute="1" defaultMemberUniqueName="[Master_Employee].[Hour_Rate].[All]" allUniqueName="[Master_Employee].[Hour_Rate].[All]" dimensionUniqueName="[Master_Employee]" displayFolder="" count="2" memberValueDatatype="130" unbalanced="0"/>
    <cacheHierarchy uniqueName="[Master_Employee].[OT_Hr_Rate]" caption="OT_Hr_Rate" attribute="1" defaultMemberUniqueName="[Master_Employee].[OT_Hr_Rate].[All]" allUniqueName="[Master_Employee].[OT_Hr_Rate].[All]" dimensionUniqueName="[Master_Employee]" displayFolder="" count="2" memberValueDatatype="5" unbalanced="0"/>
    <cacheHierarchy uniqueName="[Master_Employee].[OT_Multiplier]" caption="OT_Multiplier" attribute="1" defaultMemberUniqueName="[Master_Employee].[OT_Multiplier].[All]" allUniqueName="[Master_Employee].[OT_Multiplier].[All]" dimensionUniqueName="[Master_Employee]" displayFolder="" count="2"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2"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2" memberValueDatatype="130" unbalanced="0"/>
    <cacheHierarchy uniqueName="[tbl_Dept].[#]" caption="#" attribute="1" defaultMemberUniqueName="[tbl_Dept].[#].[All]" allUniqueName="[tbl_Dept].[#].[All]" dimensionUniqueName="[tbl_Dept]" displayFolder="" count="2" memberValueDatatype="20" unbalanced="0"/>
    <cacheHierarchy uniqueName="[tbl_Dept].[Dept_ID]" caption="Dept_ID" attribute="1" defaultMemberUniqueName="[tbl_Dept].[Dept_ID].[All]" allUniqueName="[tbl_Dept].[Dept_ID].[All]" dimensionUniqueName="[tbl_Dept]" displayFolder="" count="2"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2" memberValueDatatype="130" unbalanced="0"/>
    <cacheHierarchy uniqueName="[tbl_Dept].[Notes]" caption="Notes" attribute="1" defaultMemberUniqueName="[tbl_Dept].[Notes].[All]" allUniqueName="[tbl_Dept].[Notes].[All]" dimensionUniqueName="[tbl_Dept]" displayFolder="" count="2" memberValueDatatype="130" unbalanced="0"/>
    <cacheHierarchy uniqueName="[tbl_Projects].[#]" caption="#" attribute="1" defaultMemberUniqueName="[tbl_Projects].[#].[All]" allUniqueName="[tbl_Projects].[#].[All]" dimensionUniqueName="[tbl_Projects]" displayFolder="" count="2" memberValueDatatype="20" unbalanced="0"/>
    <cacheHierarchy uniqueName="[tbl_Projects].[Project_ID]" caption="Project_ID" attribute="1" defaultMemberUniqueName="[tbl_Projects].[Project_ID].[All]" allUniqueName="[tbl_Projects].[Project_ID].[All]" dimensionUniqueName="[tbl_Projects]" displayFolder="" count="2"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2" memberValueDatatype="130" unbalanced="0"/>
    <cacheHierarchy uniqueName="[tbl_Projects].[Location]" caption="Location" attribute="1" defaultMemberUniqueName="[tbl_Projects].[Location].[All]" allUniqueName="[tbl_Projects].[Location].[All]" dimensionUniqueName="[tbl_Projects]" displayFolder="" count="2" memberValueDatatype="130" unbalanced="0"/>
    <cacheHierarchy uniqueName="[tbl_Projects].[Start_Date]" caption="Start_Date" attribute="1" time="1" defaultMemberUniqueName="[tbl_Projects].[Start_Date].[All]" allUniqueName="[tbl_Projects].[Start_Date].[All]" dimensionUniqueName="[tbl_Projects]" displayFolder="" count="2" memberValueDatatype="7" unbalanced="0"/>
    <cacheHierarchy uniqueName="[tbl_Projects].[End_Date]" caption="End_Date" attribute="1" time="1" defaultMemberUniqueName="[tbl_Projects].[End_Date].[All]" allUniqueName="[tbl_Projects].[End_Date].[All]" dimensionUniqueName="[tbl_Projects]" displayFolder="" count="2" memberValueDatatype="7" unbalanced="0"/>
    <cacheHierarchy uniqueName="[tbl_Projects].[Status]" caption="Status" attribute="1" defaultMemberUniqueName="[tbl_Projects].[Status].[All]" allUniqueName="[tbl_Projects].[Status].[All]" dimensionUniqueName="[tbl_Projects]" displayFolder="" count="2" memberValueDatatype="130" unbalanced="0"/>
    <cacheHierarchy uniqueName="[tbl_Projects].[Flag_Status]" caption="Flag_Status" attribute="1" defaultMemberUniqueName="[tbl_Projects].[Flag_Status].[All]" allUniqueName="[tbl_Projects].[Flag_Status].[All]" dimensionUniqueName="[tbl_Projects]" displayFolder="" count="2" memberValueDatatype="130" unbalanced="0"/>
    <cacheHierarchy uniqueName="[tbl_Projects].[Client_Name]" caption="Client_Name" attribute="1" defaultMemberUniqueName="[tbl_Projects].[Client_Name].[All]" allUniqueName="[tbl_Projects].[Client_Name].[All]" dimensionUniqueName="[tbl_Projects]" displayFolder="" count="2" memberValueDatatype="130" unbalanced="0"/>
    <cacheHierarchy uniqueName="[tbl_Projects].[Contact_Number]" caption="Contact_Number" attribute="1" defaultMemberUniqueName="[tbl_Projects].[Contact_Number].[All]" allUniqueName="[tbl_Projects].[Contact_Number].[All]" dimensionUniqueName="[tbl_Projects]" displayFolder="" count="2" memberValueDatatype="130" unbalanced="0"/>
    <cacheHierarchy uniqueName="[tbl_Projects].[Client_Sales]" caption="Client_Sales" attribute="1" defaultMemberUniqueName="[tbl_Projects].[Client_Sales].[All]" allUniqueName="[tbl_Projects].[Client_Sales].[All]" dimensionUniqueName="[tbl_Projects]" displayFolder="" count="2" memberValueDatatype="130" unbalanced="0"/>
    <cacheHierarchy uniqueName="[tbl_Projects].[Notes]" caption="Notes" attribute="1" defaultMemberUniqueName="[tbl_Projects].[Notes].[All]" allUniqueName="[tbl_Projects].[Notes].[All]" dimensionUniqueName="[tbl_Projects]" displayFolder="" count="2" memberValueDatatype="130" unbalanced="0"/>
    <cacheHierarchy uniqueName="[tbl_Transactions].[#]" caption="#" attribute="1" defaultMemberUniqueName="[tbl_Transactions].[#].[All]" allUniqueName="[tbl_Transactions].[#].[All]" dimensionUniqueName="[tbl_Transactions]" displayFolder="" count="2" memberValueDatatype="20" unbalanced="0"/>
    <cacheHierarchy uniqueName="[tbl_Transactions].[Trans_ID]" caption="Trans_ID" attribute="1" defaultMemberUniqueName="[tbl_Transactions].[Trans_ID].[All]" allUniqueName="[tbl_Transactions].[Trans_ID].[All]" dimensionUniqueName="[tbl_Transactions]" displayFolder="" count="2" memberValueDatatype="130" unbalanced="0"/>
    <cacheHierarchy uniqueName="[tbl_Transactions].[Emp_ID]" caption="Emp_ID" attribute="1" defaultMemberUniqueName="[tbl_Transactions].[Emp_ID].[All]" allUniqueName="[tbl_Transactions].[Emp_ID].[All]" dimensionUniqueName="[tbl_Transactions]" displayFolder="" count="2" memberValueDatatype="130" unbalanced="0"/>
    <cacheHierarchy uniqueName="[tbl_Transactions].[Name_AR]" caption="Name_AR" attribute="1" defaultMemberUniqueName="[tbl_Transactions].[Name_AR].[All]" allUniqueName="[tbl_Transactions].[Name_AR].[All]" dimensionUniqueName="[tbl_Transactions]" displayFolder="" count="2" memberValueDatatype="130" unbalanced="0"/>
    <cacheHierarchy uniqueName="[tbl_Transactions].[Name_EN]" caption="Name_EN" attribute="1" defaultMemberUniqueName="[tbl_Transactions].[Name_EN].[All]" allUniqueName="[tbl_Transactions].[Name_EN].[All]" dimensionUniqueName="[tbl_Transactions]" displayFolder="" count="2" memberValueDatatype="130" unbalanced="0"/>
    <cacheHierarchy uniqueName="[tbl_Transactions].[Department]" caption="Department" attribute="1" defaultMemberUniqueName="[tbl_Transactions].[Department].[All]" allUniqueName="[tbl_Transactions].[Department].[All]" dimensionUniqueName="[tbl_Transactions]" displayFolder="" count="2" memberValueDatatype="130" unbalanced="0"/>
    <cacheHierarchy uniqueName="[tbl_Transactions].[Project_Name]" caption="Project_Name" attribute="1" defaultMemberUniqueName="[tbl_Transactions].[Project_Name].[All]" allUniqueName="[tbl_Transactions].[Project_Name].[All]" dimensionUniqueName="[tbl_Transactions]" displayFolder="" count="2" memberValueDatatype="130" unbalanced="0"/>
    <cacheHierarchy uniqueName="[tbl_Transactions].[Date]" caption="Date" attribute="1" time="1" defaultMemberUniqueName="[tbl_Transactions].[Date].[All]" allUniqueName="[tbl_Transactions].[Date].[All]" dimensionUniqueName="[tbl_Transactions]" displayFolder="" count="2" memberValueDatatype="7" unbalanced="0"/>
    <cacheHierarchy uniqueName="[tbl_Transactions].[Type]" caption="Type" attribute="1" defaultMemberUniqueName="[tbl_Transactions].[Type].[All]" allUniqueName="[tbl_Transactions].[Type].[All]" dimensionUniqueName="[tbl_Transactions]" displayFolder="" count="2" memberValueDatatype="130" unbalanced="0"/>
    <cacheHierarchy uniqueName="[tbl_Transactions].[Type_Code]" caption="Type_Code" attribute="1" defaultMemberUniqueName="[tbl_Transactions].[Type_Code].[All]" allUniqueName="[tbl_Transactions].[Type_Code].[All]" dimensionUniqueName="[tbl_Transactions]" displayFolder="" count="2" memberValueDatatype="130" unbalanced="0"/>
    <cacheHierarchy uniqueName="[tbl_Transactions].[Reasons]" caption="Reasons" attribute="1" defaultMemberUniqueName="[tbl_Transactions].[Reasons].[All]" allUniqueName="[tbl_Transactions].[Reasons].[All]" dimensionUniqueName="[tbl_Transactions]" displayFolder="" count="2" memberValueDatatype="130" unbalanced="0"/>
    <cacheHierarchy uniqueName="[tbl_Transactions].[Amount]" caption="Amount" attribute="1" defaultMemberUniqueName="[tbl_Transactions].[Amount].[All]" allUniqueName="[tbl_Transactions].[Amount].[All]" dimensionUniqueName="[tbl_Transactions]" displayFolder="" count="2" memberValueDatatype="20" unbalanced="0"/>
    <cacheHierarchy uniqueName="[tbl_Transactions].[Notes]" caption="Notes" attribute="1" defaultMemberUniqueName="[tbl_Transactions].[Notes].[All]" allUniqueName="[tbl_Transactions].[Notes].[All]" dimensionUniqueName="[tbl_Transactions]" displayFolder="" count="2"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oneField="1">
      <fieldsUsage count="1">
        <fieldUsage x="1"/>
      </fieldsUsage>
    </cacheHierarchy>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dimensions count="6">
    <dimension name="Daily_Work" uniqueName="[Daily_Work]" caption="Daily_Work"/>
    <dimension name="Master_Employee" uniqueName="[Master_Employee]" caption="Master_Employee"/>
    <dimension measure="1" name="Measures" uniqueName="[Measures]" caption="Measures"/>
    <dimension name="tbl_Dept" uniqueName="[tbl_Dept]" caption="tbl_Dept"/>
    <dimension name="tbl_Projects" uniqueName="[tbl_Projects]" caption="tbl_Projects"/>
    <dimension name="tbl_Transactions" uniqueName="[tbl_Transactions]" caption="tbl_Transactions"/>
  </dimensions>
  <measureGroups count="5">
    <measureGroup name="Daily_Work" caption="Daily_Work"/>
    <measureGroup name="Master_Employee" caption="Master_Employee"/>
    <measureGroup name="tbl_Dept" caption="tbl_Dept"/>
    <measureGroup name="tbl_Projects" caption="tbl_Projects"/>
    <measureGroup name="tbl_Transactions" caption="tbl_Transactions"/>
  </measureGroups>
  <maps count="11">
    <map measureGroup="0" dimension="0"/>
    <map measureGroup="0" dimension="1"/>
    <map measureGroup="0" dimension="3"/>
    <map measureGroup="0" dimension="4"/>
    <map measureGroup="1" dimension="1"/>
    <map measureGroup="1" dimension="3"/>
    <map measureGroup="2" dimension="3"/>
    <map measureGroup="3" dimension="4"/>
    <map measureGroup="4" dimension="1"/>
    <map measureGroup="4" dimension="3"/>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24.404759722223" backgroundQuery="1" createdVersion="3" refreshedVersion="8" minRefreshableVersion="3" recordCount="0" supportSubquery="1" supportAdvancedDrill="1" xr:uid="{F86C7363-0672-4D4F-9C4F-CDA847F784B8}">
  <cacheSource type="external" connectionId="6">
    <extLst>
      <ext xmlns:x14="http://schemas.microsoft.com/office/spreadsheetml/2009/9/main" uri="{F057638F-6D5F-4e77-A914-E7F072B9BCA8}">
        <x14:sourceConnection name="ThisWorkbookDataModel"/>
      </ext>
    </extLst>
  </cacheSource>
  <cacheFields count="0"/>
  <cacheHierarchies count="145">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0"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2"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2"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2" memberValueDatatype="130" unbalanced="0"/>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2"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2"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2"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2"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2"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908879702"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23.155659490738" backgroundQuery="1" createdVersion="3" refreshedVersion="8" minRefreshableVersion="3" recordCount="0" supportSubquery="1" supportAdvancedDrill="1" xr:uid="{D3DE3116-E51E-4660-ABB5-DDB7812E41EA}">
  <cacheSource type="external" connectionId="6">
    <extLst>
      <ext xmlns:x14="http://schemas.microsoft.com/office/spreadsheetml/2009/9/main" uri="{F057638F-6D5F-4e77-A914-E7F072B9BCA8}">
        <x14:sourceConnection name="ThisWorkbookDataModel"/>
      </ext>
    </extLst>
  </cacheSource>
  <cacheFields count="0"/>
  <cacheHierarchies count="146">
    <cacheHierarchy uniqueName="[Daily_Work].[# #]" caption="# #" attribute="1" defaultMemberUniqueName="[Daily_Work].[# #].[All]" allUniqueName="[Daily_Work].[# #].[All]" dimensionUniqueName="[Daily_Work]" displayFolder="" count="0" memberValueDatatype="20" unbalanced="0"/>
    <cacheHierarchy uniqueName="[Daily_Work].[Month]" caption="Month" attribute="1" time="1" defaultMemberUniqueName="[Daily_Work].[Month].[All]" allUniqueName="[Daily_Work].[Month].[All]" dimensionUniqueName="[Daily_Work]" displayFolder="" count="2" memberValueDatatype="7" unbalanced="0"/>
    <cacheHierarchy uniqueName="[Daily_Work].[Emp_ID]" caption="Emp_ID" attribute="1" defaultMemberUniqueName="[Daily_Work].[Emp_ID].[All]" allUniqueName="[Daily_Work].[Emp_ID].[All]" dimensionUniqueName="[Daily_Work]" displayFolder="" count="0" memberValueDatatype="130" unbalanced="0"/>
    <cacheHierarchy uniqueName="[Daily_Work].[Name_AR]" caption="Name_AR" attribute="1" defaultMemberUniqueName="[Daily_Work].[Name_AR].[All]" allUniqueName="[Daily_Work].[Name_AR].[All]" dimensionUniqueName="[Daily_Work]" displayFolder="" count="0" memberValueDatatype="130" unbalanced="0"/>
    <cacheHierarchy uniqueName="[Daily_Work].[Name_EN]" caption="Name_EN" attribute="1" defaultMemberUniqueName="[Daily_Work].[Name_EN].[All]" allUniqueName="[Daily_Work].[Name_EN].[All]" dimensionUniqueName="[Daily_Work]" displayFolder="" count="0" memberValueDatatype="130" unbalanced="0"/>
    <cacheHierarchy uniqueName="[Daily_Work].[Department]" caption="Department" attribute="1" defaultMemberUniqueName="[Daily_Work].[Department].[All]" allUniqueName="[Daily_Work].[Department].[All]" dimensionUniqueName="[Daily_Work]" displayFolder="" count="0" memberValueDatatype="130" unbalanced="0"/>
    <cacheHierarchy uniqueName="[Daily_Work].[Supervisor]" caption="Supervisor" attribute="1" defaultMemberUniqueName="[Daily_Work].[Supervisor].[All]" allUniqueName="[Daily_Work].[Supervisor].[All]" dimensionUniqueName="[Daily_Work]" displayFolder="" count="0" memberValueDatatype="130" unbalanced="0"/>
    <cacheHierarchy uniqueName="[Daily_Work].[Project_Name]" caption="Project_Name" attribute="1" defaultMemberUniqueName="[Daily_Work].[Project_Name].[All]" allUniqueName="[Daily_Work].[Project_Name].[All]" dimensionUniqueName="[Daily_Work]" displayFolder="" count="0" memberValueDatatype="130" unbalanced="0"/>
    <cacheHierarchy uniqueName="[Daily_Work].[Project_ID]" caption="Project_ID" attribute="1" defaultMemberUniqueName="[Daily_Work].[Project_ID].[All]" allUniqueName="[Daily_Work].[Project_ID].[All]" dimensionUniqueName="[Daily_Work]" displayFolder="" count="0" memberValueDatatype="130" unbalanced="0"/>
    <cacheHierarchy uniqueName="[Daily_Work].[Emp_Status]" caption="Emp_Status" attribute="1" defaultMemberUniqueName="[Daily_Work].[Emp_Status].[All]" allUniqueName="[Daily_Work].[Emp_Status].[All]" dimensionUniqueName="[Daily_Work]" displayFolder="" count="0" memberValueDatatype="130" unbalanced="0"/>
    <cacheHierarchy uniqueName="[Daily_Work].[Status_Code]" caption="Status_Code" attribute="1" defaultMemberUniqueName="[Daily_Work].[Status_Code].[All]" allUniqueName="[Daily_Work].[Status_Code].[All]" dimensionUniqueName="[Daily_Work]" displayFolder="" count="0" memberValueDatatype="20" unbalanced="0"/>
    <cacheHierarchy uniqueName="[Daily_Work].[Days_Work]" caption="Days_Work" attribute="1" defaultMemberUniqueName="[Daily_Work].[Days_Work].[All]" allUniqueName="[Daily_Work].[Days_Work].[All]" dimensionUniqueName="[Daily_Work]" displayFolder="" count="0" memberValueDatatype="20" unbalanced="0"/>
    <cacheHierarchy uniqueName="[Daily_Work].[OT_Hrs]" caption="OT_Hrs" attribute="1" defaultMemberUniqueName="[Daily_Work].[OT_Hrs].[All]" allUniqueName="[Daily_Work].[OT_Hrs].[All]" dimensionUniqueName="[Daily_Work]" displayFolder="" count="0" memberValueDatatype="20" unbalanced="0"/>
    <cacheHierarchy uniqueName="[Daily_Work].[Normal_Hrs]" caption="Normal_Hrs" attribute="1" defaultMemberUniqueName="[Daily_Work].[Normal_Hrs].[All]" allUniqueName="[Daily_Work].[Normal_Hrs].[All]" dimensionUniqueName="[Daily_Work]" displayFolder="" count="0" memberValueDatatype="20" unbalanced="0"/>
    <cacheHierarchy uniqueName="[Daily_Work].[Normal_Cost]" caption="Normal_Cost" attribute="1" defaultMemberUniqueName="[Daily_Work].[Normal_Cost].[All]" allUniqueName="[Daily_Work].[Normal_Cost].[All]" dimensionUniqueName="[Daily_Work]" displayFolder="" count="0" memberValueDatatype="5" unbalanced="0"/>
    <cacheHierarchy uniqueName="[Daily_Work].[OT_Cost]" caption="OT_Cost" attribute="1" defaultMemberUniqueName="[Daily_Work].[OT_Cost].[All]" allUniqueName="[Daily_Work].[OT_Cost].[All]" dimensionUniqueName="[Daily_Work]" displayFolder="" count="0" memberValueDatatype="5" unbalanced="0"/>
    <cacheHierarchy uniqueName="[Master_Employee].[#]" caption="#" attribute="1" defaultMemberUniqueName="[Master_Employee].[#].[All]" allUniqueName="[Master_Employee].[#].[All]" dimensionUniqueName="[Master_Employee]" displayFolder="" count="0" memberValueDatatype="20" unbalanced="0"/>
    <cacheHierarchy uniqueName="[Master_Employee].[Emp_ID]" caption="Emp_ID" attribute="1" defaultMemberUniqueName="[Master_Employee].[Emp_ID].[All]" allUniqueName="[Master_Employee].[Emp_ID].[All]" dimensionUniqueName="[Master_Employee]" displayFolder="" count="0" memberValueDatatype="130" unbalanced="0"/>
    <cacheHierarchy uniqueName="[Master_Employee].[Dept_ID]" caption="Dept_ID" attribute="1" defaultMemberUniqueName="[Master_Employee].[Dept_ID].[All]" allUniqueName="[Master_Employee].[Dept_ID].[All]" dimensionUniqueName="[Master_Employee]" displayFolder="" count="0" memberValueDatatype="130" unbalanced="0"/>
    <cacheHierarchy uniqueName="[Master_Employee].[Department]" caption="Department" attribute="1" defaultMemberUniqueName="[Master_Employee].[Department].[All]" allUniqueName="[Master_Employee].[Department].[All]" dimensionUniqueName="[Master_Employee]" displayFolder="" count="0" memberValueDatatype="130" unbalanced="0"/>
    <cacheHierarchy uniqueName="[Master_Employee].[Department_EN]" caption="Department_EN" attribute="1" defaultMemberUniqueName="[Master_Employee].[Department_EN].[All]" allUniqueName="[Master_Employee].[Department_EN].[All]" dimensionUniqueName="[Master_Employee]" displayFolder="" count="0" memberValueDatatype="130" unbalanced="0"/>
    <cacheHierarchy uniqueName="[Master_Employee].[Supervisor_Name]" caption="Supervisor_Name" attribute="1" defaultMemberUniqueName="[Master_Employee].[Supervisor_Name].[All]" allUniqueName="[Master_Employee].[Supervisor_Name].[All]" dimensionUniqueName="[Master_Employee]" displayFolder="" count="0" memberValueDatatype="130" unbalanced="0"/>
    <cacheHierarchy uniqueName="[Master_Employee].[Supervisor_ID]" caption="Supervisor_ID" attribute="1" defaultMemberUniqueName="[Master_Employee].[Supervisor_ID].[All]" allUniqueName="[Master_Employee].[Supervisor_ID].[All]" dimensionUniqueName="[Master_Employee]" displayFolder="" count="0" memberValueDatatype="130" unbalanced="0"/>
    <cacheHierarchy uniqueName="[Master_Employee].[Name_AR]" caption="Name_AR" attribute="1" defaultMemberUniqueName="[Master_Employee].[Name_AR].[All]" allUniqueName="[Master_Employee].[Name_AR].[All]" dimensionUniqueName="[Master_Employee]" displayFolder="" count="0" memberValueDatatype="130" unbalanced="0"/>
    <cacheHierarchy uniqueName="[Master_Employee].[Name_EN]" caption="Name_EN" attribute="1" defaultMemberUniqueName="[Master_Employee].[Name_EN].[All]" allUniqueName="[Master_Employee].[Name_EN].[All]" dimensionUniqueName="[Master_Employee]" displayFolder="" count="0" memberValueDatatype="130" unbalanced="0"/>
    <cacheHierarchy uniqueName="[Master_Employee].[National_ID]" caption="National_ID" attribute="1" defaultMemberUniqueName="[Master_Employee].[National_ID].[All]" allUniqueName="[Master_Employee].[National_ID].[All]" dimensionUniqueName="[Master_Employee]" displayFolder="" count="0" memberValueDatatype="20" unbalanced="0"/>
    <cacheHierarchy uniqueName="[Master_Employee].[Q_ID_Expire_Date]" caption="Q_ID_Expire_Date" attribute="1" time="1" defaultMemberUniqueName="[Master_Employee].[Q_ID_Expire_Date].[All]" allUniqueName="[Master_Employee].[Q_ID_Expire_Date].[All]" dimensionUniqueName="[Master_Employee]" displayFolder="" count="0" memberValueDatatype="7" unbalanced="0"/>
    <cacheHierarchy uniqueName="[Master_Employee].[Residency_Days_Status]" caption="Residency_Days_Status" attribute="1" defaultMemberUniqueName="[Master_Employee].[Residency_Days_Status].[All]" allUniqueName="[Master_Employee].[Residency_Days_Status].[All]" dimensionUniqueName="[Master_Employee]" displayFolder="" count="0" memberValueDatatype="20" unbalanced="0"/>
    <cacheHierarchy uniqueName="[Master_Employee].[Nationality]" caption="Nationality" attribute="1" defaultMemberUniqueName="[Master_Employee].[Nationality].[All]" allUniqueName="[Master_Employee].[Nationality].[All]" dimensionUniqueName="[Master_Employee]" displayFolder="" count="0" memberValueDatatype="130" unbalanced="0"/>
    <cacheHierarchy uniqueName="[Master_Employee].[Job_Title]" caption="Job_Title" attribute="1" defaultMemberUniqueName="[Master_Employee].[Job_Title].[All]" allUniqueName="[Master_Employee].[Job_Title].[All]" dimensionUniqueName="[Master_Employee]" displayFolder="" count="0" memberValueDatatype="130" unbalanced="0"/>
    <cacheHierarchy uniqueName="[Master_Employee].[Hire_Date]" caption="Hire_Date" attribute="1" defaultMemberUniqueName="[Master_Employee].[Hire_Date].[All]" allUniqueName="[Master_Employee].[Hire_Date].[All]" dimensionUniqueName="[Master_Employee]" displayFolder="" count="0" memberValueDatatype="130" unbalanced="0"/>
    <cacheHierarchy uniqueName="[Master_Employee].[Join_Date]" caption="Join_Date" attribute="1" defaultMemberUniqueName="[Master_Employee].[Join_Date].[All]" allUniqueName="[Master_Employee].[Join_Date].[All]" dimensionUniqueName="[Master_Employee]" displayFolder="" count="0" memberValueDatatype="130" unbalanced="0"/>
    <cacheHierarchy uniqueName="[Master_Employee].[Last_Return_Date]" caption="Last_Return_Date" attribute="1" defaultMemberUniqueName="[Master_Employee].[Last_Return_Date].[All]" allUniqueName="[Master_Employee].[Last_Return_Date].[All]" dimensionUniqueName="[Master_Employee]" displayFolder="" count="0" memberValueDatatype="130" unbalanced="0"/>
    <cacheHierarchy uniqueName="[Master_Employee].[Emp_Status]" caption="Emp_Status" attribute="1" defaultMemberUniqueName="[Master_Employee].[Emp_Status].[All]" allUniqueName="[Master_Employee].[Emp_Status].[All]" dimensionUniqueName="[Master_Employee]" displayFolder="" count="0" memberValueDatatype="130" unbalanced="0"/>
    <cacheHierarchy uniqueName="[Master_Employee].[Status_Code]" caption="Status_Code" attribute="1" defaultMemberUniqueName="[Master_Employee].[Status_Code].[All]" allUniqueName="[Master_Employee].[Status_Code].[All]" dimensionUniqueName="[Master_Employee]" displayFolder="" count="0" memberValueDatatype="130" unbalanced="0"/>
    <cacheHierarchy uniqueName="[Master_Employee].[Payment_Method]" caption="Payment_Method" attribute="1" defaultMemberUniqueName="[Master_Employee].[Payment_Method].[All]" allUniqueName="[Master_Employee].[Payment_Method].[All]" dimensionUniqueName="[Master_Employee]" displayFolder="" count="0" memberValueDatatype="130" unbalanced="0"/>
    <cacheHierarchy uniqueName="[Master_Employee].[Payment_Code]" caption="Payment_Code" attribute="1" defaultMemberUniqueName="[Master_Employee].[Payment_Code].[All]" allUniqueName="[Master_Employee].[Payment_Code].[All]" dimensionUniqueName="[Master_Employee]" displayFolder="" count="0" memberValueDatatype="130" unbalanced="0"/>
    <cacheHierarchy uniqueName="[Master_Employee].[Bank_Account_Number]" caption="Bank_Account_Number" attribute="1" defaultMemberUniqueName="[Master_Employee].[Bank_Account_Number].[All]" allUniqueName="[Master_Employee].[Bank_Account_Number].[All]" dimensionUniqueName="[Master_Employee]" displayFolder="" count="0" memberValueDatatype="130" unbalanced="0"/>
    <cacheHierarchy uniqueName="[Master_Employee].[Employee_Assets]" caption="Employee_Assets" attribute="1" defaultMemberUniqueName="[Master_Employee].[Employee_Assets].[All]" allUniqueName="[Master_Employee].[Employee_Assets].[All]" dimensionUniqueName="[Master_Employee]" displayFolder="" count="0" memberValueDatatype="130" unbalanced="0"/>
    <cacheHierarchy uniqueName="[Master_Employee].[Notes]" caption="Notes" attribute="1" defaultMemberUniqueName="[Master_Employee].[Notes].[All]" allUniqueName="[Master_Employee].[Notes].[All]" dimensionUniqueName="[Master_Employee]" displayFolder="" count="0" memberValueDatatype="130" unbalanced="0"/>
    <cacheHierarchy uniqueName="[Master_Employee].[Basic_Salary]" caption="Basic_Salary" attribute="1" defaultMemberUniqueName="[Master_Employee].[Basic_Salary].[All]" allUniqueName="[Master_Employee].[Basic_Salary].[All]" dimensionUniqueName="[Master_Employee]" displayFolder="" count="0" memberValueDatatype="20" unbalanced="0"/>
    <cacheHierarchy uniqueName="[Master_Employee].[Living_Allowance]" caption="Living_Allowance" attribute="1" defaultMemberUniqueName="[Master_Employee].[Living_Allowance].[All]" allUniqueName="[Master_Employee].[Living_Allowance].[All]" dimensionUniqueName="[Master_Employee]" displayFolder="" count="0" memberValueDatatype="20" unbalanced="0"/>
    <cacheHierarchy uniqueName="[Master_Employee].[Transport_Allowance]" caption="Transport_Allowance" attribute="1" defaultMemberUniqueName="[Master_Employee].[Transport_Allowance].[All]" allUniqueName="[Master_Employee].[Transport_Allowance].[All]" dimensionUniqueName="[Master_Employee]" displayFolder="" count="0" memberValueDatatype="20" unbalanced="0"/>
    <cacheHierarchy uniqueName="[Master_Employee].[Other_Allowance]" caption="Other_Allowance" attribute="1" defaultMemberUniqueName="[Master_Employee].[Other_Allowance].[All]" allUniqueName="[Master_Employee].[Other_Allowance].[All]" dimensionUniqueName="[Master_Employee]" displayFolder="" count="0" memberValueDatatype="20" unbalanced="0"/>
    <cacheHierarchy uniqueName="[Master_Employee].[Total_Salary]" caption="Total_Salary" attribute="1" defaultMemberUniqueName="[Master_Employee].[Total_Salary].[All]" allUniqueName="[Master_Employee].[Total_Salary].[All]" dimensionUniqueName="[Master_Employee]" displayFolder="" count="0" memberValueDatatype="20" unbalanced="0"/>
    <cacheHierarchy uniqueName="[Master_Employee].[Daily_Rate]" caption="Daily_Rate" attribute="1" defaultMemberUniqueName="[Master_Employee].[Daily_Rate].[All]" allUniqueName="[Master_Employee].[Daily_Rate].[All]" dimensionUniqueName="[Master_Employee]" displayFolder="" count="0" memberValueDatatype="5" unbalanced="0"/>
    <cacheHierarchy uniqueName="[Master_Employee].[Hour_Rate]" caption="Hour_Rate" attribute="1" defaultMemberUniqueName="[Master_Employee].[Hour_Rate].[All]" allUniqueName="[Master_Employee].[Hour_Rate].[All]" dimensionUniqueName="[Master_Employee]" displayFolder="" count="0" memberValueDatatype="130" unbalanced="0"/>
    <cacheHierarchy uniqueName="[Master_Employee].[OT_Hr_Rate]" caption="OT_Hr_Rate" attribute="1" defaultMemberUniqueName="[Master_Employee].[OT_Hr_Rate].[All]" allUniqueName="[Master_Employee].[OT_Hr_Rate].[All]" dimensionUniqueName="[Master_Employee]" displayFolder="" count="0" memberValueDatatype="5" unbalanced="0"/>
    <cacheHierarchy uniqueName="[Master_Employee].[OT_Multiplier]" caption="OT_Multiplier" attribute="1" defaultMemberUniqueName="[Master_Employee].[OT_Multiplier].[All]" allUniqueName="[Master_Employee].[OT_Multiplier].[All]" dimensionUniqueName="[Master_Employee]" displayFolder="" count="0" memberValueDatatype="20" unbalanced="0"/>
    <cacheHierarchy uniqueName="[Master_Employee].[Grade]" caption="Grade" attribute="1" defaultMemberUniqueName="[Master_Employee].[Grade].[All]" allUniqueName="[Master_Employee].[Grade].[All]" dimensionUniqueName="[Master_Employee]" displayFolder="" count="0" memberValueDatatype="130" unbalanced="0"/>
    <cacheHierarchy uniqueName="[Master_Employee].[sponsorship]" caption="sponsorship" attribute="1" defaultMemberUniqueName="[Master_Employee].[sponsorship].[All]" allUniqueName="[Master_Employee].[sponsorship].[All]" dimensionUniqueName="[Master_Employee]" displayFolder="" count="0" memberValueDatatype="130" unbalanced="0"/>
    <cacheHierarchy uniqueName="[Master_Employee].[Name_of_sponsorship_company]" caption="Name_of_sponsorship_company" attribute="1" defaultMemberUniqueName="[Master_Employee].[Name_of_sponsorship_company].[All]" allUniqueName="[Master_Employee].[Name_of_sponsorship_company].[All]" dimensionUniqueName="[Master_Employee]" displayFolder="" count="0" memberValueDatatype="130" unbalanced="0"/>
    <cacheHierarchy uniqueName="[tbl_Dept].[#]" caption="#" attribute="1" defaultMemberUniqueName="[tbl_Dept].[#].[All]" allUniqueName="[tbl_Dept].[#].[All]" dimensionUniqueName="[tbl_Dept]" displayFolder="" count="0" memberValueDatatype="20" unbalanced="0"/>
    <cacheHierarchy uniqueName="[tbl_Dept].[Dept_ID]" caption="Dept_ID" attribute="1" defaultMemberUniqueName="[tbl_Dept].[Dept_ID].[All]" allUniqueName="[tbl_Dept].[Dept_ID].[All]" dimensionUniqueName="[tbl_Dept]" displayFolder="" count="0" memberValueDatatype="130" unbalanced="0"/>
    <cacheHierarchy uniqueName="[tbl_Dept].[Dept_Name]" caption="Dept_Name" attribute="1" defaultMemberUniqueName="[tbl_Dept].[Dept_Name].[All]" allUniqueName="[tbl_Dept].[Dept_Name].[All]" dimensionUniqueName="[tbl_Dept]" displayFolder="" count="0" memberValueDatatype="130" unbalanced="0"/>
    <cacheHierarchy uniqueName="[tbl_Dept].[Dept_Name_EN]" caption="Dept_Name_EN" attribute="1" defaultMemberUniqueName="[tbl_Dept].[Dept_Name_EN].[All]" allUniqueName="[tbl_Dept].[Dept_Name_EN].[All]" dimensionUniqueName="[tbl_Dept]" displayFolder="" count="0" memberValueDatatype="130" unbalanced="0"/>
    <cacheHierarchy uniqueName="[tbl_Dept].[Notes]" caption="Notes" attribute="1" defaultMemberUniqueName="[tbl_Dept].[Notes].[All]" allUniqueName="[tbl_Dept].[Notes].[All]" dimensionUniqueName="[tbl_Dept]" displayFolder="" count="0" memberValueDatatype="130" unbalanced="0"/>
    <cacheHierarchy uniqueName="[tbl_Projects].[#]" caption="#" attribute="1" defaultMemberUniqueName="[tbl_Projects].[#].[All]" allUniqueName="[tbl_Projects].[#].[All]" dimensionUniqueName="[tbl_Projects]" displayFolder="" count="0" memberValueDatatype="20" unbalanced="0"/>
    <cacheHierarchy uniqueName="[tbl_Projects].[Project_ID]" caption="Project_ID" attribute="1" defaultMemberUniqueName="[tbl_Projects].[Project_ID].[All]" allUniqueName="[tbl_Projects].[Project_ID].[All]" dimensionUniqueName="[tbl_Projects]" displayFolder="" count="0" memberValueDatatype="130" unbalanced="0"/>
    <cacheHierarchy uniqueName="[tbl_Projects].[Project_Name]" caption="Project_Name" attribute="1" defaultMemberUniqueName="[tbl_Projects].[Project_Name].[All]" allUniqueName="[tbl_Projects].[Project_Name].[All]" dimensionUniqueName="[tbl_Projects]" displayFolder="" count="0" memberValueDatatype="130" unbalanced="0"/>
    <cacheHierarchy uniqueName="[tbl_Projects].[Department]" caption="Department" attribute="1" defaultMemberUniqueName="[tbl_Projects].[Department].[All]" allUniqueName="[tbl_Projects].[Department].[All]" dimensionUniqueName="[tbl_Projects]" displayFolder="" count="0" memberValueDatatype="130" unbalanced="0"/>
    <cacheHierarchy uniqueName="[tbl_Projects].[Location]" caption="Location" attribute="1" defaultMemberUniqueName="[tbl_Projects].[Location].[All]" allUniqueName="[tbl_Projects].[Location].[All]" dimensionUniqueName="[tbl_Projects]" displayFolder="" count="0" memberValueDatatype="130" unbalanced="0"/>
    <cacheHierarchy uniqueName="[tbl_Projects].[Start_Date]" caption="Start_Date" attribute="1" time="1" defaultMemberUniqueName="[tbl_Projects].[Start_Date].[All]" allUniqueName="[tbl_Projects].[Start_Date].[All]" dimensionUniqueName="[tbl_Projects]" displayFolder="" count="0" memberValueDatatype="7" unbalanced="0"/>
    <cacheHierarchy uniqueName="[tbl_Projects].[End_Date]" caption="End_Date" attribute="1" time="1" defaultMemberUniqueName="[tbl_Projects].[End_Date].[All]" allUniqueName="[tbl_Projects].[End_Date].[All]" dimensionUniqueName="[tbl_Projects]" displayFolder="" count="0" memberValueDatatype="7" unbalanced="0"/>
    <cacheHierarchy uniqueName="[tbl_Projects].[Status]" caption="Status" attribute="1" defaultMemberUniqueName="[tbl_Projects].[Status].[All]" allUniqueName="[tbl_Projects].[Status].[All]" dimensionUniqueName="[tbl_Projects]" displayFolder="" count="0" memberValueDatatype="130" unbalanced="0"/>
    <cacheHierarchy uniqueName="[tbl_Projects].[Flag_Status]" caption="Flag_Status" attribute="1" defaultMemberUniqueName="[tbl_Projects].[Flag_Status].[All]" allUniqueName="[tbl_Projects].[Flag_Status].[All]" dimensionUniqueName="[tbl_Projects]" displayFolder="" count="0" memberValueDatatype="130" unbalanced="0"/>
    <cacheHierarchy uniqueName="[tbl_Projects].[Client_Name]" caption="Client_Name" attribute="1" defaultMemberUniqueName="[tbl_Projects].[Client_Name].[All]" allUniqueName="[tbl_Projects].[Client_Name].[All]" dimensionUniqueName="[tbl_Projects]" displayFolder="" count="0" memberValueDatatype="130" unbalanced="0"/>
    <cacheHierarchy uniqueName="[tbl_Projects].[Contact_Number]" caption="Contact_Number" attribute="1" defaultMemberUniqueName="[tbl_Projects].[Contact_Number].[All]" allUniqueName="[tbl_Projects].[Contact_Number].[All]" dimensionUniqueName="[tbl_Projects]" displayFolder="" count="0" memberValueDatatype="130" unbalanced="0"/>
    <cacheHierarchy uniqueName="[tbl_Projects].[Client_Sales]" caption="Client_Sales" attribute="1" defaultMemberUniqueName="[tbl_Projects].[Client_Sales].[All]" allUniqueName="[tbl_Projects].[Client_Sales].[All]" dimensionUniqueName="[tbl_Projects]" displayFolder="" count="0" memberValueDatatype="130" unbalanced="0"/>
    <cacheHierarchy uniqueName="[tbl_Projects].[Notes]" caption="Notes" attribute="1" defaultMemberUniqueName="[tbl_Projects].[Notes].[All]" allUniqueName="[tbl_Projects].[Notes].[All]" dimensionUniqueName="[tbl_Projects]" displayFolder="" count="0" memberValueDatatype="130" unbalanced="0"/>
    <cacheHierarchy uniqueName="[tbl_Transactions].[#]" caption="#" attribute="1" defaultMemberUniqueName="[tbl_Transactions].[#].[All]" allUniqueName="[tbl_Transactions].[#].[All]" dimensionUniqueName="[tbl_Transactions]" displayFolder="" count="0" memberValueDatatype="20" unbalanced="0"/>
    <cacheHierarchy uniqueName="[tbl_Transactions].[Trans_ID]" caption="Trans_ID" attribute="1" defaultMemberUniqueName="[tbl_Transactions].[Trans_ID].[All]" allUniqueName="[tbl_Transactions].[Trans_ID].[All]" dimensionUniqueName="[tbl_Transactions]" displayFolder="" count="0" memberValueDatatype="130" unbalanced="0"/>
    <cacheHierarchy uniqueName="[tbl_Transactions].[Emp_ID]" caption="Emp_ID" attribute="1" defaultMemberUniqueName="[tbl_Transactions].[Emp_ID].[All]" allUniqueName="[tbl_Transactions].[Emp_ID].[All]" dimensionUniqueName="[tbl_Transactions]" displayFolder="" count="0" memberValueDatatype="130" unbalanced="0"/>
    <cacheHierarchy uniqueName="[tbl_Transactions].[Name_AR]" caption="Name_AR" attribute="1" defaultMemberUniqueName="[tbl_Transactions].[Name_AR].[All]" allUniqueName="[tbl_Transactions].[Name_AR].[All]" dimensionUniqueName="[tbl_Transactions]" displayFolder="" count="0" memberValueDatatype="130" unbalanced="0"/>
    <cacheHierarchy uniqueName="[tbl_Transactions].[Name_EN]" caption="Name_EN" attribute="1" defaultMemberUniqueName="[tbl_Transactions].[Name_EN].[All]" allUniqueName="[tbl_Transactions].[Name_EN].[All]" dimensionUniqueName="[tbl_Transactions]" displayFolder="" count="0" memberValueDatatype="130" unbalanced="0"/>
    <cacheHierarchy uniqueName="[tbl_Transactions].[Department]" caption="Department" attribute="1" defaultMemberUniqueName="[tbl_Transactions].[Department].[All]" allUniqueName="[tbl_Transactions].[Department].[All]" dimensionUniqueName="[tbl_Transactions]" displayFolder="" count="0" memberValueDatatype="130" unbalanced="0"/>
    <cacheHierarchy uniqueName="[tbl_Transactions].[Project_Name]" caption="Project_Name" attribute="1" defaultMemberUniqueName="[tbl_Transactions].[Project_Name].[All]" allUniqueName="[tbl_Transactions].[Project_Name].[All]" dimensionUniqueName="[tbl_Transactions]" displayFolder="" count="0" memberValueDatatype="130" unbalanced="0"/>
    <cacheHierarchy uniqueName="[tbl_Transactions].[Date]" caption="Date" attribute="1" time="1" defaultMemberUniqueName="[tbl_Transactions].[Date].[All]" allUniqueName="[tbl_Transactions].[Date].[All]" dimensionUniqueName="[tbl_Transactions]" displayFolder="" count="0" memberValueDatatype="7" unbalanced="0"/>
    <cacheHierarchy uniqueName="[tbl_Transactions].[Type]" caption="Type" attribute="1" defaultMemberUniqueName="[tbl_Transactions].[Type].[All]" allUniqueName="[tbl_Transactions].[Type].[All]" dimensionUniqueName="[tbl_Transactions]" displayFolder="" count="0" memberValueDatatype="130" unbalanced="0"/>
    <cacheHierarchy uniqueName="[tbl_Transactions].[Type_Code]" caption="Type_Code" attribute="1" defaultMemberUniqueName="[tbl_Transactions].[Type_Code].[All]" allUniqueName="[tbl_Transactions].[Type_Code].[All]" dimensionUniqueName="[tbl_Transactions]" displayFolder="" count="0" memberValueDatatype="130" unbalanced="0"/>
    <cacheHierarchy uniqueName="[tbl_Transactions].[Reasons]" caption="Reasons" attribute="1" defaultMemberUniqueName="[tbl_Transactions].[Reasons].[All]" allUniqueName="[tbl_Transactions].[Reasons].[All]" dimensionUniqueName="[tbl_Transactions]" displayFolder="" count="0" memberValueDatatype="130" unbalanced="0"/>
    <cacheHierarchy uniqueName="[tbl_Transactions].[Amount]" caption="Amount" attribute="1" defaultMemberUniqueName="[tbl_Transactions].[Amount].[All]" allUniqueName="[tbl_Transactions].[Amount].[All]" dimensionUniqueName="[tbl_Transactions]" displayFolder="" count="0" memberValueDatatype="20" unbalanced="0"/>
    <cacheHierarchy uniqueName="[tbl_Transactions].[Notes]" caption="Notes" attribute="1" defaultMemberUniqueName="[tbl_Transactions].[Notes].[All]" allUniqueName="[tbl_Transactions].[Notes].[All]" dimensionUniqueName="[tbl_Transactions]" displayFolder="" count="0" memberValueDatatype="130" unbalanced="0"/>
    <cacheHierarchy uniqueName="[Measures].[OT Cost]" caption="OT Cost" measure="1" displayFolder="" measureGroup="Daily_Work" count="0"/>
    <cacheHierarchy uniqueName="[Measures].[Normal Cost]" caption="Normal Cost" measure="1" displayFolder="" measureGroup="Daily_Work" count="0"/>
    <cacheHierarchy uniqueName="[Measures].[Total Work Cost]" caption="Total Work Cost" measure="1" displayFolder="" measureGroup="Daily_Work" count="0"/>
    <cacheHierarchy uniqueName="[Measures].[Total Days]" caption="Total Days" measure="1" displayFolder="" measureGroup="Daily_Work" count="0"/>
    <cacheHierarchy uniqueName="[Measures].[Total OT Hours]" caption="Total OT Hours" measure="1" displayFolder="" measureGroup="Daily_Work" count="0"/>
    <cacheHierarchy uniqueName="[Measures].[Total Deductions]" caption="Total Deductions" measure="1" displayFolder="" measureGroup="tbl_Transactions" count="0"/>
    <cacheHierarchy uniqueName="[Measures].[Total Bonus]" caption="Total Bonus" measure="1" displayFolder="" measureGroup="tbl_Transactions" count="0"/>
    <cacheHierarchy uniqueName="[Measures].[Total Loans]" caption="Total Loans" measure="1" displayFolder="" measureGroup="tbl_Transactions" count="0"/>
    <cacheHierarchy uniqueName="[Measures].[Total Addition]" caption="Total Addition" measure="1" displayFolder="" measureGroup="tbl_Transactions" count="0"/>
    <cacheHierarchy uniqueName="[Measures].[Employee Count]" caption="Employee Count" measure="1" displayFolder="" measureGroup="Master_Employee" count="0"/>
    <cacheHierarchy uniqueName="[Measures].[Net Salary]" caption="Net Salary" measure="1" displayFolder="" measureGroup="Master_Employee" count="0"/>
    <cacheHierarchy uniqueName="[Measures].[Absence Rate]" caption="Absence Rate" measure="1" displayFolder="" measureGroup="Daily_Work" count="0"/>
    <cacheHierarchy uniqueName="[Measures].[Avg Salary]" caption="Avg Salary" measure="1" displayFolder="" measureGroup="Master_Employee" count="0"/>
    <cacheHierarchy uniqueName="[Measures].[Payment %]" caption="Payment %" measure="1" displayFolder="" measureGroup="Master_Employee" count="0"/>
    <cacheHierarchy uniqueName="[Measures].[Total Work Hours]" caption="Total Work Hours" measure="1" displayFolder="" measureGroup="Daily_Work" count="0"/>
    <cacheHierarchy uniqueName="[Measures].[Project Cost]" caption="Project Cost" measure="1" displayFolder="" measureGroup="Master_Employee" count="0"/>
    <cacheHierarchy uniqueName="[Measures].[Max Salary]" caption="Max Salary" measure="1" displayFolder="" measureGroup="Master_Employee" count="0"/>
    <cacheHierarchy uniqueName="[Measures].[Min Salary]" caption="Min Salary" measure="1" displayFolder="" measureGroup="Master_Employee" count="0"/>
    <cacheHierarchy uniqueName="[Measures].[Active Employees]" caption="Active Employees" measure="1" displayFolder="" measureGroup="Master_Employee" count="0"/>
    <cacheHierarchy uniqueName="[Measures].[Previous Month Salary]" caption="Previous Month Salary" measure="1" displayFolder="" measureGroup="Daily_Work" count="0"/>
    <cacheHierarchy uniqueName="[Measures].[Selected Month Salary]" caption="Selected Month Salary" measure="1" displayFolder="" measureGroup="Daily_Work" count="0"/>
    <cacheHierarchy uniqueName="[Measures].[Difference]" caption="Difference" measure="1" displayFolder="" measureGroup="Daily_Work" count="0"/>
    <cacheHierarchy uniqueName="[Measures].[Arrow]" caption="Arrow" measure="1" displayFolder="" measureGroup="Daily_Work" count="0"/>
    <cacheHierarchy uniqueName="[Measures].[Difference Display]" caption="Difference Display" measure="1" displayFolder="" measureGroup="Daily_Work" count="0"/>
    <cacheHierarchy uniqueName="[Measures].[Active Job_Title]" caption="Active Job_Title" measure="1" displayFolder="" measureGroup="Master_Employee" count="0"/>
    <cacheHierarchy uniqueName="[Measures].[Valid Worker]" caption="Valid Worker" measure="1" displayFolder="" measureGroup="Daily_Work" count="0"/>
    <cacheHierarchy uniqueName="[Measures].[Workers Count]" caption="Workers Count" measure="1" displayFolder="" measureGroup="Daily_Work" count="0"/>
    <cacheHierarchy uniqueName="[Measures].[Cost per Worker]" caption="Cost per Worker" measure="1" displayFolder="" measureGroup="Daily_Work" count="0"/>
    <cacheHierarchy uniqueName="[Measures].[OT %]" caption="OT %" measure="1" displayFolder="" measureGroup="Daily_Work" count="0"/>
    <cacheHierarchy uniqueName="[Measures].[OT per Worker]" caption="OT per Worker" measure="1" displayFolder="" measureGroup="Daily_Work" count="0"/>
    <cacheHierarchy uniqueName="[Measures].[Total Work Days]" caption="Total Work Days" measure="1" displayFolder="" measureGroup="Daily_Work" count="0"/>
    <cacheHierarchy uniqueName="[Measures].[Projects per Employee]" caption="Projects per Employee" measure="1" displayFolder="" measureGroup="Daily_Work" count="0"/>
    <cacheHierarchy uniqueName="[Measures].[Days per Worker]" caption="Days per Worker" measure="1" displayFolder="" measureGroup="Daily_Work" count="0"/>
    <cacheHierarchy uniqueName="[Measures].[Absent Days]" caption="Absent Days" measure="1" displayFolder="" measureGroup="Master_Employee" count="0"/>
    <cacheHierarchy uniqueName="[Measures].[__XL_Count tbl_Dept]" caption="__XL_Count tbl_Dept" measure="1" displayFolder="" measureGroup="tbl_Dept" count="0" hidden="1"/>
    <cacheHierarchy uniqueName="[Measures].[__XL_Count tbl_Projects]" caption="__XL_Count tbl_Projects" measure="1" displayFolder="" measureGroup="tbl_Projects" count="0" hidden="1"/>
    <cacheHierarchy uniqueName="[Measures].[__XL_Count Master_Employee]" caption="__XL_Count Master_Employee" measure="1" displayFolder="" measureGroup="Master_Employee" count="0" hidden="1"/>
    <cacheHierarchy uniqueName="[Measures].[__XL_Count Daily_Work]" caption="__XL_Count Daily_Work" measure="1" displayFolder="" measureGroup="Daily_Work" count="0" hidden="1"/>
    <cacheHierarchy uniqueName="[Measures].[__XL_Count tbl_Transactions]" caption="__XL_Count tbl_Transactions" measure="1" displayFolder="" measureGroup="tbl_Transactions" count="0" hidden="1"/>
    <cacheHierarchy uniqueName="[Measures].[__No measures defined]" caption="__No measures defined" measure="1" displayFolder="" count="0" hidden="1"/>
    <cacheHierarchy uniqueName="[Measures].[Sum of Amount]" caption="Sum of Amount" measure="1" displayFolder="" measureGroup="tbl_Transactions" count="0" hidden="1">
      <extLst>
        <ext xmlns:x15="http://schemas.microsoft.com/office/spreadsheetml/2010/11/main" uri="{B97F6D7D-B522-45F9-BDA1-12C45D357490}">
          <x15:cacheHierarchy aggregatedColumn="81"/>
        </ext>
      </extLst>
    </cacheHierarchy>
    <cacheHierarchy uniqueName="[Measures].[Count of Job_Title]" caption="Count of Job_Title" measure="1" displayFolder="" measureGroup="Master_Employee" count="0" hidden="1">
      <extLst>
        <ext xmlns:x15="http://schemas.microsoft.com/office/spreadsheetml/2010/11/main" uri="{B97F6D7D-B522-45F9-BDA1-12C45D357490}">
          <x15:cacheHierarchy aggregatedColumn="29"/>
        </ext>
      </extLst>
    </cacheHierarchy>
    <cacheHierarchy uniqueName="[Measures].[Count of Payment_Method]" caption="Count of Payment_Method" measure="1" displayFolder="" measureGroup="Master_Employee" count="0" hidden="1">
      <extLst>
        <ext xmlns:x15="http://schemas.microsoft.com/office/spreadsheetml/2010/11/main" uri="{B97F6D7D-B522-45F9-BDA1-12C45D357490}">
          <x15:cacheHierarchy aggregatedColumn="35"/>
        </ext>
      </extLst>
    </cacheHierarchy>
    <cacheHierarchy uniqueName="[Measures].[Count of Payment_Code]" caption="Count of Payment_Code" measure="1" displayFolder="" measureGroup="Master_Employee" count="0" hidden="1">
      <extLst>
        <ext xmlns:x15="http://schemas.microsoft.com/office/spreadsheetml/2010/11/main" uri="{B97F6D7D-B522-45F9-BDA1-12C45D357490}">
          <x15:cacheHierarchy aggregatedColumn="36"/>
        </ext>
      </extLst>
    </cacheHierarchy>
    <cacheHierarchy uniqueName="[Measures].[Count of Emp_ID]" caption="Count of Emp_ID" measure="1" displayFolder="" measureGroup="Master_Employee" count="0" hidden="1">
      <extLst>
        <ext xmlns:x15="http://schemas.microsoft.com/office/spreadsheetml/2010/11/main" uri="{B97F6D7D-B522-45F9-BDA1-12C45D357490}">
          <x15:cacheHierarchy aggregatedColumn="17"/>
        </ext>
      </extLst>
    </cacheHierarchy>
    <cacheHierarchy uniqueName="[Measures].[Sum of Days_Work]" caption="Sum of Days_Work" measure="1" displayFolder="" measureGroup="Daily_Work" count="0" hidden="1">
      <extLst>
        <ext xmlns:x15="http://schemas.microsoft.com/office/spreadsheetml/2010/11/main" uri="{B97F6D7D-B522-45F9-BDA1-12C45D357490}">
          <x15:cacheHierarchy aggregatedColumn="11"/>
        </ext>
      </extLst>
    </cacheHierarchy>
    <cacheHierarchy uniqueName="[Measures].[Sum of OT_Hrs]" caption="Sum of OT_Hrs" measure="1" displayFolder="" measureGroup="Daily_Work" count="0" hidden="1">
      <extLst>
        <ext xmlns:x15="http://schemas.microsoft.com/office/spreadsheetml/2010/11/main" uri="{B97F6D7D-B522-45F9-BDA1-12C45D357490}">
          <x15:cacheHierarchy aggregatedColumn="12"/>
        </ext>
      </extLst>
    </cacheHierarchy>
    <cacheHierarchy uniqueName="[Measures].[Sum of Normal_Cost]" caption="Sum of Normal_Cost" measure="1" displayFolder="" measureGroup="Daily_Work" count="0" hidden="1">
      <extLst>
        <ext xmlns:x15="http://schemas.microsoft.com/office/spreadsheetml/2010/11/main" uri="{B97F6D7D-B522-45F9-BDA1-12C45D357490}">
          <x15:cacheHierarchy aggregatedColumn="14"/>
        </ext>
      </extLst>
    </cacheHierarchy>
    <cacheHierarchy uniqueName="[Measures].[Sum of OT_Cost]" caption="Sum of OT_Cost" measure="1" displayFolder="" measureGroup="Daily_Work" count="0" hidden="1">
      <extLst>
        <ext xmlns:x15="http://schemas.microsoft.com/office/spreadsheetml/2010/11/main" uri="{B97F6D7D-B522-45F9-BDA1-12C45D357490}">
          <x15:cacheHierarchy aggregatedColumn="15"/>
        </ext>
      </extLst>
    </cacheHierarchy>
    <cacheHierarchy uniqueName="[Measures].[Sum of Status_Code]" caption="Sum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Count of Status_Code]" caption="Count of Status_Code" measure="1" displayFolder="" measureGroup="Daily_Work" count="0" hidden="1">
      <extLst>
        <ext xmlns:x15="http://schemas.microsoft.com/office/spreadsheetml/2010/11/main" uri="{B97F6D7D-B522-45F9-BDA1-12C45D357490}">
          <x15:cacheHierarchy aggregatedColumn="10"/>
        </ext>
      </extLst>
    </cacheHierarchy>
    <cacheHierarchy uniqueName="[Measures].[Sum of National_ID]" caption="Sum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National_ID]" caption="Count of National_ID" measure="1" displayFolder="" measureGroup="Master_Employee" count="0" hidden="1">
      <extLst>
        <ext xmlns:x15="http://schemas.microsoft.com/office/spreadsheetml/2010/11/main" uri="{B97F6D7D-B522-45F9-BDA1-12C45D357490}">
          <x15:cacheHierarchy aggregatedColumn="25"/>
        </ext>
      </extLst>
    </cacheHierarchy>
    <cacheHierarchy uniqueName="[Measures].[Count of Dept_ID]" caption="Count of Dept_ID" measure="1" displayFolder="" measureGroup="Master_Employee" count="0" hidden="1">
      <extLst>
        <ext xmlns:x15="http://schemas.microsoft.com/office/spreadsheetml/2010/11/main" uri="{B97F6D7D-B522-45F9-BDA1-12C45D357490}">
          <x15:cacheHierarchy aggregatedColumn="18"/>
        </ext>
      </extLst>
    </cacheHierarchy>
    <cacheHierarchy uniqueName="[Measures].[Count of Dept_ID 2]" caption="Count of Dept_ID 2" measure="1" displayFolder="" measureGroup="tbl_Dept" count="0" hidden="1">
      <extLst>
        <ext xmlns:x15="http://schemas.microsoft.com/office/spreadsheetml/2010/11/main" uri="{B97F6D7D-B522-45F9-BDA1-12C45D357490}">
          <x15:cacheHierarchy aggregatedColumn="53"/>
        </ext>
      </extLst>
    </cacheHierarchy>
    <cacheHierarchy uniqueName="[Measures].[Count of Project_ID]" caption="Count of Project_ID" measure="1" displayFolder="" measureGroup="tbl_Projects" count="0" hidden="1">
      <extLst>
        <ext xmlns:x15="http://schemas.microsoft.com/office/spreadsheetml/2010/11/main" uri="{B97F6D7D-B522-45F9-BDA1-12C45D357490}">
          <x15:cacheHierarchy aggregatedColumn="58"/>
        </ext>
      </extLst>
    </cacheHierarchy>
    <cacheHierarchy uniqueName="[Measures].[Count of Emp_Status]" caption="Count of Emp_Status" measure="1" displayFolder="" measureGroup="Master_Employee" count="0" hidden="1">
      <extLst>
        <ext xmlns:x15="http://schemas.microsoft.com/office/spreadsheetml/2010/11/main" uri="{B97F6D7D-B522-45F9-BDA1-12C45D357490}">
          <x15:cacheHierarchy aggregatedColumn="33"/>
        </ext>
      </extLst>
    </cacheHierarchy>
    <cacheHierarchy uniqueName="[Measures].[Count of Status_Code 2]" caption="Count of Status_Code 2" measure="1" displayFolder="" measureGroup="Master_Employee" count="0" hidden="1">
      <extLst>
        <ext xmlns:x15="http://schemas.microsoft.com/office/spreadsheetml/2010/11/main" uri="{B97F6D7D-B522-45F9-BDA1-12C45D357490}">
          <x15:cacheHierarchy aggregatedColumn="34"/>
        </ext>
      </extLst>
    </cacheHierarchy>
    <cacheHierarchy uniqueName="[Measures].[Count of Flag_Status]" caption="Count of Flag_Status" measure="1" displayFolder="" measureGroup="tbl_Projects" count="0" hidden="1">
      <extLst>
        <ext xmlns:x15="http://schemas.microsoft.com/office/spreadsheetml/2010/11/main" uri="{B97F6D7D-B522-45F9-BDA1-12C45D357490}">
          <x15:cacheHierarchy aggregatedColumn="65"/>
        </ext>
      </extLst>
    </cacheHierarchy>
    <cacheHierarchy uniqueName="[Measures].[Sum of Basic_Salary]" caption="Sum of Basic_Salary" measure="1" displayFolder="" measureGroup="Master_Employee" count="0" hidden="1">
      <extLst>
        <ext xmlns:x15="http://schemas.microsoft.com/office/spreadsheetml/2010/11/main" uri="{B97F6D7D-B522-45F9-BDA1-12C45D357490}">
          <x15:cacheHierarchy aggregatedColumn="40"/>
        </ext>
      </extLst>
    </cacheHierarchy>
    <cacheHierarchy uniqueName="[Measures].[Sum of Total_Salary]" caption="Sum of Total_Salary" measure="1" displayFolder="" measureGroup="Master_Employee" count="0" hidden="1">
      <extLst>
        <ext xmlns:x15="http://schemas.microsoft.com/office/spreadsheetml/2010/11/main" uri="{B97F6D7D-B522-45F9-BDA1-12C45D357490}">
          <x15:cacheHierarchy aggregatedColumn="44"/>
        </ext>
      </extLst>
    </cacheHierarchy>
    <cacheHierarchy uniqueName="[Measures].[Count of Nationality]" caption="Count of Nationality" measure="1" displayFolder="" measureGroup="Master_Employee" count="0" hidden="1">
      <extLst>
        <ext xmlns:x15="http://schemas.microsoft.com/office/spreadsheetml/2010/11/main" uri="{B97F6D7D-B522-45F9-BDA1-12C45D357490}">
          <x15:cacheHierarchy aggregatedColumn="28"/>
        </ext>
      </extLst>
    </cacheHierarchy>
    <cacheHierarchy uniqueName="[Measures].[Sum of Normal_Hrs]" caption="Sum of Normal_Hrs" measure="1" displayFolder="" measureGroup="Daily_Work"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pivotCacheId="30928860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A44B75-6A3D-4C47-87E1-A6254E238F51}" name="Emp_Title" cacheId="42" applyNumberFormats="0" applyBorderFormats="0" applyFontFormats="0" applyPatternFormats="0" applyAlignmentFormats="0" applyWidthHeightFormats="1" dataCaption="Values" tag="6825c7d7-d9b4-4041-bd94-043283f79ba5" updatedVersion="8" minRefreshableVersion="3" useAutoFormatting="1" subtotalHiddenItems="1" itemPrintTitles="1" createdVersion="8" indent="0" outline="1" outlineData="1" multipleFieldFilters="0" chartFormat="15">
  <location ref="AL9:AM25" firstHeaderRow="1" firstDataRow="1" firstDataCol="1"/>
  <pivotFields count="2">
    <pivotField dataField="1" subtotalTop="0" showAll="0" defaultSubtotal="0"/>
    <pivotField axis="axisRow" allDrilled="1" subtotalTop="0" showAll="0" sortType="a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s>
  <rowFields count="1">
    <field x="1"/>
  </rowFields>
  <rowItems count="16">
    <i>
      <x v="7"/>
    </i>
    <i>
      <x/>
    </i>
    <i>
      <x v="6"/>
    </i>
    <i>
      <x v="13"/>
    </i>
    <i>
      <x v="2"/>
    </i>
    <i>
      <x v="5"/>
    </i>
    <i>
      <x v="12"/>
    </i>
    <i>
      <x v="8"/>
    </i>
    <i>
      <x v="10"/>
    </i>
    <i>
      <x v="3"/>
    </i>
    <i>
      <x v="14"/>
    </i>
    <i>
      <x v="1"/>
    </i>
    <i>
      <x v="4"/>
    </i>
    <i>
      <x v="9"/>
    </i>
    <i>
      <x v="11"/>
    </i>
    <i t="grand">
      <x/>
    </i>
  </rowItems>
  <colItems count="1">
    <i/>
  </colItems>
  <dataFields count="1">
    <dataField name="Count of Emp_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52A650-9135-414D-ADFA-DEFB61316513}" name="Pro_#" cacheId="45" applyNumberFormats="0" applyBorderFormats="0" applyFontFormats="0" applyPatternFormats="0" applyAlignmentFormats="0" applyWidthHeightFormats="1" dataCaption="Values" tag="ea3a2b9f-476f-4d16-96b7-2e932f402297" updatedVersion="8" minRefreshableVersion="3" subtotalHiddenItems="1" itemPrintTitles="1" createdVersion="8" indent="0" outline="1" outlineData="1" multipleFieldFilters="0" chartFormat="1">
  <location ref="AK5:AL6"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Count of Project_ID" fld="0" subtotal="count" baseField="0" baseItem="0"/>
    <dataField name="Count of Nationality" fld="1" subtotal="count"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activeTabTopLevelEntity name="[tbl_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25DEABB-59DB-4F54-B078-A3BA6B9BF8FD}" name="Emp_Status#" cacheId="41" applyNumberFormats="0" applyBorderFormats="0" applyFontFormats="0" applyPatternFormats="0" applyAlignmentFormats="0" applyWidthHeightFormats="1" dataCaption="Values" tag="88b983e8-f10b-4ca9-b280-a3a061993e79" updatedVersion="8" minRefreshableVersion="3" subtotalHiddenItems="1" itemPrintTitles="1" createdVersion="8" indent="0" outline="1" outlineData="1" multipleFieldFilters="0" chartFormat="18">
  <location ref="AO9:AP13"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Status_Code"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activeTabTopLevelEntity name="[tbl_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48100C-77C0-48A0-82BB-9829065B12A0}" name="Cost_Pro" cacheId="50" applyNumberFormats="0" applyBorderFormats="0" applyFontFormats="0" applyPatternFormats="0" applyAlignmentFormats="0" applyWidthHeightFormats="1" dataCaption="Values" tag="85d622a7-fb7b-4477-8e61-56449cd476e0" updatedVersion="8" minRefreshableVersion="3" subtotalHiddenItems="1" itemPrintTitles="1" createdVersion="8" indent="0" outline="1" outlineData="1" multipleFieldFilters="0" chartFormat="10">
  <location ref="B69:C96" firstHeaderRow="1" firstDataRow="1" firstDataCol="1" rowPageCount="1" colPageCount="1"/>
  <pivotFields count="4">
    <pivotField dataField="1" subtotalTop="0" showAll="0" defaultSubtotal="0"/>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xis="axisPage" allDrilled="1" subtotalTop="0" showAll="0" dataSourceSort="1" defaultSubtotal="0" defaultAttributeDrillState="1"/>
    <pivotField allDrilled="1" subtotalTop="0" showAll="0" dataSourceSort="1" defaultSubtotal="0" defaultAttributeDrillState="1"/>
  </pivotFields>
  <rowFields count="1">
    <field x="1"/>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pageFields count="1">
    <pageField fld="2" hier="5" name="[Daily_Work].[Department].[All]" cap="All"/>
  </pageFields>
  <dataFields count="1">
    <dataField fld="0" subtotal="count" baseField="0" baseItem="0"/>
  </dataFields>
  <chartFormats count="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21"/>
          </reference>
        </references>
      </pivotArea>
    </chartFormat>
    <chartFormat chart="6" format="4">
      <pivotArea type="data" outline="0" fieldPosition="0">
        <references count="2">
          <reference field="4294967294" count="1" selected="0">
            <x v="0"/>
          </reference>
          <reference field="1" count="1" selected="0">
            <x v="20"/>
          </reference>
        </references>
      </pivotArea>
    </chartFormat>
  </chartFormats>
  <pivotHierarchies count="14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CA3176-7DD3-4868-9021-1768B1D781AC}" name="Job_Salary" cacheId="43" applyNumberFormats="0" applyBorderFormats="0" applyFontFormats="0" applyPatternFormats="0" applyAlignmentFormats="0" applyWidthHeightFormats="1" dataCaption="Values" tag="b27fc7b1-6a9c-4783-a7d7-4b6fbd6091ff" updatedVersion="8" minRefreshableVersion="3" subtotalHiddenItems="1" itemPrintTitles="1" createdVersion="8" indent="0" outline="1" outlineData="1" multipleFieldFilters="0" chartFormat="7">
  <location ref="G8:H16"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6"/>
    </i>
    <i>
      <x v="2"/>
    </i>
    <i>
      <x v="5"/>
    </i>
    <i>
      <x v="1"/>
    </i>
    <i>
      <x v="4"/>
    </i>
    <i>
      <x/>
    </i>
    <i>
      <x v="3"/>
    </i>
    <i t="grand">
      <x/>
    </i>
  </rowItems>
  <colItems count="1">
    <i/>
  </colItems>
  <dataFields count="1">
    <dataField fld="0" subtotal="count"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147229-FD2B-49BD-9517-AA0DC940276E}" name="Nation_#" cacheId="44" applyNumberFormats="0" applyBorderFormats="0" applyFontFormats="0" applyPatternFormats="0" applyAlignmentFormats="0" applyWidthHeightFormats="1" dataCaption="Values" tag="4b127fb6-fb0b-41c2-a1c5-8c6b1a0709d2" updatedVersion="8" minRefreshableVersion="3" subtotalHiddenItems="1" itemPrintTitles="1" createdVersion="8" indent="0" outline="1" outlineData="1" multipleFieldFilters="0" chartFormat="2">
  <location ref="AO30:AP39" firstHeaderRow="1"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Emp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activeTabTopLevelEntity name="[tbl_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37869A-B457-4EBE-85E3-5A22D708E815}" name="Cards_Pay" cacheId="48" applyNumberFormats="0" applyBorderFormats="0" applyFontFormats="0" applyPatternFormats="0" applyAlignmentFormats="0" applyWidthHeightFormats="1" dataCaption="Values" tag="9f74a3c5-d513-4c2b-a956-44ce58ab88dd" updatedVersion="8" minRefreshableVersion="3" useAutoFormatting="1" subtotalHiddenItems="1" itemPrintTitles="1" createdVersion="8" indent="0" outline="1" outlineData="1" multipleFieldFilters="0">
  <location ref="C3:J4" firstHeaderRow="0" firstDataRow="1" firstDataCol="0"/>
  <pivotFields count="9">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8">
    <i>
      <x/>
    </i>
    <i i="1">
      <x v="1"/>
    </i>
    <i i="2">
      <x v="2"/>
    </i>
    <i i="3">
      <x v="3"/>
    </i>
    <i i="4">
      <x v="4"/>
    </i>
    <i i="5">
      <x v="5"/>
    </i>
    <i i="6">
      <x v="6"/>
    </i>
    <i i="7">
      <x v="7"/>
    </i>
  </colItems>
  <dataFields count="8">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 fld="6" subtotal="count" baseField="0" baseItem="0"/>
    <dataField fld="7" subtotal="count"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7D2341-3154-4B23-8421-EF17B2A72265}" name="Emp_Grade" cacheId="40" applyNumberFormats="0" applyBorderFormats="0" applyFontFormats="0" applyPatternFormats="0" applyAlignmentFormats="0" applyWidthHeightFormats="1" dataCaption="Values" tag="da116b8d-4c8b-40cf-a437-c40097f1ca5f" updatedVersion="8" minRefreshableVersion="3" useAutoFormatting="1" subtotalHiddenItems="1" itemPrintTitles="1" createdVersion="8" indent="0" outline="1" outlineData="1" multipleFieldFilters="0" chartFormat="17">
  <location ref="AI9:AJ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_ID" fld="1" subtotal="count" baseField="0" baseItem="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008922-25A1-43A3-86F2-47FBFF964E7A}" name="PivotTable28" cacheId="52" applyNumberFormats="0" applyBorderFormats="0" applyFontFormats="0" applyPatternFormats="0" applyAlignmentFormats="0" applyWidthHeightFormats="1" dataCaption="Values" tag="cc1f15c0-a29c-45cf-8fb3-c5c4cdb79f0d" updatedVersion="8" minRefreshableVersion="3" subtotalHiddenItems="1" itemPrintTitles="1" createdVersion="8" indent="0" outline="1" outlineData="1" multipleFieldFilters="0" chartFormat="14">
  <location ref="E58:G63" firstHeaderRow="0" firstDataRow="1" firstDataCol="1"/>
  <pivotFields count="5">
    <pivotField allDrilled="1" subtotalTop="0" showAll="0" sortType="ascending"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3"/>
  </rowFields>
  <rowItems count="5">
    <i>
      <x/>
    </i>
    <i>
      <x v="1"/>
    </i>
    <i>
      <x v="2"/>
    </i>
    <i>
      <x v="3"/>
    </i>
    <i t="grand">
      <x/>
    </i>
  </rowItems>
  <colFields count="1">
    <field x="-2"/>
  </colFields>
  <colItems count="2">
    <i>
      <x/>
    </i>
    <i i="1">
      <x v="1"/>
    </i>
  </colItems>
  <dataFields count="2">
    <dataField name="Sum of Normal_Cost" fld="1" baseField="0" baseItem="0"/>
    <dataField name="Sum of OT_Cost" fld="2" baseField="0" baseItem="0"/>
  </dataFields>
  <chartFormats count="5">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1" format="6">
      <pivotArea type="data" outline="0" fieldPosition="0">
        <references count="2">
          <reference field="4294967294" count="1" selected="0">
            <x v="1"/>
          </reference>
          <reference field="3" count="1" selected="0">
            <x v="1"/>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ADE135E-3667-4CD7-8010-49C521767A02}" name="#Emp" cacheId="36" applyNumberFormats="0" applyBorderFormats="0" applyFontFormats="0" applyPatternFormats="0" applyAlignmentFormats="0" applyWidthHeightFormats="1" dataCaption="Values" tag="e3cc52cf-c520-4091-9f70-bac834f6cf0f" updatedVersion="8" minRefreshableVersion="3" subtotalHiddenItems="1" itemPrintTitles="1" createdVersion="8" indent="0" outline="1" outlineData="1" multipleFieldFilters="0" chartFormat="1">
  <location ref="AI5:AI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CC2278-E0D3-4BFF-A7AD-3D237971D6BF}" name="Cards_Proj" cacheId="49" applyNumberFormats="0" applyBorderFormats="0" applyFontFormats="0" applyPatternFormats="0" applyAlignmentFormats="0" applyWidthHeightFormats="1" dataCaption="Values" tag="05156357-86d8-4b1c-8c5e-7ddeadc01b42" updatedVersion="8" minRefreshableVersion="3" subtotalHiddenItems="1" itemPrintTitles="1" createdVersion="8" indent="0" outline="1" outlineData="1" multipleFieldFilters="0" chartFormat="1">
  <location ref="B50:P51" firstHeaderRow="0" firstDataRow="1" firstDataCol="0"/>
  <pivotFields count="1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fld="0" subtotal="count" baseField="0" baseItem="0"/>
    <dataField fld="1" subtotal="count" baseField="0" baseItem="0"/>
    <dataField fld="2" subtotal="count" baseField="0" baseItem="0"/>
    <dataField fld="3" subtotal="count" baseField="0" baseItem="0"/>
    <dataField fld="4" subtotal="count" baseField="0" baseItem="0"/>
    <dataField name="Sum of Days_Work" fld="5" baseField="0" baseItem="0"/>
    <dataField name="Sum of OT_Hrs" fld="6" baseField="0" baseItem="0"/>
    <dataField fld="7"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4084273-1F40-47A9-B6CA-8478085C90AB}" name="Salary_Job_Tile" cacheId="47" applyNumberFormats="0" applyBorderFormats="0" applyFontFormats="0" applyPatternFormats="0" applyAlignmentFormats="0" applyWidthHeightFormats="1" dataCaption="Values" tag="722a03eb-47cd-4730-8870-618b5f7e70b5" updatedVersion="8" minRefreshableVersion="3" useAutoFormatting="1" subtotalHiddenItems="1" itemPrintTitles="1" createdVersion="8" indent="0" outline="1" outlineData="1" multipleFieldFilters="0" chartFormat="16">
  <location ref="AZ9:BA29" firstHeaderRow="1" firstDataRow="1" firstDataCol="1"/>
  <pivotFields count="3">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1"/>
    <field x="0"/>
  </rowFields>
  <rowItems count="20">
    <i>
      <x/>
    </i>
    <i r="1">
      <x/>
    </i>
    <i>
      <x v="1"/>
    </i>
    <i r="1">
      <x/>
    </i>
    <i>
      <x v="2"/>
    </i>
    <i r="1">
      <x v="1"/>
    </i>
    <i r="1">
      <x v="2"/>
    </i>
    <i r="1">
      <x v="3"/>
    </i>
    <i r="1">
      <x v="4"/>
    </i>
    <i r="1">
      <x v="5"/>
    </i>
    <i r="1">
      <x v="6"/>
    </i>
    <i r="1">
      <x v="7"/>
    </i>
    <i r="1">
      <x v="8"/>
    </i>
    <i r="1">
      <x v="9"/>
    </i>
    <i r="1">
      <x v="10"/>
    </i>
    <i r="1">
      <x v="11"/>
    </i>
    <i r="1">
      <x v="12"/>
    </i>
    <i r="1">
      <x v="13"/>
    </i>
    <i r="1">
      <x v="14"/>
    </i>
    <i t="grand">
      <x/>
    </i>
  </rowItems>
  <colItems count="1">
    <i/>
  </colItems>
  <dataFields count="1">
    <dataField name="Sum of Total_Salary" fld="2" baseField="0" baseItem="0"/>
  </dataFields>
  <chartFormats count="1">
    <chartFormat chart="8" format="3"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9"/>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DF31821-B0A6-4E4D-8787-0EFD2A88E958}" name="Salary_Payment" cacheId="55" applyNumberFormats="0" applyBorderFormats="0" applyFontFormats="0" applyPatternFormats="0" applyAlignmentFormats="0" applyWidthHeightFormats="1" dataCaption="Values" tag="041226d2-40ec-46ac-8249-d78056666d1a" updatedVersion="8" minRefreshableVersion="3" subtotalHiddenItems="1" itemPrintTitles="1" createdVersion="8" indent="0" outline="1" outlineData="1" multipleFieldFilters="0" chartFormat="5">
  <location ref="A8:B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0" format="3"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0" count="1" selected="0">
            <x v="0"/>
          </reference>
        </references>
      </pivotArea>
    </chartFormat>
    <chartFormat chart="0" format="8">
      <pivotArea type="data" outline="0" fieldPosition="0">
        <references count="2">
          <reference field="4294967294" count="1" selected="0">
            <x v="0"/>
          </reference>
          <reference field="0" count="1" selected="0">
            <x v="1"/>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 chart="3" format="16">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2"/>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46C44AC-8EFC-4E5E-86FE-EE2C137679B3}" name="Pro_N_OT" cacheId="54" applyNumberFormats="0" applyBorderFormats="0" applyFontFormats="0" applyPatternFormats="0" applyAlignmentFormats="0" applyWidthHeightFormats="1" dataCaption="Values" tag="333039ea-395a-4216-8a29-34b7565d726f" updatedVersion="8" minRefreshableVersion="3" subtotalHiddenItems="1" itemPrintTitles="1" createdVersion="8" indent="0" outline="1" outlineData="1" multipleFieldFilters="0" chartFormat="7">
  <location ref="N55:P84" firstHeaderRow="0" firstDataRow="1" firstDataCol="1"/>
  <pivotFields count="4">
    <pivotField axis="axisRow" allDrilled="1" subtotalTop="0" showAll="0" sortType="ascending"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9">
    <i>
      <x/>
    </i>
    <i>
      <x v="27"/>
    </i>
    <i>
      <x v="5"/>
    </i>
    <i>
      <x v="26"/>
    </i>
    <i>
      <x v="6"/>
    </i>
    <i>
      <x v="20"/>
    </i>
    <i>
      <x v="3"/>
    </i>
    <i>
      <x v="11"/>
    </i>
    <i>
      <x v="7"/>
    </i>
    <i>
      <x v="1"/>
    </i>
    <i>
      <x v="13"/>
    </i>
    <i>
      <x v="25"/>
    </i>
    <i>
      <x v="24"/>
    </i>
    <i>
      <x v="14"/>
    </i>
    <i>
      <x v="4"/>
    </i>
    <i>
      <x v="15"/>
    </i>
    <i>
      <x v="16"/>
    </i>
    <i>
      <x v="12"/>
    </i>
    <i>
      <x v="17"/>
    </i>
    <i>
      <x v="9"/>
    </i>
    <i>
      <x v="2"/>
    </i>
    <i>
      <x v="8"/>
    </i>
    <i>
      <x v="10"/>
    </i>
    <i>
      <x v="22"/>
    </i>
    <i>
      <x v="18"/>
    </i>
    <i>
      <x v="19"/>
    </i>
    <i>
      <x v="23"/>
    </i>
    <i>
      <x v="21"/>
    </i>
    <i t="grand">
      <x/>
    </i>
  </rowItems>
  <colFields count="1">
    <field x="-2"/>
  </colFields>
  <colItems count="2">
    <i>
      <x/>
    </i>
    <i i="1">
      <x v="1"/>
    </i>
  </colItems>
  <dataFields count="2">
    <dataField name="Sum of Normal_Cost" fld="1" baseField="0" baseItem="0"/>
    <dataField name="Sum of OT_Cost" fld="2"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858DF0-8501-48CD-962F-F9A92D3B2634}" name="PivotTable29" cacheId="53" applyNumberFormats="0" applyBorderFormats="0" applyFontFormats="0" applyPatternFormats="0" applyAlignmentFormats="0" applyWidthHeightFormats="1" dataCaption="Values" tag="248616fe-4e6c-40b7-ae95-766b275209e5" updatedVersion="8" minRefreshableVersion="3" subtotalHiddenItems="1" itemPrintTitles="1" createdVersion="8" indent="0" outline="1" outlineData="1" multipleFieldFilters="0" chartFormat="22">
  <location ref="I59:J86" firstHeaderRow="1" firstDataRow="1" firstDataCol="1"/>
  <pivotFields count="3">
    <pivotField dataField="1" subtotalTop="0" showAll="0" defaultSubtotal="0"/>
    <pivotField axis="axisRow" allDrilled="1" subtotalTop="0" showAll="0" sortType="a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27">
    <i>
      <x v="12"/>
    </i>
    <i>
      <x v="11"/>
    </i>
    <i>
      <x/>
    </i>
    <i>
      <x v="2"/>
    </i>
    <i>
      <x v="1"/>
    </i>
    <i>
      <x v="5"/>
    </i>
    <i>
      <x v="14"/>
    </i>
    <i>
      <x v="7"/>
    </i>
    <i>
      <x v="16"/>
    </i>
    <i>
      <x v="24"/>
    </i>
    <i>
      <x v="17"/>
    </i>
    <i>
      <x v="6"/>
    </i>
    <i>
      <x v="19"/>
    </i>
    <i>
      <x v="4"/>
    </i>
    <i>
      <x v="21"/>
    </i>
    <i>
      <x v="9"/>
    </i>
    <i>
      <x v="23"/>
    </i>
    <i>
      <x v="13"/>
    </i>
    <i>
      <x v="15"/>
    </i>
    <i>
      <x v="22"/>
    </i>
    <i>
      <x v="8"/>
    </i>
    <i>
      <x v="3"/>
    </i>
    <i>
      <x v="18"/>
    </i>
    <i>
      <x v="10"/>
    </i>
    <i>
      <x v="20"/>
    </i>
    <i>
      <x v="25"/>
    </i>
    <i t="grand">
      <x/>
    </i>
  </rowItems>
  <colItems count="1">
    <i/>
  </colItems>
  <dataFields count="1">
    <dataField fld="0"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B17AEC-F769-4637-919E-4B12CD98B97E}" name="Date_Salary" cacheId="58" applyNumberFormats="0" applyBorderFormats="0" applyFontFormats="0" applyPatternFormats="0" applyAlignmentFormats="0" applyWidthHeightFormats="1" dataCaption="Values" tag="109c26c8-36cc-4abe-b9e5-3109d9b3866a" updatedVersion="8" minRefreshableVersion="5" useAutoFormatting="1" subtotalHiddenItems="1" itemPrintTitles="1" createdVersion="8" indent="0" outline="1" outlineData="1" multipleFieldFilters="0" chartFormat="5">
  <location ref="W7:X1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chartFormats count="5">
    <chartFormat chart="0" format="0"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 chart="0"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483A089-2102-4E74-8FBB-372E076CAF9A}" name="Pro_#Emp" cacheId="46" applyNumberFormats="0" applyBorderFormats="0" applyFontFormats="0" applyPatternFormats="0" applyAlignmentFormats="0" applyWidthHeightFormats="1" dataCaption="Values" tag="07882f2c-287e-4373-90e1-5ed410fa9773" updatedVersion="8" minRefreshableVersion="3" subtotalHiddenItems="1" itemPrintTitles="1" createdVersion="8" indent="0" outline="1" outlineData="1" multipleFieldFilters="0" chartFormat="10">
  <location ref="Z55:AB72" firstHeaderRow="1" firstDataRow="1" firstDataCol="0"/>
  <pivotFields count="1">
    <pivotField allDrilled="1" subtotalTop="0" showAll="0" dataSourceSort="1" defaultSubtotal="0" defaultAttributeDrillState="1"/>
  </pivot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4E0DCAD-D334-4184-95E8-AB75FBE8077C}" name="Dep_#" cacheId="39" applyNumberFormats="0" applyBorderFormats="0" applyFontFormats="0" applyPatternFormats="0" applyAlignmentFormats="0" applyWidthHeightFormats="1" dataCaption="Values" tag="ae673459-db67-4800-82ed-77bf3b588ff5" updatedVersion="8" minRefreshableVersion="3" subtotalHiddenItems="1" itemPrintTitles="1" createdVersion="8" indent="0" outline="1" outlineData="1" multipleFieldFilters="0" chartFormat="1">
  <location ref="AJ5:AJ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ept_ID" fld="0" subtotal="count"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88A4BDE-FD8B-41EB-89CE-BD8E0CCD2DB7}" name="#Emp_Spons" cacheId="37" applyNumberFormats="0" applyBorderFormats="0" applyFontFormats="0" applyPatternFormats="0" applyAlignmentFormats="0" applyWidthHeightFormats="1" dataCaption="Values" tag="103b0ba9-a8d1-4c3c-b9c8-d46562f63a7d" updatedVersion="8" minRefreshableVersion="3" useAutoFormatting="1" subtotalHiddenItems="1" itemPrintTitles="1" createdVersion="8" indent="0" outline="1" outlineData="1" multipleFieldFilters="0" chartFormat="15">
  <location ref="AV9:AW12"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_ID" fld="0" subtotal="count" baseField="0" baseItem="0"/>
  </dataFields>
  <chartFormats count="5">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F8B0577-3027-427F-9F6E-9549016E71DE}" name="Top_Salary" cacheId="56" applyNumberFormats="0" applyBorderFormats="0" applyFontFormats="0" applyPatternFormats="0" applyAlignmentFormats="0" applyWidthHeightFormats="1" dataCaption="Values" tag="38a1b378-131c-4ca5-9597-5b7f4749b7ce" updatedVersion="8" minRefreshableVersion="3" subtotalHiddenItems="1" itemPrintTitles="1" createdVersion="8" indent="0" outline="1" outlineData="1" multipleFieldFilters="0" chartFormat="7">
  <location ref="A21:B27"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i>
    <i>
      <x v="3"/>
    </i>
    <i>
      <x v="4"/>
    </i>
    <i>
      <x v="1"/>
    </i>
    <i t="grand">
      <x/>
    </i>
  </rowItems>
  <colItems count="1">
    <i/>
  </colItems>
  <dataFields count="1">
    <dataField fld="0" subtotal="count" baseField="0" baseItem="0"/>
  </dataFields>
  <chartFormats count="3">
    <chartFormat chart="0" format="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93">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B92CB27-95B6-4363-A959-E674EE203665}" name="#Emp_Dep" cacheId="35" applyNumberFormats="0" applyBorderFormats="0" applyFontFormats="0" applyPatternFormats="0" applyAlignmentFormats="0" applyWidthHeightFormats="1" dataCaption="Values" tag="045d28bd-095d-46f4-8ab5-6b6c7499a555" updatedVersion="8" minRefreshableVersion="3" useAutoFormatting="1" subtotalHiddenItems="1" itemPrintTitles="1" createdVersion="8" indent="0" outline="1" outlineData="1" multipleFieldFilters="0" chartFormat="19">
  <location ref="AS9:AT13" firstHeaderRow="1" firstDataRow="1" firstDataCol="1"/>
  <pivotFields count="4">
    <pivotField dataField="1" subtotalTop="0" showAll="0" defaultSubtotal="0"/>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4">
    <i>
      <x/>
    </i>
    <i>
      <x v="1"/>
    </i>
    <i>
      <x v="2"/>
    </i>
    <i t="grand">
      <x/>
    </i>
  </rowItems>
  <colItems count="1">
    <i/>
  </colItems>
  <dataFields count="1">
    <dataField name="Count of Emp_ID" fld="0" subtotal="count"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4"/>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FFE7DC6-13FE-4AA3-9CBE-B58745DA71C0}" name="#pro_Status" cacheId="38" applyNumberFormats="0" applyBorderFormats="0" applyFontFormats="0" applyPatternFormats="0" applyAlignmentFormats="0" applyWidthHeightFormats="1" dataCaption="Values" tag="8cbbd2e9-ced2-4302-9f34-c7bd845bcbd7" updatedVersion="8" minRefreshableVersion="3" subtotalHiddenItems="1" itemPrintTitles="1" createdVersion="8" indent="0" outline="1" outlineData="1" multipleFieldFilters="0" chartFormat="4">
  <location ref="F91:G9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Flag_Status" fld="0" subtotal="count" baseField="0" baseItem="0"/>
  </dataField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EE1BA99-A01C-4631-8943-E472A3C6C2F3}" name="Salary_Dep" cacheId="57" applyNumberFormats="0" applyBorderFormats="0" applyFontFormats="0" applyPatternFormats="0" applyAlignmentFormats="0" applyWidthHeightFormats="1" dataCaption="Values" tag="c7cad827-2a6a-4f42-a484-5770e8f3a6d3" updatedVersion="8" minRefreshableVersion="3" subtotalHiddenItems="1" itemPrintTitles="1" createdVersion="8" indent="0" outline="1" outlineData="1" multipleFieldFilters="0" chartFormat="6">
  <location ref="O7:P14" firstHeaderRow="1"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2">
    <field x="1"/>
    <field x="2"/>
  </rowFields>
  <rowItems count="7">
    <i>
      <x/>
    </i>
    <i r="1">
      <x/>
    </i>
    <i>
      <x v="1"/>
    </i>
    <i r="1">
      <x v="1"/>
    </i>
    <i>
      <x v="2"/>
    </i>
    <i r="1">
      <x v="2"/>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A0A60ED-B1BE-4E3F-825B-1AD1BF447C7C}" name="PivotTable27" cacheId="51" applyNumberFormats="0" applyBorderFormats="0" applyFontFormats="0" applyPatternFormats="0" applyAlignmentFormats="0" applyWidthHeightFormats="1" dataCaption="Values" tag="2c8b159b-f4ca-447b-80b4-e87a26927957" updatedVersion="8" minRefreshableVersion="3" subtotalHiddenItems="1" itemPrintTitles="1" createdVersion="8" indent="0" outline="1" outlineData="1" multipleFieldFilters="0" chartFormat="11">
  <location ref="AD55:AF84" firstHeaderRow="0" firstDataRow="1" firstDataCol="1"/>
  <pivotFields count="4">
    <pivotField axis="axisRow" allDrilled="1" subtotalTop="0" showAll="0" sortType="ascending"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9">
    <i>
      <x/>
    </i>
    <i>
      <x v="27"/>
    </i>
    <i>
      <x v="5"/>
    </i>
    <i>
      <x v="26"/>
    </i>
    <i>
      <x v="6"/>
    </i>
    <i>
      <x v="20"/>
    </i>
    <i>
      <x v="3"/>
    </i>
    <i>
      <x v="11"/>
    </i>
    <i>
      <x v="7"/>
    </i>
    <i>
      <x v="1"/>
    </i>
    <i>
      <x v="13"/>
    </i>
    <i>
      <x v="25"/>
    </i>
    <i>
      <x v="24"/>
    </i>
    <i>
      <x v="14"/>
    </i>
    <i>
      <x v="4"/>
    </i>
    <i>
      <x v="15"/>
    </i>
    <i>
      <x v="16"/>
    </i>
    <i>
      <x v="12"/>
    </i>
    <i>
      <x v="17"/>
    </i>
    <i>
      <x v="9"/>
    </i>
    <i>
      <x v="2"/>
    </i>
    <i>
      <x v="8"/>
    </i>
    <i>
      <x v="10"/>
    </i>
    <i>
      <x v="22"/>
    </i>
    <i>
      <x v="18"/>
    </i>
    <i>
      <x v="19"/>
    </i>
    <i>
      <x v="23"/>
    </i>
    <i>
      <x v="21"/>
    </i>
    <i t="grand">
      <x/>
    </i>
  </rowItems>
  <colFields count="1">
    <field x="-2"/>
  </colFields>
  <colItems count="2">
    <i>
      <x/>
    </i>
    <i i="1">
      <x v="1"/>
    </i>
  </colItems>
  <dataFields count="2">
    <dataField name="Sum of Normal_Cost" fld="1" baseField="0" baseItem="0"/>
    <dataField name="Sum of OT_Cost" fld="2" baseField="0" baseItem="0"/>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Hierarchies count="14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ster_Employee]"/>
        <x15:activeTabTopLevelEntity name="[Daily_Work]"/>
        <x15:activeTabTopLevelEntity name="[tbl_Projects]"/>
        <x15:activeTabTopLevelEntity name="[tbl_Dep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48678FF0-BDA2-4543-A0A5-7A4FBF244BCB}" sourceName="[tbl_Dept].[Dept_Name]">
  <pivotTables>
    <pivotTable tabId="11" name="Emp_Title"/>
    <pivotTable tabId="11" name="Dep_#"/>
    <pivotTable tabId="11" name="Emp_Grade"/>
    <pivotTable tabId="11" name="Emp_Status#"/>
    <pivotTable tabId="11" name="Nation_#"/>
    <pivotTable tabId="11" name="Job_Salary"/>
    <pivotTable tabId="11" name="#pro_Status"/>
    <pivotTable tabId="11" name="Date_Salary"/>
    <pivotTable tabId="11" name="Pro_N_OT"/>
    <pivotTable tabId="11" name="Pro_#Emp"/>
    <pivotTable tabId="11" name="Pro_#"/>
    <pivotTable tabId="11" name="Cards_Proj"/>
    <pivotTable tabId="11" name="Cost_Pro"/>
    <pivotTable tabId="11" name="PivotTable27"/>
    <pivotTable tabId="11" name="PivotTable28"/>
    <pivotTable tabId="11" name="PivotTable29"/>
  </pivotTables>
  <data>
    <olap pivotCacheId="1908879702">
      <levels count="2">
        <level uniqueName="[tbl_Dept].[Dept_Name].[(All)]" sourceCaption="(All)" count="0"/>
        <level uniqueName="[tbl_Dept].[Dept_Name].[Dept_Name]" sourceCaption="Dept_Name" count="12">
          <ranges>
            <range startItem="0">
              <i n="[tbl_Dept].[Dept_Name].&amp;" c="(blank)"/>
              <i n="[tbl_Dept].[Dept_Name].&amp;[الإدارة]" c="الإدارة"/>
              <i n="[tbl_Dept].[Dept_Name].&amp;[الألمنيوم]" c="الألمنيوم"/>
              <i n="[tbl_Dept].[Dept_Name].&amp;[الإنشاءات]" c="الإنشاءات"/>
              <i n="[tbl_Dept].[Dept_Name].&amp;[التشطيبات]" c="التشطيبات"/>
              <i n="[tbl_Dept].[Dept_Name].&amp;[الحجر]" c="الحجر"/>
              <i n="[tbl_Dept].[Dept_Name].&amp;[الدهانات]" c="الدهانات"/>
              <i n="[tbl_Dept].[Dept_Name].&amp;[السباكة]" c="السباكة"/>
              <i n="[tbl_Dept].[Dept_Name].&amp;[الكهرباء]" c="الكهرباء"/>
              <i n="[tbl_Dept].[Dept_Name].&amp;[المعدات]" c="المعدات"/>
              <i n="[tbl_Dept].[Dept_Name].&amp;[النجارة]" c="النجارة"/>
              <i n="[tbl_Dept].[Dept_Name].&amp;[كل الأقسام]" c="كل الأقسام"/>
            </range>
          </ranges>
        </level>
      </levels>
      <selections count="1">
        <selection n="[tbl_Dept].[Dept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_Status" xr10:uid="{46CAC6E7-0F43-4C54-A60F-30719690EB96}" sourceName="[Master_Employee].[Emp_Status]">
  <pivotTables>
    <pivotTable tabId="11" name="Emp_Title"/>
    <pivotTable tabId="11" name="#Emp"/>
    <pivotTable tabId="11" name="#Emp_Dep"/>
    <pivotTable tabId="11" name="#Emp_Spons"/>
    <pivotTable tabId="11" name="#pro_Status"/>
    <pivotTable tabId="11" name="Dep_#"/>
    <pivotTable tabId="11" name="Emp_Grade"/>
    <pivotTable tabId="11" name="Emp_Status#"/>
    <pivotTable tabId="11" name="Job_Salary"/>
    <pivotTable tabId="11" name="Nation_#"/>
    <pivotTable tabId="11" name="Pro_#"/>
    <pivotTable tabId="11" name="Pro_#Emp"/>
    <pivotTable tabId="11" name="Salary_Job_Tile"/>
  </pivotTables>
  <data>
    <olap pivotCacheId="1908879702">
      <levels count="2">
        <level uniqueName="[Master_Employee].[Emp_Status].[(All)]" sourceCaption="(All)" count="0"/>
        <level uniqueName="[Master_Employee].[Emp_Status].[Emp_Status]" sourceCaption="Emp_Status" count="4">
          <ranges>
            <range startItem="0">
              <i n="[Master_Employee].[Emp_Status].&amp;[New appointment - تعيين جديد]" c="New appointment - تعيين جديد"/>
              <i n="[Master_Employee].[Emp_Status].&amp;[vacation - إجازة]" c="vacation - إجازة"/>
              <i n="[Master_Employee].[Emp_Status].&amp;[works - يعمل]" c="works - يعمل"/>
              <i n="[Master_Employee].[Emp_Status].&amp;" c="(blank)"/>
            </range>
          </ranges>
        </level>
      </levels>
      <selections count="1">
        <selection n="[Master_Employee].[Emp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306713BF-CE07-417C-A2A1-610F326A4928}" sourceName="[Master_Employee].[Grade]">
  <pivotTables>
    <pivotTable tabId="11" name="Emp_Title"/>
    <pivotTable tabId="11" name="#Emp"/>
    <pivotTable tabId="11" name="#Emp_Dep"/>
    <pivotTable tabId="11" name="#Emp_Spons"/>
    <pivotTable tabId="11" name="#pro_Status"/>
    <pivotTable tabId="11" name="Dep_#"/>
    <pivotTable tabId="11" name="Emp_Grade"/>
    <pivotTable tabId="11" name="Emp_Status#"/>
    <pivotTable tabId="11" name="Job_Salary"/>
    <pivotTable tabId="11" name="Nation_#"/>
    <pivotTable tabId="11" name="Pro_#"/>
    <pivotTable tabId="11" name="Pro_#Emp"/>
    <pivotTable tabId="11" name="Pro_N_OT"/>
    <pivotTable tabId="11" name="Salary_Job_Tile"/>
    <pivotTable tabId="11" name="PivotTable27"/>
    <pivotTable tabId="11" name="PivotTable28"/>
    <pivotTable tabId="11" name="PivotTable29"/>
  </pivotTables>
  <data>
    <olap pivotCacheId="1908879702">
      <levels count="2">
        <level uniqueName="[Master_Employee].[Grade].[(All)]" sourceCaption="(All)" count="0"/>
        <level uniqueName="[Master_Employee].[Grade].[Grade]" sourceCaption="Grade" count="4">
          <ranges>
            <range startItem="0">
              <i n="[Master_Employee].[Grade].&amp;[Manager]" c="Manager"/>
              <i n="[Master_Employee].[Grade].&amp;[Supervisor]" c="Supervisor"/>
              <i n="[Master_Employee].[Grade].&amp;[Worker]" c="Worker"/>
              <i n="[Master_Employee].[Grade].&amp;" c="(blank)"/>
            </range>
          </ranges>
        </level>
      </levels>
      <selections count="1">
        <selection n="[Master_Employee].[Gra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1E8693DA-C96D-483B-BDBD-534BF617C839}" sourceName="[Master_Employee].[Job_Title]">
  <pivotTables>
    <pivotTable tabId="11" name="#Emp_Dep"/>
    <pivotTable tabId="11" name="#Emp"/>
    <pivotTable tabId="11" name="#Emp_Spons"/>
    <pivotTable tabId="11" name="#pro_Status"/>
    <pivotTable tabId="11" name="Dep_#"/>
    <pivotTable tabId="11" name="Emp_Grade"/>
    <pivotTable tabId="11" name="Emp_Status#"/>
    <pivotTable tabId="11" name="Emp_Title"/>
    <pivotTable tabId="11" name="Job_Salary"/>
    <pivotTable tabId="11" name="Nation_#"/>
    <pivotTable tabId="11" name="Pro_#"/>
    <pivotTable tabId="11" name="Pro_#Emp"/>
    <pivotTable tabId="11" name="Salary_Dep"/>
    <pivotTable tabId="11" name="Salary_Job_Tile"/>
    <pivotTable tabId="11" name="Cards_Pay"/>
    <pivotTable tabId="11" name="Cards_Proj"/>
    <pivotTable tabId="11" name="Cost_Pro"/>
    <pivotTable tabId="11" name="Date_Salary"/>
    <pivotTable tabId="11" name="PivotTable27"/>
    <pivotTable tabId="11" name="PivotTable28"/>
    <pivotTable tabId="11" name="PivotTable29"/>
    <pivotTable tabId="11" name="Pro_N_OT"/>
    <pivotTable tabId="11" name="Salary_Payment"/>
    <pivotTable tabId="11" name="Top_Salary"/>
  </pivotTables>
  <data>
    <olap pivotCacheId="1908879702">
      <levels count="2">
        <level uniqueName="[Master_Employee].[Job_Title].[(All)]" sourceCaption="(All)" count="0"/>
        <level uniqueName="[Master_Employee].[Job_Title].[Job_Title]" sourceCaption="Job_Title" count="16">
          <ranges>
            <range startItem="0">
              <i n="[Master_Employee].[Job_Title].&amp;[سائق]" c="سائق"/>
              <i n="[Master_Employee].[Job_Title].&amp;[سباك]" c="سباك"/>
              <i n="[Master_Employee].[Job_Title].&amp;[صباغ]" c="صباغ"/>
              <i n="[Master_Employee].[Job_Title].&amp;[عامل]" c="عامل"/>
              <i n="[Master_Employee].[Job_Title].&amp;[عامل الثرى دى]" c="عامل الثرى دى"/>
              <i n="[Master_Employee].[Job_Title].&amp;[فنى]" c="فنى"/>
              <i n="[Master_Employee].[Job_Title].&amp;[فني بلاستر]" c="فني بلاستر"/>
              <i n="[Master_Employee].[Job_Title].&amp;[فني عزل]" c="فني عزل"/>
              <i n="[Master_Employee].[Job_Title].&amp;[فورمان]" c="فورمان"/>
              <i n="[Master_Employee].[Job_Title].&amp;[كهربائي]" c="كهربائي"/>
              <i n="[Master_Employee].[Job_Title].&amp;[مساعد كهربائي]" c="مساعد كهربائي"/>
              <i n="[Master_Employee].[Job_Title].&amp;[مشرف_موقع]" c="مشرف_موقع"/>
              <i n="[Master_Employee].[Job_Title].&amp;[معلم  تشطيب]" c="معلم  تشطيب"/>
              <i n="[Master_Employee].[Job_Title].&amp;[معلم جبس بورد]" c="معلم جبس بورد"/>
              <i n="[Master_Employee].[Job_Title].&amp;[ناطور]" c="ناطور"/>
              <i n="[Master_Employee].[Job_Title].&amp;" c="(blank)"/>
            </range>
          </ranges>
        </level>
      </levels>
      <selections count="1">
        <selection n="[Master_Employee].[Job_Titl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ject_Name" xr10:uid="{673C0105-A038-405B-8786-E47FD1CC6DD2}" sourceName="[tbl_Projects].[Project_Name]">
  <pivotTables>
    <pivotTable tabId="11" name="Pro_N_OT"/>
    <pivotTable tabId="11" name="PivotTable28"/>
    <pivotTable tabId="11" name="PivotTable29"/>
    <pivotTable tabId="11" name="#pro_Status"/>
    <pivotTable tabId="11" name="Cards_Pay"/>
    <pivotTable tabId="11" name="Cards_Proj"/>
    <pivotTable tabId="11" name="Cost_Pro"/>
    <pivotTable tabId="11" name="PivotTable27"/>
    <pivotTable tabId="11" name="Pro_#"/>
    <pivotTable tabId="11" name="Pro_#Emp"/>
  </pivotTables>
  <data>
    <olap pivotCacheId="1908879702">
      <levels count="2">
        <level uniqueName="[tbl_Projects].[Project_Name].[(All)]" sourceCaption="(All)" count="0"/>
        <level uniqueName="[tbl_Projects].[Project_Name].[Project_Name]" sourceCaption="Project_Name" count="68">
          <ranges>
            <range startItem="0">
              <i n="[tbl_Projects].[Project_Name].&amp;[الحجر]" c="الحجر"/>
              <i n="[tbl_Projects].[Project_Name].&amp;[امل الشمري]" c="امل الشمري"/>
              <i n="[tbl_Projects].[Project_Name].&amp;[جابر سالم الغواص]" c="جابر سالم الغواص"/>
              <i n="[tbl_Projects].[Project_Name].&amp;[جابر قحيز المري]" c="جابر قحيز المري"/>
              <i n="[tbl_Projects].[Project_Name].&amp;[حمد المعاضيد]" c="حمد المعاضيد"/>
              <i n="[tbl_Projects].[Project_Name].&amp;[حمد عايض حسين الاحبابي]" c="حمد عايض حسين الاحبابي"/>
              <i n="[tbl_Projects].[Project_Name].&amp;[سعد الدوسري]" c="سعد الدوسري"/>
              <i n="[tbl_Projects].[Project_Name].&amp;[سعد عزران]" c="سعد عزران"/>
              <i n="[tbl_Projects].[Project_Name].&amp;[سعود الأحبابي]" c="سعود الأحبابي"/>
              <i n="[tbl_Projects].[Project_Name].&amp;[سعود الفهد]" c="سعود الفهد"/>
              <i n="[tbl_Projects].[Project_Name].&amp;[سعود نقدان]" c="سعود نقدان"/>
              <i n="[tbl_Projects].[Project_Name].&amp;[سعود وعبدالرحمن  ناقادان]" c="سعود وعبدالرحمن  ناقادان"/>
              <i n="[tbl_Projects].[Project_Name].&amp;[سعيد صالح الجحيش]" c="سعيد صالح الجحيش"/>
              <i n="[tbl_Projects].[Project_Name].&amp;[صالح العذبة]" c="صالح العذبة"/>
              <i n="[tbl_Projects].[Project_Name].&amp;[عبد الهادي السهلي]" c="عبد الهادي السهلي"/>
              <i n="[tbl_Projects].[Project_Name].&amp;[عبدالرحمن نقدان]" c="عبدالرحمن نقدان"/>
              <i n="[tbl_Projects].[Project_Name].&amp;[عبدالعزيز قحيز المري]" c="عبدالعزيز قحيز المري"/>
              <i n="[tbl_Projects].[Project_Name].&amp;[عبدالهادي الماجد]" c="عبدالهادي الماجد"/>
              <i n="[tbl_Projects].[Project_Name].&amp;[عمارة الدوسري]" c="عمارة الدوسري"/>
              <i n="[tbl_Projects].[Project_Name].&amp;[عمير راشد المري]" c="عمير راشد المري"/>
              <i n="[tbl_Projects].[Project_Name].&amp;[فهد ظافر القحطاني]" c="فهد ظافر القحطاني"/>
              <i n="[tbl_Projects].[Project_Name].&amp;[فهد ونواف الكربى]" c="فهد ونواف الكربى"/>
              <i n="[tbl_Projects].[Project_Name].&amp;[فيصل محمد العذبة]" c="فيصل محمد العذبة"/>
              <i n="[tbl_Projects].[Project_Name].&amp;[مصطفى]" c="مصطفى"/>
              <i n="[tbl_Projects].[Project_Name].&amp;[ناصر الحايف]" c="ناصر الحايف"/>
              <i n="[tbl_Projects].[Project_Name].&amp;[نايف الموسى]" c="نايف الموسى"/>
              <i n="[tbl_Projects].[Project_Name].&amp;[هزاع مبارك الهاجري]" c="هزاع مبارك الهاجري"/>
              <i n="[tbl_Projects].[Project_Name].&amp;" c="(blank)"/>
              <i n="[tbl_Projects].[Project_Name].&amp;[الإنشاءات]" c="الإنشاءات"/>
              <i n="[tbl_Projects].[Project_Name].&amp;[حمد الشهوانى الهاجرى]" c="حمد الشهوانى الهاجرى"/>
              <i n="[tbl_Projects].[Project_Name].&amp;[حمد خجيم عايض العذبة]" c="حمد خجيم عايض العذبة"/>
              <i n="[tbl_Projects].[Project_Name].&amp;[حمد راشد المري]" c="حمد راشد المري"/>
              <i n="[tbl_Projects].[Project_Name].&amp;[حمد وراشد فطيس المري]" c="حمد وراشد فطيس المري"/>
              <i n="[tbl_Projects].[Project_Name].&amp;[حمد وفهد مسفر]" c="حمد وفهد مسفر"/>
              <i n="[tbl_Projects].[Project_Name].&amp;[حمد ومحمد مطلق]" c="حمد ومحمد مطلق"/>
              <i n="[tbl_Projects].[Project_Name].&amp;[خالد النعيمى]" c="خالد النعيمى"/>
              <i n="[tbl_Projects].[Project_Name].&amp;[خالد زابن الدوسري]" c="خالد زابن الدوسري"/>
              <i n="[tbl_Projects].[Project_Name].&amp;[خالد زاين الدوسري]" c="خالد زاين الدوسري"/>
              <i n="[tbl_Projects].[Project_Name].&amp;[خالد وليد البحيح]" c="خالد وليد البحيح"/>
              <i n="[tbl_Projects].[Project_Name].&amp;[راشد الفطيس المري]" c="راشد الفطيس المري"/>
              <i n="[tbl_Projects].[Project_Name].&amp;[راشد الهاجري]" c="راشد الهاجري"/>
              <i n="[tbl_Projects].[Project_Name].&amp;[راشد بخيت الغفران]" c="راشد بخيت الغفران"/>
              <i n="[tbl_Projects].[Project_Name].&amp;[سعود مرزوق الفهد]" c="سعود مرزوق الفهد"/>
              <i n="[tbl_Projects].[Project_Name].&amp;[سعود ومحمد زقلان الشمري]" c="سعود ومحمد زقلان الشمري"/>
              <i n="[tbl_Projects].[Project_Name].&amp;[سعيد راشد اليربوعي]" c="سعيد راشد اليربوعي"/>
              <i n="[tbl_Projects].[Project_Name].&amp;[شاجع وسالم راشد  الفهيدة]" c="شاجع وسالم راشد  الفهيدة"/>
              <i n="[tbl_Projects].[Project_Name].&amp;[شاجع وسالم راشد الفهيدة]" c="شاجع وسالم راشد الفهيدة"/>
              <i n="[tbl_Projects].[Project_Name].&amp;[عبد العزيز و جابر قحيز المرى]" c="عبد العزيز و جابر قحيز المرى"/>
              <i n="[tbl_Projects].[Project_Name].&amp;[عبد الله طيناف]" c="عبد الله طيناف"/>
              <i n="[tbl_Projects].[Project_Name].&amp;[عبد الهادى مسفر]" c="عبد الهادى مسفر"/>
              <i n="[tbl_Projects].[Project_Name].&amp;[عبدالله هادي البريدي]" c="عبدالله هادي البريدي"/>
              <i n="[tbl_Projects].[Project_Name].&amp;[عبدالله هدفة العذبة]" c="عبدالله هدفة العذبة"/>
              <i n="[tbl_Projects].[Project_Name].&amp;[على جابر الحنزاب]" c="على جابر الحنزاب"/>
              <i n="[tbl_Projects].[Project_Name].&amp;[على صالح ابوسويد]" c="على صالح ابوسويد"/>
              <i n="[tbl_Projects].[Project_Name].&amp;[علي فاران البريد المري]" c="علي فاران البريد المري"/>
              <i n="[tbl_Projects].[Project_Name].&amp;[علي فاران البريدي]" c="علي فاران البريدي"/>
              <i n="[tbl_Projects].[Project_Name].&amp;[فرج سالم العذبه]" c="فرج سالم العذبه"/>
              <i n="[tbl_Projects].[Project_Name].&amp;[فلل الماجد]" c="فلل الماجد"/>
              <i n="[tbl_Projects].[Project_Name].&amp;[فهد الشهوانى الهاجرى]" c="فهد الشهوانى الهاجرى"/>
              <i n="[tbl_Projects].[Project_Name].&amp;[فهد عزران]" c="فهد عزران"/>
              <i n="[tbl_Projects].[Project_Name].&amp;[فهد عمير الشهواني]" c="فهد عمير الشهواني"/>
              <i n="[tbl_Projects].[Project_Name].&amp;[فهد وخالد عزران]" c="فهد وخالد عزران"/>
              <i n="[tbl_Projects].[Project_Name].&amp;[فيصل محمد راشد الغانم العذبة]" c="فيصل محمد راشد الغانم العذبة"/>
              <i n="[tbl_Projects].[Project_Name].&amp;[لطيفة إبراهيم الفضاله]" c="لطيفة إبراهيم الفضاله"/>
              <i n="[tbl_Projects].[Project_Name].&amp;[محمد الغواص المري]" c="محمد الغواص المري"/>
              <i n="[tbl_Projects].[Project_Name].&amp;[محمد وخالد وجبر الهاجري]" c="محمد وخالد وجبر الهاجري"/>
              <i n="[tbl_Projects].[Project_Name].&amp;[محمد وعبدالله دبلان]" c="محمد وعبدالله دبلان"/>
              <i n="[tbl_Projects].[Project_Name].&amp;[مشارى الهاجرى]" c="مشارى الهاجرى"/>
            </range>
          </ranges>
        </level>
      </levels>
      <selections count="1">
        <selection n="[tbl_Projects].[Project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ervisor" xr10:uid="{9538841E-C4F4-45AF-A94B-9B8726115E18}" sourceName="[Daily_Work].[Supervisor]">
  <pivotTables>
    <pivotTable tabId="11" name="Cards_Proj"/>
    <pivotTable tabId="11" name="#Emp"/>
    <pivotTable tabId="11" name="#Emp_Dep"/>
    <pivotTable tabId="11" name="#Emp_Spons"/>
    <pivotTable tabId="11" name="#pro_Status"/>
    <pivotTable tabId="11" name="Cards_Pay"/>
    <pivotTable tabId="11" name="Cost_Pro"/>
    <pivotTable tabId="11" name="Date_Salary"/>
    <pivotTable tabId="11" name="Dep_#"/>
    <pivotTable tabId="11" name="Emp_Grade"/>
    <pivotTable tabId="11" name="Emp_Status#"/>
    <pivotTable tabId="11" name="Emp_Title"/>
    <pivotTable tabId="11" name="Job_Salary"/>
    <pivotTable tabId="11" name="Nation_#"/>
    <pivotTable tabId="11" name="PivotTable27"/>
    <pivotTable tabId="11" name="PivotTable28"/>
    <pivotTable tabId="11" name="PivotTable29"/>
    <pivotTable tabId="11" name="Pro_#"/>
    <pivotTable tabId="11" name="Pro_#Emp"/>
    <pivotTable tabId="11" name="Pro_N_OT"/>
    <pivotTable tabId="11" name="Salary_Dep"/>
    <pivotTable tabId="11" name="Salary_Job_Tile"/>
    <pivotTable tabId="11" name="Salary_Payment"/>
    <pivotTable tabId="11" name="Top_Salary"/>
  </pivotTables>
  <data>
    <olap pivotCacheId="1908879702">
      <levels count="2">
        <level uniqueName="[Daily_Work].[Supervisor].[(All)]" sourceCaption="(All)" count="0"/>
        <level uniqueName="[Daily_Work].[Supervisor].[Supervisor]" sourceCaption="Supervisor" count="4">
          <ranges>
            <range startItem="0">
              <i n="[Daily_Work].[Supervisor].&amp;" c="(blank)"/>
              <i n="[Daily_Work].[Supervisor].&amp;[عمر مصباح عمر]" c="عمر مصباح عمر"/>
              <i n="[Daily_Work].[Supervisor].&amp;[محمد عمران انصاري]" c="محمد عمران انصاري"/>
              <i n="[Daily_Work].[Supervisor].&amp;[ﻣﺪ ﺟﻠﺪﻳﻦ ﻣﻴﺎ]" c="ﻣﺪ ﺟﻠﺪﻳﻦ ﻣﻴﺎ"/>
            </range>
          </ranges>
        </level>
      </levels>
      <selections count="1">
        <selection n="[Daily_Work].[Supervisor].[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220600E-8AA6-4DC4-80DF-047D0CB6757B}" sourceName="[Master_Employee].[Payment_Method]">
  <pivotTables>
    <pivotTable tabId="11" name="Salary_Dep"/>
  </pivotTables>
  <data>
    <olap pivotCacheId="1908879702">
      <levels count="2">
        <level uniqueName="[Master_Employee].[Payment_Method].[(All)]" sourceCaption="(All)" count="0"/>
        <level uniqueName="[Master_Employee].[Payment_Method].[Payment_Method]" sourceCaption="Payment_Method" count="4">
          <ranges>
            <range startItem="0">
              <i n="[Master_Employee].[Payment_Method].&amp;[Bank - بنك]" c="Bank - بنك"/>
              <i n="[Master_Employee].[Payment_Method].&amp;[cash - نقدا]" c="cash - نقدا"/>
              <i n="[Master_Employee].[Payment_Method].&amp;[Vodafone - فودافون]" c="Vodafone - فودافون"/>
              <i n="[Master_Employee].[Payment_Method].&amp;" c="(blank)" nd="1"/>
            </range>
          </ranges>
        </level>
      </levels>
      <selections count="1">
        <selection n="[Master_Employee].[Payment_Meth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xr10:uid="{07BB47DA-5295-43B3-AA09-48C224381160}" cache="Slicer_Dept_Name" caption="Dept_Name" level="1" style="Slicer Style 1" rowHeight="241300"/>
  <slicer name="Emp_Status" xr10:uid="{454C0FEA-B753-48E7-9A3A-049120451E70}" cache="Slicer_Emp_Status" caption="Emp_Status" level="1" style="Slicer Style 1" rowHeight="241300"/>
  <slicer name="Grade" xr10:uid="{A1598492-D46B-4A5B-92A5-B2B7BA70D5BD}" cache="Slicer_Grade" caption="Grade" level="1" style="Slicer Style 1" rowHeight="241300"/>
  <slicer name="Job_Title" xr10:uid="{AA36E387-FBE5-4520-9082-C47268AF9278}" cache="Slicer_Job_Title" caption="Job_Title" level="1"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1" xr10:uid="{887C88BF-5047-4E76-8372-FB8C02B3DADF}" cache="Slicer_Dept_Name" caption="Dept_Name" level="1" style="Slicer Style 1" rowHeight="241300"/>
  <slicer name="Job_Title 1" xr10:uid="{73C9024E-DF72-4348-BE83-576AA1AC08F4}" cache="Slicer_Job_Title" caption="Job_Title" level="1" style="Slicer Style 1" rowHeight="241300"/>
  <slicer name="Project_Name" xr10:uid="{E2C19921-1090-4FBE-8077-6FDE94D06B8A}" cache="Slicer_Project_Name" caption="Project_Name" level="1" style="Slicer Style 1" rowHeight="241300"/>
  <slicer name="Supervisor" xr10:uid="{D273E363-DA83-4A60-B780-1D8B744CA8B4}" cache="Slicer_Supervisor" caption="Supervisor" level="1" style="Slicer Style 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t_Name 2" xr10:uid="{B49F7754-1768-41D9-8CB5-6C9279BF623B}" cache="Slicer_Dept_Name" caption="Dept_Name" level="1" style="Slicer Style 1" rowHeight="241300"/>
  <slicer name="Job_Title 2" xr10:uid="{524C71ED-F31C-4A27-B53C-3199D2692959}" cache="Slicer_Job_Title" caption="Job_Title" level="1" style="Slicer Style 1" rowHeight="241300"/>
  <slicer name="Payment_Method" xr10:uid="{1C716931-4346-4E46-A950-1E351F8EB455}" cache="Slicer_Payment_Method" caption="Payment_Method" level="1"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8C2C010-34A2-4A55-90FA-448B819C3537}" name="tbl_Dept" displayName="tbl_Dept" ref="A3:E17" totalsRowShown="0" headerRowDxfId="132" tableBorderDxfId="131">
  <tableColumns count="5">
    <tableColumn id="1" xr3:uid="{3EAD090F-098D-4C28-BE81-E5F3523790A2}" name="#" dataDxfId="130"/>
    <tableColumn id="2" xr3:uid="{026567FD-1452-49C4-9C74-665391800090}" name="Dept_ID" dataDxfId="129"/>
    <tableColumn id="3" xr3:uid="{69D9F47E-CAA5-42A1-9812-1D51FD4632EB}" name="Dept_Name" dataDxfId="128"/>
    <tableColumn id="5" xr3:uid="{B5B0E63D-10E0-440D-BCC0-0A1E56F26079}" name="Dept_Name_EN" dataDxfId="127"/>
    <tableColumn id="4" xr3:uid="{E3BA2DE8-2626-4B8A-9ED9-3D988D22ADAF}" name="Notes" dataDxfId="12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Projects" displayName="tbl_Projects" ref="A3:M70" totalsRowShown="0" headerRowDxfId="125">
  <tableColumns count="13">
    <tableColumn id="1" xr3:uid="{00000000-0010-0000-0100-000001000000}" name="#"/>
    <tableColumn id="2" xr3:uid="{00000000-0010-0000-0100-000002000000}" name="Project_ID"/>
    <tableColumn id="3" xr3:uid="{00000000-0010-0000-0100-000003000000}" name="Project_Name"/>
    <tableColumn id="4" xr3:uid="{00000000-0010-0000-0100-000004000000}" name="Department"/>
    <tableColumn id="5" xr3:uid="{00000000-0010-0000-0100-000005000000}" name="Location"/>
    <tableColumn id="6" xr3:uid="{00000000-0010-0000-0100-000006000000}" name="Start_Date" dataDxfId="124"/>
    <tableColumn id="7" xr3:uid="{00000000-0010-0000-0100-000007000000}" name="End_Date" dataDxfId="123"/>
    <tableColumn id="8" xr3:uid="{00000000-0010-0000-0100-000008000000}" name="Status"/>
    <tableColumn id="9" xr3:uid="{BE5A6347-34DB-4E6B-BB5E-F7DE40CABADB}" name="Flag_Status" dataDxfId="122">
      <calculatedColumnFormula>_xlfn.XLOOKUP(tbl_Projects[[#This Row],[Status]],Project_Status[Status],Project_Status[Flag],"",0)</calculatedColumnFormula>
    </tableColumn>
    <tableColumn id="10" xr3:uid="{0AC9FEE3-02EA-4E99-898C-DED10C828927}" name="Client_Name"/>
    <tableColumn id="11" xr3:uid="{10D558D9-877C-4C37-AE07-C1B96BE3822C}" name="Contact_Number"/>
    <tableColumn id="13" xr3:uid="{8B58FE51-EAB2-4CA0-BAC0-95F248720B45}" name="Client_Sales"/>
    <tableColumn id="12" xr3:uid="{DDDA8DDD-DD76-42EA-B0FC-70DE2E0877EA}" name="Not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70B94A-794D-4CD2-B93D-28F3E3C35C9D}" name="Master_Employee" displayName="Master_Employee" ref="A4:AJ30" totalsRowShown="0" headerRowDxfId="121" dataDxfId="119" headerRowBorderDxfId="120" tableBorderDxfId="118" totalsRowBorderDxfId="117">
  <tableColumns count="36">
    <tableColumn id="1" xr3:uid="{EA441881-F674-47F7-8EBB-CE2F865B8423}" name="#" dataDxfId="116"/>
    <tableColumn id="2" xr3:uid="{DAB581A9-18B7-4365-8D4F-A1652A2C7E27}" name="Emp_ID" dataDxfId="115">
      <calculatedColumnFormula>_xlfn.XLOOKUP(Master_Employee[[#This Row],[Name_AR]],Lists!AN:AN,Lists!AL:AL," ",0)</calculatedColumnFormula>
    </tableColumn>
    <tableColumn id="3" xr3:uid="{1492552D-18D8-470D-B42A-A7AD2F76F75C}" name="Dept_ID" dataDxfId="114"/>
    <tableColumn id="4" xr3:uid="{89029666-B8E3-4EB1-8B41-B628E020C13E}" name="Department" dataDxfId="113"/>
    <tableColumn id="25" xr3:uid="{308F16D0-E547-4D14-AD82-905A6437D6D7}" name="Department_EN" dataDxfId="112">
      <calculatedColumnFormula>_xlfn.XLOOKUP(Master_Employee[[#This Row],[Dept_ID]],tbl_Dept[Dept_ID],tbl_Dept[Dept_Name_EN],"",0)</calculatedColumnFormula>
    </tableColumn>
    <tableColumn id="5" xr3:uid="{2954DEC4-510E-41B5-837C-2F3795A57111}" name="Supervisor_Name" dataDxfId="111"/>
    <tableColumn id="28" xr3:uid="{259A4C80-5BB3-4A87-BC7B-B5355C16F426}" name="Supervisor_ID" dataDxfId="110">
      <calculatedColumnFormula>_xlfn.XLOOKUP(Master_Employee[[#This Row],[Supervisor_Name]],EmpNames,EmpIDs,"",0)</calculatedColumnFormula>
    </tableColumn>
    <tableColumn id="6" xr3:uid="{3414D8DA-2620-4A49-B9A4-3B05230DAB33}" name="Name_AR" dataDxfId="109"/>
    <tableColumn id="7" xr3:uid="{75A3F5D8-4509-4593-BB40-EA40C29B07F9}" name="Name_EN" dataDxfId="108">
      <calculatedColumnFormula>_xlfn.XLOOKUP(Master_Employee[[#This Row],[Emp_ID]],Lists!AL:AL,Lists!AO:AO,"",0)</calculatedColumnFormula>
    </tableColumn>
    <tableColumn id="8" xr3:uid="{4129D214-00A6-42C4-BA16-BD38E6EF89D4}" name="National_ID" dataDxfId="107"/>
    <tableColumn id="22" xr3:uid="{2FB7CD45-E455-4CB6-B838-FC3FDD2FBBF3}" name="Q_ID_Expire_Date" dataDxfId="106"/>
    <tableColumn id="39" xr3:uid="{293F1A66-26EB-47F9-92EF-356AE558E479}" name="Residency_Days_Status">
      <calculatedColumnFormula>IF(Master_Employee[[#This Row],[Q_ID_Expire_Date]]="","",TODAY()-Master_Employee[[#This Row],[Q_ID_Expire_Date]])</calculatedColumnFormula>
    </tableColumn>
    <tableColumn id="9" xr3:uid="{830F3305-3FBF-4CBD-95A4-24E00A04A510}" name="Nationality" dataDxfId="105"/>
    <tableColumn id="10" xr3:uid="{3D041342-A31B-4975-86B0-DDAD30486187}" name="Job_Title" dataDxfId="104"/>
    <tableColumn id="11" xr3:uid="{2656C202-9128-46C8-A4EA-75C4EFF58C4A}" name="Hire_Date" dataDxfId="103"/>
    <tableColumn id="37" xr3:uid="{0B1B95F7-CB80-48FE-A77A-7D10735CC544}" name="Join_Date" dataDxfId="102"/>
    <tableColumn id="38" xr3:uid="{85870483-AD25-4474-9DF3-1FAF8BC18C01}" name="Last_Return_Date" dataDxfId="101"/>
    <tableColumn id="12" xr3:uid="{A6BAEE09-F506-420F-B000-ED34759D3F24}" name="Emp_Status" dataDxfId="100"/>
    <tableColumn id="26" xr3:uid="{8F8DEA50-876D-4BAC-926C-A1B455DED0B0}" name="Status_Code" dataDxfId="99">
      <calculatedColumnFormula>_xlfn.XLOOKUP(Master_Employee[[#This Row],[Emp_Status]],Emp_Status[Emp_Status],Emp_Status[Status_Code],"",0)</calculatedColumnFormula>
    </tableColumn>
    <tableColumn id="13" xr3:uid="{7E1B68DE-1806-4B18-809C-4D7AD203F634}" name="Payment_Method" dataDxfId="98"/>
    <tableColumn id="33" xr3:uid="{1DC1CA57-1E4F-4C63-B300-CF4E0A1DB5E2}" name="Payment_Code" dataDxfId="97">
      <calculatedColumnFormula>_xlfn.XLOOKUP(Master_Employee[[#This Row],[Payment_Method]],Pay[Payment_Method],Pay[Pay_Code],"",0)</calculatedColumnFormula>
    </tableColumn>
    <tableColumn id="34" xr3:uid="{FD9FDB80-84E1-448D-AE5E-D5FBC36897E3}" name="Bank_Account_Number" dataDxfId="96"/>
    <tableColumn id="35" xr3:uid="{C68FDC58-CAFC-42BA-AF3D-A1D5829E6557}" name="Employee_Assets" dataDxfId="95"/>
    <tableColumn id="14" xr3:uid="{AEF5C848-29FE-4EC2-8BEC-E44FA18E701F}" name="Notes" dataDxfId="94"/>
    <tableColumn id="15" xr3:uid="{6AE98ECE-2615-42D6-BA2B-D57DFE8173A0}" name="Basic_Salary" dataDxfId="93"/>
    <tableColumn id="16" xr3:uid="{5AC30C03-B37E-4585-8F40-BD8F8B3F8EA3}" name="Living_Allowance" dataDxfId="92"/>
    <tableColumn id="17" xr3:uid="{67DB1FBD-DA73-4EB2-849F-F324B8CAD193}" name="Transport_Allowance" dataDxfId="91"/>
    <tableColumn id="21" xr3:uid="{71B35767-F869-45CA-8FE0-0F963D0AE7F3}" name="Other_Allowance" dataDxfId="90"/>
    <tableColumn id="27" xr3:uid="{CDE3F023-4D5C-4F01-9ED7-165932AAE664}" name="Total_Salary" dataDxfId="89">
      <calculatedColumnFormula>Master_Employee[[#This Row],[Basic_Salary]]+Master_Employee[[#This Row],[Living_Allowance]]+Master_Employee[[#This Row],[Transport_Allowance]]+Master_Employee[[#This Row],[Other_Allowance]]</calculatedColumnFormula>
    </tableColumn>
    <tableColumn id="18" xr3:uid="{1078D2F9-B31B-443D-B6BF-C9093135318E}" name="Daily_Rate" dataDxfId="88">
      <calculatedColumnFormula>(Master_Employee[[#This Row],[Total_Salary]]/30)</calculatedColumnFormula>
    </tableColumn>
    <tableColumn id="29" xr3:uid="{E92BBDB8-2286-4336-AF2E-47D1180C68E2}" name="Hour_Rate" dataDxfId="87">
      <calculatedColumnFormula>Master_Employee[[#This Row],[Daily_Rate]]/8</calculatedColumnFormula>
    </tableColumn>
    <tableColumn id="19" xr3:uid="{3274A4A7-A822-4AD6-8D59-F9C46792C9F1}" name="OT_Hr_Rate" dataDxfId="86">
      <calculatedColumnFormula>(Master_Employee[[#This Row],[Basic_Salary]]/30/8)*(Master_Employee[[#This Row],[OT_Multiplier]])</calculatedColumnFormula>
    </tableColumn>
    <tableColumn id="32" xr3:uid="{92E25B40-066A-4F00-913D-E56E94B9EFD6}" name="OT_Multiplier" dataDxfId="85">
      <calculatedColumnFormula>1</calculatedColumnFormula>
    </tableColumn>
    <tableColumn id="20" xr3:uid="{FF50A2A0-4279-4A08-BDEF-D61EA7AAEC9B}" name="Grade" dataDxfId="84"/>
    <tableColumn id="23" xr3:uid="{C6778A69-59AE-4C37-8983-59D81988E28F}" name="sponsorship" dataDxfId="83"/>
    <tableColumn id="24" xr3:uid="{6B230951-E6B1-48F7-B423-FEF2F9ECC279}" name="Name_of_sponsorship_company" dataDxfId="8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CA2E18A-5303-4467-AAF4-861190BD781D}" name="tbl_Transactions" displayName="tbl_Transactions" ref="A3:M306" totalsRowShown="0" headerRowDxfId="81" headerRowBorderDxfId="80" tableBorderDxfId="79" totalsRowBorderDxfId="78">
  <tableColumns count="13">
    <tableColumn id="1" xr3:uid="{4E52D783-EECF-4762-8BA9-8CA0E0FF86F6}" name="#"/>
    <tableColumn id="2" xr3:uid="{2D50A67D-F7E7-45A2-8319-C6E462DEBD19}" name="Trans_ID"/>
    <tableColumn id="3" xr3:uid="{E4642139-56CD-4FA5-9371-7287FA4F24C3}" name="Emp_ID" dataDxfId="77"/>
    <tableColumn id="4" xr3:uid="{9545BF6F-55B2-418B-9251-B0EEE3FC68A9}" name="Name_AR">
      <calculatedColumnFormula>IFERROR(_xlfn.XLOOKUP(C4,Master_Employee[Emp_ID],Master_Employee[Name_AR],"",0),"")</calculatedColumnFormula>
    </tableColumn>
    <tableColumn id="12" xr3:uid="{76A4221F-FA99-4401-B634-6ACAAB5BA603}" name="Name_EN" dataDxfId="76">
      <calculatedColumnFormula>IFERROR(_xlfn.XLOOKUP(C4,Master_Employee[Emp_ID],Master_Employee[Name_EN],"",0),"")</calculatedColumnFormula>
    </tableColumn>
    <tableColumn id="5" xr3:uid="{6027D089-3123-4611-99AB-6A9AAFDD44E1}" name="Department">
      <calculatedColumnFormula>IFERROR(_xlfn.XLOOKUP(C4,Master_Employee[Emp_ID],Master_Employee[Department],"",0),"")</calculatedColumnFormula>
    </tableColumn>
    <tableColumn id="13" xr3:uid="{D158FA8A-D18E-4F2A-9A2C-09E3E7DBB5BD}" name="Project_Name"/>
    <tableColumn id="6" xr3:uid="{6469DCD8-5272-4E12-B5A1-7B3A14F5CB49}" name="Date" dataDxfId="75"/>
    <tableColumn id="7" xr3:uid="{83C99987-EE22-42E6-8306-E5A57E95E3E6}" name="Type"/>
    <tableColumn id="11" xr3:uid="{20D62722-E5E5-4B6D-BAAC-BE971D3FF8A5}" name="Type_Code">
      <calculatedColumnFormula>_xlfn.XLOOKUP(tbl_Transactions[[#This Row],[Type]],Type[Trans_Type],Type[Type_Code],"",0)</calculatedColumnFormula>
    </tableColumn>
    <tableColumn id="10" xr3:uid="{07EC8481-464E-441A-8067-EAFB490BBE56}" name="Reasons"/>
    <tableColumn id="8" xr3:uid="{1392091B-4AAE-45CC-B20D-3EEB4541B043}" name="Amount"/>
    <tableColumn id="9" xr3:uid="{076AB0D5-9D7C-4589-97C4-0B4C124680CE}" name="Notes"/>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9527D55-4662-424D-8B87-80560E667633}" name="Daily_Work" displayName="Daily_Work" ref="A5:P202" totalsRowShown="0" headerRowDxfId="74" dataDxfId="72" headerRowBorderDxfId="73" tableBorderDxfId="71" totalsRowBorderDxfId="70">
  <tableColumns count="16">
    <tableColumn id="1" xr3:uid="{D3BD4001-D7FE-498F-A2DB-AD6EBD167E78}" name="#_x000a_#" dataDxfId="69"/>
    <tableColumn id="17" xr3:uid="{A09A1437-4BC9-40A0-A51B-A721066D7A2F}" name="Month" dataDxfId="68"/>
    <tableColumn id="4" xr3:uid="{84911097-A5FE-4707-A4AF-604A62A951AC}" name="Emp_ID" dataDxfId="67">
      <calculatedColumnFormula>IFERROR(_xlfn.XLOOKUP(E6,Master_Employee!$B$5:$B$30,Master_Employee!$H$5:$H$30,""),"")</calculatedColumnFormula>
    </tableColumn>
    <tableColumn id="16" xr3:uid="{D4E2A893-29EB-4519-ABB1-4E75F16D1785}" name="Name_AR" dataDxfId="66">
      <calculatedColumnFormula>_xlfn.XLOOKUP(Daily_Work[[#This Row],[Emp_ID]],Master_Employee[Emp_ID],Master_Employee[Name_AR],"",0)</calculatedColumnFormula>
    </tableColumn>
    <tableColumn id="3" xr3:uid="{E20A6F34-EC01-45A0-8C65-B467EC988A05}" name="Name_EN" dataDxfId="65">
      <calculatedColumnFormula>_xlfn.XLOOKUP(Daily_Work[[#This Row],[Emp_ID]],Master_Employee[Emp_ID],Master_Employee[Name_EN],"",0)</calculatedColumnFormula>
    </tableColumn>
    <tableColumn id="5" xr3:uid="{5D0B9B4F-7593-46CE-88B9-311B5678669D}" name="Department" dataDxfId="64">
      <calculatedColumnFormula array="1">IF(Daily_Work[[#This Row],[Emp_ID]]=0,"",
_xlfn.XLOOKUP(Daily_Work[[#This Row],[Emp_ID]],Master_Employee[Emp_ID],EmpDepts,"",0)
)</calculatedColumnFormula>
    </tableColumn>
    <tableColumn id="18" xr3:uid="{1A9440EB-59A7-4B02-BB41-7543BE96E31F}" name="Supervisor" dataDxfId="63"/>
    <tableColumn id="8" xr3:uid="{813606EB-63EB-4004-9591-640D121597E9}" name="Project_Name" dataDxfId="62"/>
    <tableColumn id="7" xr3:uid="{C221F641-8C71-485F-A729-7692847A7C1E}" name="Project_ID" dataDxfId="61">
      <calculatedColumnFormula>IF(Daily_Work[[#This Row],[Project_Name]]="","",_xlfn.XLOOKUP(Daily_Work[[#This Row],[Project_Name]],ProjectNames,ProjectList,"",0))</calculatedColumnFormula>
    </tableColumn>
    <tableColumn id="11" xr3:uid="{454AA0F5-3E9F-4F59-B9B8-6DF09D876CE2}" name="Emp_Status"/>
    <tableColumn id="2" xr3:uid="{1A67DCBE-BFC5-40A3-84C0-4CDD3E09ACA4}" name="Status_Code" dataDxfId="60">
      <calculatedColumnFormula>IF(Daily_Work[[#This Row],[Emp_Status]]="Absent",0,1)</calculatedColumnFormula>
    </tableColumn>
    <tableColumn id="19" xr3:uid="{D22DD8CA-FF5C-4257-B28E-32F696567566}" name="Days_Work"/>
    <tableColumn id="10" xr3:uid="{602B19CD-E7FA-443A-8023-151BE7B8E9FE}" name="OT_Hrs" dataDxfId="59"/>
    <tableColumn id="9" xr3:uid="{9C28FF5D-AE96-424C-BFEA-5C702556DE84}" name="Normal_Hrs" dataDxfId="58">
      <calculatedColumnFormula>Daily_Work[[#This Row],[Days_Work]]*8</calculatedColumnFormula>
    </tableColumn>
    <tableColumn id="12" xr3:uid="{7C5E882D-53E7-444A-9BD3-4AF8BCCD408F}" name="Normal_Cost" dataDxfId="57" dataCellStyle="Comma">
      <calculatedColumnFormula>IFERROR(Daily_Work[[#This Row],[Days_Work]]*_xlfn.XLOOKUP(Daily_Work[[#This Row],[Emp_ID]],Master_Employee[Emp_ID],Master_Employee[Daily_Rate],"",0),0)</calculatedColumnFormula>
    </tableColumn>
    <tableColumn id="13" xr3:uid="{D6622135-6C96-49CE-9AFA-EE958E5999EC}" name="OT_Cost" dataDxfId="56">
      <calculatedColumnFormula>IFERROR(Daily_Work[[#This Row],[OT_Hrs]]*_xlfn.XLOOKUP(Daily_Work[[#This Row],[Emp_ID]],Master_Employee[Emp_ID],Master_Employee[OT_Hr_Rate],0),0)</calculatedColumnFormula>
    </tableColumn>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508AC1-0BC2-4E5F-951E-845BDDB68C5E}" name="Valid_Status" displayName="Valid_Status" ref="AA6:AA9" totalsRowShown="0">
  <autoFilter ref="AA6:AA9" xr:uid="{78508AC1-0BC2-4E5F-951E-845BDDB68C5E}"/>
  <tableColumns count="1">
    <tableColumn id="1" xr3:uid="{27192DD7-49A4-4709-87CB-C5794B11CC43}"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883647-C60D-44D2-A7DC-86A11B4166BB}" name="Emp_ID" displayName="Emp_ID" ref="B4:C242" totalsRowShown="0" headerRowDxfId="55" dataDxfId="54">
  <autoFilter ref="B4:C242" xr:uid="{CB883647-C60D-44D2-A7DC-86A11B4166BB}"/>
  <tableColumns count="2">
    <tableColumn id="2" xr3:uid="{F0387FBF-68A7-4C07-A6FC-7AD2244522D9}" name="#" dataDxfId="53"/>
    <tableColumn id="1" xr3:uid="{5F83EC89-5406-4FBB-AB56-74BB7FF5CE98}" name="Emp_ID" dataDxfId="5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D679827-0490-4A06-9B77-932A33838527}" name="Super" displayName="Super" ref="F4:H25" totalsRowShown="0" headerRowDxfId="51">
  <autoFilter ref="F4:H25" xr:uid="{AD679827-0490-4A06-9B77-932A33838527}"/>
  <tableColumns count="3">
    <tableColumn id="1" xr3:uid="{356D6376-0351-45B1-8243-61A3BA421695}" name="Supervisor_Name"/>
    <tableColumn id="2" xr3:uid="{F40A2A6C-337E-4D80-9D44-67F885036453}" name="Supervisor_ID" dataDxfId="50">
      <calculatedColumnFormula>IFERROR(_xlfn.XLOOKUP(Super[[#This Row],[Supervisor_Name]],EmpNames,EmpIDs,"",0),0)</calculatedColumnFormula>
    </tableColumn>
    <tableColumn id="3" xr3:uid="{C43C8843-96D0-4B84-AE44-C638A6C53BCA}" name="Department" dataDxfId="49">
      <calculatedColumnFormula>_xlfn.XLOOKUP(Super[[#This Row],[Supervisor_Name]],EmpNames,EmpDepts,"",0)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957C7B8-AEF6-438C-A452-879E124681B3}" name="Job_Title" displayName="Job_Title" ref="K4:K34" totalsRowShown="0" headerRowDxfId="48" dataDxfId="47">
  <autoFilter ref="K4:K34" xr:uid="{B957C7B8-AEF6-438C-A452-879E124681B3}"/>
  <tableColumns count="1">
    <tableColumn id="1" xr3:uid="{4AD6F02B-A27B-4D60-A0AE-2F130957D90E}" name="Job_Title" dataDxfId="46"/>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A1E218-24B0-4A53-8F10-ECE348EE4063}" name="Emp_Status" displayName="Emp_Status" ref="M4:N13" totalsRowShown="0" headerRowDxfId="45" dataDxfId="44">
  <autoFilter ref="M4:N13" xr:uid="{92A1E218-24B0-4A53-8F10-ECE348EE4063}"/>
  <tableColumns count="2">
    <tableColumn id="1" xr3:uid="{EB21F384-0A88-4A04-9413-09AEE70A692C}" name="Emp_Status" dataDxfId="43"/>
    <tableColumn id="2" xr3:uid="{3E34B7AB-1355-4852-903E-53C7AEAF003E}" name="Status_Code" dataDxfId="4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5A8371-0C99-4BD0-8602-4B466AC09534}" name="Pay" displayName="Pay" ref="P4:Q8" totalsRowShown="0">
  <autoFilter ref="P4:Q8" xr:uid="{655A8371-0C99-4BD0-8602-4B466AC09534}"/>
  <tableColumns count="2">
    <tableColumn id="1" xr3:uid="{893E8078-A57D-4DE1-93C8-5255106DC3FD}" name="Payment_Method"/>
    <tableColumn id="2" xr3:uid="{F29C3928-FBF9-4F15-BA17-3B8B5D973FF7}" name="Pay_Cod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D28F752-A6F9-47EE-BAAE-4DD68DCF42E1}" name="Emp_CON" displayName="Emp_CON" ref="AR3:AW153" totalsRowShown="0" headerRowDxfId="41" dataDxfId="40">
  <autoFilter ref="AR3:AW153" xr:uid="{9D28F752-A6F9-47EE-BAAE-4DD68DCF42E1}"/>
  <tableColumns count="6">
    <tableColumn id="1" xr3:uid="{C2533B5F-A54C-4DB7-AD25-85EE98E2B173}" name="#" dataDxfId="39"/>
    <tableColumn id="2" xr3:uid="{742D794B-694C-42F2-B72A-D7262093F068}" name="Emp_ID" dataDxfId="38"/>
    <tableColumn id="7" xr3:uid="{22EB43DE-2AC2-4FCC-993A-531FFF421C9B}" name="Employee_ID" dataDxfId="37"/>
    <tableColumn id="3" xr3:uid="{5B4BBD41-52BF-41DA-89EE-6B12C4EAA06D}" name="Name_AR" dataDxfId="36"/>
    <tableColumn id="6" xr3:uid="{5919B089-8B57-416A-B229-3D487D11C975}" name="Name_EN" dataDxfId="35"/>
    <tableColumn id="5" xr3:uid="{5EC73B89-3461-4392-82F3-FDC8B375F461}" name="Department_ID" dataDxfId="34">
      <calculatedColumnFormula>$AV$2</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8C64733-1C8E-4D7A-9CC6-4ABF604FD0B0}" name="Month" displayName="Month" ref="S4:V28" totalsRowShown="0" headerRowDxfId="33" dataDxfId="32">
  <autoFilter ref="S4:V28" xr:uid="{48C64733-1C8E-4D7A-9CC6-4ABF604FD0B0}"/>
  <tableColumns count="4">
    <tableColumn id="1" xr3:uid="{9AFA81D5-2D9B-4B1C-9431-BAF861D25CEB}" name="Year" dataDxfId="31"/>
    <tableColumn id="2" xr3:uid="{E144E9F1-E1DD-48E9-978B-144BDD466CCE}" name="Month" dataDxfId="30"/>
    <tableColumn id="4" xr3:uid="{E9142012-3277-490D-B419-D90C1A07050F}" name="Day" dataDxfId="29">
      <calculatedColumnFormula>1</calculatedColumnFormula>
    </tableColumn>
    <tableColumn id="3" xr3:uid="{E229042C-98CF-4B88-BF34-07B21B623B60}" name="Date" dataDxfId="28">
      <calculatedColumnFormula>DATE(Month[[#This Row],[Year]],Month[[#This Row],[Month]],Month[[#This Row],[Day]])</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1327FD82-72C3-40F5-B2DF-2802481B026B}" name="Grade" displayName="Grade" ref="AA4:AA7" totalsRowShown="0" headerRowDxfId="27" dataDxfId="26">
  <autoFilter ref="AA4:AA7" xr:uid="{1327FD82-72C3-40F5-B2DF-2802481B026B}"/>
  <tableColumns count="1">
    <tableColumn id="1" xr3:uid="{68053DD7-E49A-49E9-8DE2-6E8EFCB29398}" name="Grade" dataDxfId="2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0C4C279-ACAD-49CF-9247-2D75E48C8A0D}" name="Loc" displayName="Loc" ref="AC4:AC5" totalsRowShown="0" headerRowDxfId="24" dataDxfId="23">
  <autoFilter ref="AC4:AC5" xr:uid="{F0C4C279-ACAD-49CF-9247-2D75E48C8A0D}"/>
  <tableColumns count="1">
    <tableColumn id="1" xr3:uid="{13257A0B-2DF3-46EE-BD2F-84482A9C8B5A}" name="Location" dataDxfId="2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F1FE4FF-A7D2-4A0E-8343-0771C99840B5}" name="Nationality" displayName="Nationality" ref="AE4:AE26" totalsRowShown="0" headerRowDxfId="21">
  <autoFilter ref="AE4:AE26" xr:uid="{BF1FE4FF-A7D2-4A0E-8343-0771C99840B5}"/>
  <tableColumns count="1">
    <tableColumn id="1" xr3:uid="{A1EFE2C6-0919-45BB-9F0A-6A55A5FC49CC}" name="Nationality"/>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19A8B0C-A79B-4C40-853B-A9A3BC2EB7E2}" name="Sponser" displayName="Sponser" ref="AG4:AH6" totalsRowShown="0" headerRowDxfId="20">
  <autoFilter ref="AG4:AH6" xr:uid="{F19A8B0C-A79B-4C40-853B-A9A3BC2EB7E2}"/>
  <tableColumns count="2">
    <tableColumn id="1" xr3:uid="{F9CDB906-AA96-4E9F-B1FA-11430D22CDAF}" name="Sponser"/>
    <tableColumn id="2" xr3:uid="{6ED4C091-38CF-44AE-9448-9BCC326BDD9E}" name="Company"/>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E9E4071-28BE-47F7-B178-1A2D507696D0}" name="Emp_FIN" displayName="Emp_FIN" ref="AY3:BD138" totalsRowShown="0" headerRowDxfId="19" dataDxfId="18">
  <autoFilter ref="AY3:BD138" xr:uid="{FE9E4071-28BE-47F7-B178-1A2D507696D0}"/>
  <tableColumns count="6">
    <tableColumn id="1" xr3:uid="{9BB066B6-70F6-433C-811D-D7DC4F4B5B0D}" name="#" dataDxfId="17"/>
    <tableColumn id="2" xr3:uid="{C94FD193-E5B4-4383-8F8D-B771A7E8D671}" name="Emp_ID" dataDxfId="16"/>
    <tableColumn id="3" xr3:uid="{A1C03891-EE8B-4609-938F-5D2622CECA62}" name="Employee_ID" dataDxfId="15"/>
    <tableColumn id="4" xr3:uid="{A0C8F6D5-3739-4FA2-9F31-9BFC7E86218E}" name="Name_AR" dataDxfId="14"/>
    <tableColumn id="5" xr3:uid="{DC0D8DA5-8AA9-4CA1-A0FE-BA98608C5BC3}" name="Name_EN" dataDxfId="13"/>
    <tableColumn id="6" xr3:uid="{9E087C23-206D-4341-90C2-6A37046B745D}" name="Department_ID" dataDxfId="12">
      <calculatedColumnFormula>$BC$2</calculatedColumnFormula>
    </tableColum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A5F1C60-ADAD-4C1A-A165-15862DE23143}" name="Emp_ADM" displayName="Emp_ADM" ref="BF3:BK15" totalsRowShown="0">
  <autoFilter ref="BF3:BK15" xr:uid="{0A5F1C60-ADAD-4C1A-A165-15862DE23143}"/>
  <tableColumns count="6">
    <tableColumn id="1" xr3:uid="{B0B6F26A-E233-4C38-BD2C-DC804DDEB494}" name="#"/>
    <tableColumn id="2" xr3:uid="{0DFF0AAB-1942-4156-83DC-5029CE698774}" name="Emp_ID"/>
    <tableColumn id="3" xr3:uid="{58C92B32-141D-4A1B-B27A-E5CAB74FF448}" name="Employee_ID"/>
    <tableColumn id="4" xr3:uid="{F33FD2A9-D7F3-4D5A-855A-D36FAD5E1C63}" name="Name_AR"/>
    <tableColumn id="5" xr3:uid="{4393FB7D-0147-4450-9C55-42FBB41449A9}" name="Name_EN"/>
    <tableColumn id="6" xr3:uid="{27014998-878A-4299-9907-DBA801E3E543}" name="Department_ID">
      <calculatedColumnFormula>$BJ$2</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2E0284C-950E-4926-ADDC-5DB3134B39FD}" name="Emp_ELE" displayName="Emp_ELE" ref="BM3:BR15" totalsRowShown="0">
  <autoFilter ref="BM3:BR15" xr:uid="{72E0284C-950E-4926-ADDC-5DB3134B39FD}"/>
  <tableColumns count="6">
    <tableColumn id="1" xr3:uid="{5CC194DB-3596-4D40-9C9A-0C7D584C2540}" name="#"/>
    <tableColumn id="2" xr3:uid="{AF033820-3BE9-4545-8ABB-4A58E5F5AF23}" name="Emp_ID"/>
    <tableColumn id="3" xr3:uid="{DE85A0D4-EF81-45BA-AB59-19136B2E4B0C}" name="Employee_ID"/>
    <tableColumn id="4" xr3:uid="{389A79FD-40C7-4EE1-A1B8-34A30DE714F6}" name="Name_AR"/>
    <tableColumn id="5" xr3:uid="{C0C07AE1-788B-406C-B5AB-AC03489CE479}" name="Name_EN"/>
    <tableColumn id="6" xr3:uid="{06A0D5BA-AEE2-4698-BAD6-39252A133262}" name="Department_ID">
      <calculatedColumnFormula>$BQ$2</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FC6A417-E21F-4E75-997D-5D7D93F8CE3E}" name="Emp_PLM" displayName="Emp_PLM" ref="BT3:BY15" totalsRowShown="0">
  <autoFilter ref="BT3:BY15" xr:uid="{9FC6A417-E21F-4E75-997D-5D7D93F8CE3E}"/>
  <tableColumns count="6">
    <tableColumn id="1" xr3:uid="{24D1B913-1836-4CDB-9EDD-932BD1225C82}" name="#"/>
    <tableColumn id="2" xr3:uid="{85F4A486-F369-4D23-87B4-C18D28BADEFF}" name="Emp_ID"/>
    <tableColumn id="3" xr3:uid="{4A78DB37-3D67-4F1F-8EAC-4429066A46A3}" name="Employee_ID"/>
    <tableColumn id="4" xr3:uid="{9920F5B8-DB52-4BA1-A946-C8492D12BDEF}" name="Name_AR"/>
    <tableColumn id="5" xr3:uid="{35186F55-AC68-4FB1-8C15-504772CE33EA}" name="Name_EN"/>
    <tableColumn id="6" xr3:uid="{919C0F55-D595-446A-948A-1D91297B98B1}" name="Department_ID" dataDxfId="11">
      <calculatedColumnFormula>$BX$2</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34CD2C7-102B-4E68-AAB8-B14D093E7BC1}" name="Emp_STN" displayName="Emp_STN" ref="CA3:CF15" totalsRowShown="0">
  <autoFilter ref="CA3:CF15" xr:uid="{934CD2C7-102B-4E68-AAB8-B14D093E7BC1}"/>
  <tableColumns count="6">
    <tableColumn id="1" xr3:uid="{A970F3BD-AFA9-4FC4-A843-4A9320CA048E}" name="#"/>
    <tableColumn id="2" xr3:uid="{0CF1199D-3E83-4226-8210-039B444B31CD}" name="Emp_ID"/>
    <tableColumn id="3" xr3:uid="{767DDF0B-A934-40E7-8968-1F5927BC88A7}" name="Employee_ID"/>
    <tableColumn id="4" xr3:uid="{A42FD02F-8CCC-468E-9A0F-B7B7C2DE25B7}" name="Name_AR"/>
    <tableColumn id="5" xr3:uid="{214485D6-DE2A-42B6-AE24-3FC1F61AC07F}" name="Name_EN"/>
    <tableColumn id="6" xr3:uid="{5D4D3060-38DB-4219-88EF-707C64120803}" name="Department_ID" dataDxfId="10">
      <calculatedColumnFormula>$CE$2</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94A8969-AC52-4ABF-9556-93D3DD339676}" name="Emp_All" displayName="Emp_All" ref="CH3:CL16" insertRowShift="1" totalsRowShown="0">
  <autoFilter ref="CH3:CL16" xr:uid="{094A8969-AC52-4ABF-9556-93D3DD339676}"/>
  <tableColumns count="5">
    <tableColumn id="1" xr3:uid="{7A06175F-9FE6-4872-8866-7056C3BD5CBE}" name="#"/>
    <tableColumn id="2" xr3:uid="{AA933F29-23CA-46C1-9833-2BC0747C7848}" name="Emp_ID"/>
    <tableColumn id="3" xr3:uid="{A1E0399D-39F9-48BF-9292-3F4CF0C936AB}" name="Name_AR"/>
    <tableColumn id="4" xr3:uid="{48E0B60D-CFB1-4D61-97F9-37FAB32A1171}" name="Name_EN"/>
    <tableColumn id="5" xr3:uid="{F4B5B2DC-8F8C-45B4-98C3-D72FF5F46518}" name="Department_ID" dataDxfId="9">
      <calculatedColumnFormula>$CK$2</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4394B07-B850-4C9E-9619-AA2423F90D52}" name="Work_Status" displayName="Work_Status" ref="CP2:CP7" totalsRowShown="0">
  <autoFilter ref="CP2:CP7" xr:uid="{64394B07-B850-4C9E-9619-AA2423F90D52}"/>
  <tableColumns count="1">
    <tableColumn id="1" xr3:uid="{6CF92A17-05BC-4C8E-93F3-20FB1668E8E7}" name="Work_Status"/>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DB29584-CB91-4E5D-97F5-E17887004839}" name="Type" displayName="Type" ref="CR2:CS6" totalsRowShown="0">
  <autoFilter ref="CR2:CS6" xr:uid="{0DB29584-CB91-4E5D-97F5-E17887004839}"/>
  <tableColumns count="2">
    <tableColumn id="1" xr3:uid="{42502F49-C494-4D3A-B1EC-761D0EE14EF0}" name="Trans_Type"/>
    <tableColumn id="2" xr3:uid="{2B6E492B-A41F-407A-BFBE-3493137A7771}" name="Type_Code"/>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875AB27-F0B7-4D98-AE2D-2E3F7EC45875}" name="Project_Status" displayName="Project_Status" ref="X4:Y7" totalsRowShown="0" headerRowDxfId="8" dataDxfId="7">
  <autoFilter ref="X4:Y7" xr:uid="{2875AB27-F0B7-4D98-AE2D-2E3F7EC45875}"/>
  <tableColumns count="2">
    <tableColumn id="1" xr3:uid="{D4D2D342-58B4-45A6-8EA9-B4539F8964D4}" name="Status" dataDxfId="6"/>
    <tableColumn id="2" xr3:uid="{65790664-9662-4A4D-B194-E8C30C18C022}" name="Flag"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Month" xr10:uid="{94E989C6-77EE-4C49-9713-A58ED88072F2}" sourceName="[Daily_Work].[Month]">
  <pivotTables>
    <pivotTable tabId="11" name="Date_Salary"/>
  </pivotTables>
  <state minimalRefreshVersion="6" lastRefreshVersion="6" pivotCacheId="30928860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onth" xr10:uid="{ADEEA379-3355-48A4-B454-9953A7CE2AB4}" cache="Timeline_Month" caption="Month" level="2" selectionLevel="2" scrollPosition="2026-07-11T00:00:00" style="Timeline Style 1"/>
</timeline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4.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3.xml"/><Relationship Id="rId13" Type="http://schemas.openxmlformats.org/officeDocument/2006/relationships/table" Target="../tables/table18.xml"/><Relationship Id="rId18" Type="http://schemas.openxmlformats.org/officeDocument/2006/relationships/table" Target="../tables/table23.xml"/><Relationship Id="rId3" Type="http://schemas.openxmlformats.org/officeDocument/2006/relationships/table" Target="../tables/table8.xml"/><Relationship Id="rId21" Type="http://schemas.openxmlformats.org/officeDocument/2006/relationships/table" Target="../tables/table26.xml"/><Relationship Id="rId7" Type="http://schemas.openxmlformats.org/officeDocument/2006/relationships/table" Target="../tables/table12.xml"/><Relationship Id="rId12" Type="http://schemas.openxmlformats.org/officeDocument/2006/relationships/table" Target="../tables/table17.xml"/><Relationship Id="rId17" Type="http://schemas.openxmlformats.org/officeDocument/2006/relationships/table" Target="../tables/table22.xml"/><Relationship Id="rId2" Type="http://schemas.openxmlformats.org/officeDocument/2006/relationships/table" Target="../tables/table7.xml"/><Relationship Id="rId16" Type="http://schemas.openxmlformats.org/officeDocument/2006/relationships/table" Target="../tables/table21.xml"/><Relationship Id="rId20" Type="http://schemas.openxmlformats.org/officeDocument/2006/relationships/table" Target="../tables/table25.xml"/><Relationship Id="rId1" Type="http://schemas.openxmlformats.org/officeDocument/2006/relationships/printerSettings" Target="../printerSettings/printerSettings2.bin"/><Relationship Id="rId6" Type="http://schemas.openxmlformats.org/officeDocument/2006/relationships/table" Target="../tables/table11.xml"/><Relationship Id="rId11" Type="http://schemas.openxmlformats.org/officeDocument/2006/relationships/table" Target="../tables/table16.xml"/><Relationship Id="rId5" Type="http://schemas.openxmlformats.org/officeDocument/2006/relationships/table" Target="../tables/table10.xml"/><Relationship Id="rId15" Type="http://schemas.openxmlformats.org/officeDocument/2006/relationships/table" Target="../tables/table20.xml"/><Relationship Id="rId10" Type="http://schemas.openxmlformats.org/officeDocument/2006/relationships/table" Target="../tables/table15.xml"/><Relationship Id="rId19" Type="http://schemas.openxmlformats.org/officeDocument/2006/relationships/table" Target="../tables/table24.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88888"/>
  </sheetPr>
  <dimension ref="A1:H11"/>
  <sheetViews>
    <sheetView zoomScaleNormal="100" workbookViewId="0"/>
  </sheetViews>
  <sheetFormatPr defaultColWidth="8.68359375" defaultRowHeight="14.4"/>
  <sheetData>
    <row r="1" spans="1:8">
      <c r="A1" t="s">
        <v>0</v>
      </c>
      <c r="B1" t="s">
        <v>1</v>
      </c>
      <c r="D1" t="s">
        <v>2</v>
      </c>
      <c r="F1" t="s">
        <v>3</v>
      </c>
      <c r="H1" t="s">
        <v>4</v>
      </c>
    </row>
    <row r="2" spans="1:8">
      <c r="A2" t="s">
        <v>5</v>
      </c>
      <c r="B2" s="1" t="s">
        <v>6</v>
      </c>
      <c r="D2" s="1" t="s">
        <v>7</v>
      </c>
      <c r="F2" s="1" t="s">
        <v>8</v>
      </c>
      <c r="H2" s="1" t="s">
        <v>9</v>
      </c>
    </row>
    <row r="3" spans="1:8">
      <c r="A3" t="s">
        <v>10</v>
      </c>
      <c r="B3" s="1" t="s">
        <v>11</v>
      </c>
      <c r="D3" s="1" t="s">
        <v>12</v>
      </c>
      <c r="F3" s="1" t="s">
        <v>13</v>
      </c>
      <c r="H3" s="1" t="s">
        <v>14</v>
      </c>
    </row>
    <row r="4" spans="1:8">
      <c r="A4" t="s">
        <v>15</v>
      </c>
      <c r="B4" s="1" t="s">
        <v>16</v>
      </c>
      <c r="D4" s="1" t="s">
        <v>17</v>
      </c>
      <c r="F4" s="1" t="s">
        <v>18</v>
      </c>
      <c r="H4" s="1" t="s">
        <v>19</v>
      </c>
    </row>
    <row r="5" spans="1:8">
      <c r="A5" t="s">
        <v>20</v>
      </c>
      <c r="B5" s="1" t="s">
        <v>21</v>
      </c>
      <c r="F5" s="1" t="s">
        <v>22</v>
      </c>
      <c r="H5" s="1" t="s">
        <v>23</v>
      </c>
    </row>
    <row r="6" spans="1:8">
      <c r="A6" t="s">
        <v>24</v>
      </c>
      <c r="B6" s="1" t="s">
        <v>25</v>
      </c>
    </row>
    <row r="7" spans="1:8">
      <c r="A7" t="s">
        <v>26</v>
      </c>
      <c r="B7" s="1" t="s">
        <v>27</v>
      </c>
    </row>
    <row r="8" spans="1:8">
      <c r="A8" t="s">
        <v>28</v>
      </c>
      <c r="B8" s="1" t="s">
        <v>29</v>
      </c>
    </row>
    <row r="9" spans="1:8">
      <c r="A9" t="s">
        <v>30</v>
      </c>
      <c r="B9" s="1" t="s">
        <v>31</v>
      </c>
    </row>
    <row r="10" spans="1:8">
      <c r="A10" t="s">
        <v>32</v>
      </c>
      <c r="B10" s="1" t="s">
        <v>33</v>
      </c>
    </row>
    <row r="11" spans="1:8">
      <c r="A11" t="s">
        <v>34</v>
      </c>
      <c r="B11" s="1"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6C1E6-43DD-4FC5-9DB5-1F47441DD03E}">
  <dimension ref="AC1:AC24"/>
  <sheetViews>
    <sheetView showGridLines="0" rightToLeft="1" tabSelected="1" topLeftCell="B1" zoomScale="85" zoomScaleNormal="85" workbookViewId="0">
      <selection activeCell="B32" sqref="B32"/>
    </sheetView>
  </sheetViews>
  <sheetFormatPr defaultRowHeight="14.4"/>
  <cols>
    <col min="5" max="5" width="8.83984375" customWidth="1"/>
    <col min="6" max="6" width="17.83984375" customWidth="1"/>
  </cols>
  <sheetData>
    <row r="1" ht="38.4" customHeight="1"/>
    <row r="24" spans="29:29" ht="18.3">
      <c r="AC24" s="10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D4265-A053-4D5B-B069-9192D0E7ECB3}">
  <dimension ref="A1"/>
  <sheetViews>
    <sheetView showGridLines="0" rightToLeft="1" zoomScale="85" zoomScaleNormal="85" workbookViewId="0">
      <selection activeCell="D8" sqref="D8"/>
    </sheetView>
  </sheetViews>
  <sheetFormatPr defaultRowHeight="14.4"/>
  <cols>
    <col min="6" max="6" width="17.83984375" customWidth="1"/>
  </cols>
  <sheetData>
    <row r="1" ht="38.4" customHeigh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79F86-7A93-4C5B-B6DF-A930C3494850}">
  <dimension ref="AC1:AC24"/>
  <sheetViews>
    <sheetView showGridLines="0" rightToLeft="1" topLeftCell="B1" zoomScale="85" zoomScaleNormal="85" workbookViewId="0">
      <selection activeCell="B15" sqref="B15"/>
    </sheetView>
  </sheetViews>
  <sheetFormatPr defaultRowHeight="14.4"/>
  <cols>
    <col min="5" max="5" width="8.83984375" customWidth="1"/>
    <col min="6" max="6" width="17.83984375" customWidth="1"/>
    <col min="21" max="21" width="15.734375" customWidth="1"/>
  </cols>
  <sheetData>
    <row r="1" ht="38.4" customHeight="1"/>
    <row r="24" spans="29:29" ht="18.3">
      <c r="AC24" s="10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1A549-9272-4F39-8A4F-4DB7CA1EECEC}">
  <dimension ref="A1:BA96"/>
  <sheetViews>
    <sheetView rightToLeft="1" zoomScale="85" zoomScaleNormal="85" workbookViewId="0">
      <selection activeCell="C3" sqref="C3:J4"/>
    </sheetView>
  </sheetViews>
  <sheetFormatPr defaultRowHeight="14.4"/>
  <cols>
    <col min="1" max="1" width="8.9453125" bestFit="1" customWidth="1"/>
    <col min="2" max="2" width="14.68359375" bestFit="1" customWidth="1"/>
    <col min="3" max="3" width="8.9453125" bestFit="1" customWidth="1"/>
    <col min="4" max="4" width="11.68359375" bestFit="1" customWidth="1"/>
    <col min="5" max="5" width="9.20703125" bestFit="1" customWidth="1"/>
    <col min="6" max="6" width="10.68359375" bestFit="1" customWidth="1"/>
    <col min="7" max="7" width="19" bestFit="1" customWidth="1"/>
    <col min="8" max="8" width="19.1015625" bestFit="1" customWidth="1"/>
    <col min="9" max="9" width="15.5234375" bestFit="1" customWidth="1"/>
    <col min="10" max="10" width="13" bestFit="1" customWidth="1"/>
    <col min="11" max="11" width="15.5234375" bestFit="1" customWidth="1"/>
    <col min="14" max="14" width="13.1015625" customWidth="1"/>
    <col min="15" max="16" width="13.3671875" customWidth="1"/>
    <col min="23" max="23" width="12.26171875" bestFit="1" customWidth="1"/>
    <col min="24" max="24" width="11.68359375" bestFit="1" customWidth="1"/>
    <col min="26" max="27" width="18.7890625" customWidth="1"/>
    <col min="34" max="34" width="3.5234375" customWidth="1"/>
    <col min="35" max="35" width="12.26171875" bestFit="1" customWidth="1"/>
    <col min="36" max="36" width="14.41796875" bestFit="1" customWidth="1"/>
    <col min="37" max="37" width="13" customWidth="1"/>
    <col min="38" max="38" width="12.26171875" bestFit="1" customWidth="1"/>
    <col min="39" max="39" width="14.41796875" bestFit="1" customWidth="1"/>
    <col min="41" max="42" width="17.47265625" customWidth="1"/>
    <col min="45" max="45" width="12.26171875" bestFit="1" customWidth="1"/>
    <col min="46" max="46" width="14.41796875" bestFit="1" customWidth="1"/>
    <col min="48" max="48" width="18.83984375" bestFit="1" customWidth="1"/>
    <col min="49" max="49" width="14.41796875" bestFit="1" customWidth="1"/>
    <col min="51" max="51" width="15.1015625" bestFit="1" customWidth="1"/>
    <col min="52" max="52" width="14.47265625" bestFit="1" customWidth="1"/>
    <col min="53" max="53" width="16.7890625" bestFit="1" customWidth="1"/>
    <col min="58" max="58" width="14.47265625" bestFit="1" customWidth="1"/>
    <col min="59" max="60" width="16.7890625" bestFit="1" customWidth="1"/>
  </cols>
  <sheetData>
    <row r="1" spans="1:53" ht="20.399999999999999">
      <c r="A1" s="103" t="s">
        <v>802</v>
      </c>
      <c r="B1" s="103"/>
      <c r="C1" s="103"/>
      <c r="D1" s="103"/>
      <c r="E1" s="103"/>
      <c r="F1" s="103"/>
      <c r="G1" s="103"/>
      <c r="H1" s="103"/>
      <c r="I1" s="103"/>
      <c r="J1" s="103"/>
      <c r="K1" s="103"/>
      <c r="L1" s="103"/>
      <c r="M1" s="103"/>
    </row>
    <row r="2" spans="1:53" ht="18.3">
      <c r="C2" t="s">
        <v>659</v>
      </c>
      <c r="F2" t="s">
        <v>660</v>
      </c>
      <c r="G2" t="s">
        <v>663</v>
      </c>
      <c r="AG2" s="105" t="s">
        <v>955</v>
      </c>
      <c r="AH2" s="105"/>
      <c r="AI2" s="105"/>
      <c r="AJ2" s="105"/>
      <c r="AK2" s="105"/>
      <c r="AL2" s="105"/>
      <c r="AM2" s="105"/>
      <c r="AN2" s="105"/>
      <c r="AO2" s="105"/>
      <c r="AP2" s="105"/>
      <c r="AQ2" s="105"/>
      <c r="AR2" s="105"/>
      <c r="AS2" s="105"/>
      <c r="AT2" s="105"/>
      <c r="AU2" s="105"/>
      <c r="AV2" s="105"/>
      <c r="AW2" s="105"/>
    </row>
    <row r="3" spans="1:53">
      <c r="C3" t="s">
        <v>658</v>
      </c>
      <c r="D3" t="s">
        <v>803</v>
      </c>
      <c r="E3" t="s">
        <v>804</v>
      </c>
      <c r="F3" t="s">
        <v>661</v>
      </c>
      <c r="G3" t="s">
        <v>809</v>
      </c>
      <c r="H3" t="s">
        <v>810</v>
      </c>
      <c r="I3" t="s">
        <v>811</v>
      </c>
      <c r="J3" t="s">
        <v>816</v>
      </c>
    </row>
    <row r="4" spans="1:53">
      <c r="C4">
        <v>12846.249999208003</v>
      </c>
      <c r="D4">
        <v>2299.9999992000003</v>
      </c>
      <c r="E4">
        <v>1100.0000000800001</v>
      </c>
      <c r="F4">
        <v>1680.7812499010001</v>
      </c>
      <c r="G4">
        <v>12846.249999208003</v>
      </c>
      <c r="H4">
        <v>5366.2499998479998</v>
      </c>
      <c r="I4" t="s">
        <v>953</v>
      </c>
      <c r="J4">
        <v>8</v>
      </c>
      <c r="AI4" t="s">
        <v>956</v>
      </c>
      <c r="AJ4" t="s">
        <v>959</v>
      </c>
    </row>
    <row r="5" spans="1:53">
      <c r="C5" s="102">
        <f>GETPIVOTDATA("[Measures].[Net Salary]",$C$3)</f>
        <v>12846.249999208003</v>
      </c>
      <c r="D5" s="102">
        <f>GETPIVOTDATA("[Measures].[Max Salary]",$C$3)</f>
        <v>2299.9999992000003</v>
      </c>
      <c r="E5" s="102">
        <f>GETPIVOTDATA("[Measures].[Min Salary]",$C$3)</f>
        <v>1100.0000000800001</v>
      </c>
      <c r="F5" s="102">
        <f>GETPIVOTDATA("[Measures].[Avg Salary]",$C$3)</f>
        <v>1680.7812499010001</v>
      </c>
      <c r="G5" s="102">
        <f>GETPIVOTDATA("[Measures].[Selected Month Salary]",$C$3)</f>
        <v>12846.249999208003</v>
      </c>
      <c r="H5" s="102">
        <f>GETPIVOTDATA("[Measures].[Previous Month Salary]",$C$3)</f>
        <v>5366.2499998479998</v>
      </c>
      <c r="I5" t="str">
        <f>GETPIVOTDATA("[Measures].[Difference Display]",$C$3)</f>
        <v>↑ 7,480</v>
      </c>
      <c r="J5">
        <f>GETPIVOTDATA("[Measures].[Workers Count]",$C$3)</f>
        <v>8</v>
      </c>
      <c r="O5" s="104" t="s">
        <v>805</v>
      </c>
      <c r="P5" s="104"/>
      <c r="AI5" t="s">
        <v>662</v>
      </c>
      <c r="AJ5" t="s">
        <v>958</v>
      </c>
      <c r="AK5" t="s">
        <v>960</v>
      </c>
      <c r="AL5" t="s">
        <v>987</v>
      </c>
    </row>
    <row r="6" spans="1:53">
      <c r="H6" t="s">
        <v>808</v>
      </c>
      <c r="AG6">
        <f>GETPIVOTDATA("[Measures].[Employee Count]",$AI$5)</f>
        <v>26</v>
      </c>
      <c r="AI6">
        <v>26</v>
      </c>
      <c r="AJ6">
        <v>14</v>
      </c>
      <c r="AK6">
        <v>67</v>
      </c>
      <c r="AL6">
        <v>26</v>
      </c>
    </row>
    <row r="7" spans="1:53">
      <c r="D7" s="104" t="s">
        <v>807</v>
      </c>
      <c r="E7" s="104"/>
      <c r="O7" s="88" t="s">
        <v>665</v>
      </c>
      <c r="P7" t="s">
        <v>658</v>
      </c>
      <c r="W7" s="88" t="s">
        <v>665</v>
      </c>
      <c r="X7" t="s">
        <v>658</v>
      </c>
      <c r="AJ7">
        <f>GETPIVOTDATA("[Measures].[Count of Dept_ID 2]",$AJ$5)</f>
        <v>14</v>
      </c>
      <c r="AK7">
        <f>GETPIVOTDATA("[Measures].[Count of Project_ID]",$AK$5)</f>
        <v>67</v>
      </c>
    </row>
    <row r="8" spans="1:53">
      <c r="A8" s="88" t="s">
        <v>665</v>
      </c>
      <c r="B8" t="s">
        <v>658</v>
      </c>
      <c r="G8" s="88" t="s">
        <v>665</v>
      </c>
      <c r="H8" t="s">
        <v>658</v>
      </c>
      <c r="O8" s="22" t="s">
        <v>6</v>
      </c>
      <c r="W8" s="22" t="s">
        <v>806</v>
      </c>
      <c r="X8">
        <v>-750</v>
      </c>
      <c r="AI8" s="104" t="s">
        <v>957</v>
      </c>
      <c r="AJ8" s="104"/>
      <c r="AL8" s="104" t="s">
        <v>984</v>
      </c>
      <c r="AM8" s="104"/>
      <c r="AO8" s="104" t="s">
        <v>988</v>
      </c>
      <c r="AP8" s="104"/>
      <c r="AS8" s="104" t="s">
        <v>989</v>
      </c>
      <c r="AT8" s="104"/>
      <c r="AV8" s="104" t="s">
        <v>990</v>
      </c>
      <c r="AW8" s="104"/>
      <c r="AZ8" s="104" t="s">
        <v>986</v>
      </c>
      <c r="BA8" s="104"/>
    </row>
    <row r="9" spans="1:53">
      <c r="A9" s="22" t="s">
        <v>420</v>
      </c>
      <c r="B9">
        <v>4450.833333333333</v>
      </c>
      <c r="G9" s="22" t="s">
        <v>427</v>
      </c>
      <c r="H9">
        <v>960.8333332586667</v>
      </c>
      <c r="O9" s="90" t="s">
        <v>5</v>
      </c>
      <c r="P9">
        <v>2780.0000000800001</v>
      </c>
      <c r="W9" s="91">
        <v>46082</v>
      </c>
      <c r="X9">
        <v>5366.2499998480007</v>
      </c>
      <c r="AI9" s="88" t="s">
        <v>665</v>
      </c>
      <c r="AJ9" t="s">
        <v>812</v>
      </c>
      <c r="AL9" s="88" t="s">
        <v>665</v>
      </c>
      <c r="AM9" t="s">
        <v>812</v>
      </c>
      <c r="AO9" s="88" t="s">
        <v>665</v>
      </c>
      <c r="AP9" t="s">
        <v>952</v>
      </c>
      <c r="AS9" s="88" t="s">
        <v>665</v>
      </c>
      <c r="AT9" t="s">
        <v>812</v>
      </c>
      <c r="AV9" s="88" t="s">
        <v>665</v>
      </c>
      <c r="AW9" t="s">
        <v>812</v>
      </c>
      <c r="AZ9" s="88" t="s">
        <v>665</v>
      </c>
      <c r="BA9" t="s">
        <v>985</v>
      </c>
    </row>
    <row r="10" spans="1:53">
      <c r="A10" s="22" t="s">
        <v>422</v>
      </c>
      <c r="B10">
        <v>3899.9999992799994</v>
      </c>
      <c r="G10" s="22" t="s">
        <v>59</v>
      </c>
      <c r="H10">
        <v>1100.0000000800001</v>
      </c>
      <c r="O10" s="22" t="s">
        <v>16</v>
      </c>
      <c r="W10" s="91">
        <v>46113</v>
      </c>
      <c r="X10">
        <v>6729.9999993599995</v>
      </c>
      <c r="AI10" s="22" t="s">
        <v>830</v>
      </c>
      <c r="AJ10">
        <v>2</v>
      </c>
      <c r="AL10" s="22" t="s">
        <v>138</v>
      </c>
      <c r="AM10">
        <v>1</v>
      </c>
      <c r="AO10" s="22" t="s">
        <v>408</v>
      </c>
      <c r="AP10">
        <v>1</v>
      </c>
      <c r="AS10" s="22" t="s">
        <v>6</v>
      </c>
      <c r="AT10">
        <v>6</v>
      </c>
      <c r="AV10" s="22" t="s">
        <v>378</v>
      </c>
      <c r="AW10">
        <v>8</v>
      </c>
      <c r="AZ10" s="22" t="s">
        <v>830</v>
      </c>
    </row>
    <row r="11" spans="1:53">
      <c r="A11" s="22" t="s">
        <v>421</v>
      </c>
      <c r="B11">
        <v>4495.4166665946659</v>
      </c>
      <c r="G11" s="22" t="s">
        <v>143</v>
      </c>
      <c r="H11">
        <v>1233.3333334133333</v>
      </c>
      <c r="O11" s="90" t="s">
        <v>15</v>
      </c>
      <c r="P11">
        <v>2795.4166665146663</v>
      </c>
      <c r="W11" s="22" t="s">
        <v>666</v>
      </c>
      <c r="X11">
        <v>12846.249999208003</v>
      </c>
      <c r="AI11" s="22" t="s">
        <v>46</v>
      </c>
      <c r="AJ11">
        <v>2</v>
      </c>
      <c r="AL11" s="22" t="s">
        <v>121</v>
      </c>
      <c r="AM11">
        <v>1</v>
      </c>
      <c r="AO11" s="22" t="s">
        <v>404</v>
      </c>
      <c r="AP11">
        <v>3</v>
      </c>
      <c r="AS11" s="22" t="s">
        <v>16</v>
      </c>
      <c r="AT11">
        <v>10</v>
      </c>
      <c r="AV11" s="22" t="s">
        <v>377</v>
      </c>
      <c r="AW11">
        <v>18</v>
      </c>
      <c r="AZ11" s="90" t="s">
        <v>427</v>
      </c>
      <c r="BA11">
        <v>3200</v>
      </c>
    </row>
    <row r="12" spans="1:53">
      <c r="A12" s="22" t="s">
        <v>666</v>
      </c>
      <c r="B12">
        <v>12846.249999208003</v>
      </c>
      <c r="G12" s="22" t="s">
        <v>951</v>
      </c>
      <c r="H12">
        <v>1437.4999999199999</v>
      </c>
      <c r="O12" s="22" t="s">
        <v>11</v>
      </c>
      <c r="AI12" s="22" t="s">
        <v>831</v>
      </c>
      <c r="AJ12">
        <v>22</v>
      </c>
      <c r="AL12" s="22" t="s">
        <v>139</v>
      </c>
      <c r="AM12">
        <v>1</v>
      </c>
      <c r="AO12" s="22" t="s">
        <v>411</v>
      </c>
      <c r="AP12">
        <v>22</v>
      </c>
      <c r="AS12" s="22" t="s">
        <v>11</v>
      </c>
      <c r="AT12">
        <v>10</v>
      </c>
      <c r="AV12" s="22" t="s">
        <v>666</v>
      </c>
      <c r="AW12">
        <v>26</v>
      </c>
      <c r="AZ12" s="22" t="s">
        <v>46</v>
      </c>
    </row>
    <row r="13" spans="1:53">
      <c r="G13" s="22" t="s">
        <v>141</v>
      </c>
      <c r="H13">
        <v>1680</v>
      </c>
      <c r="O13" s="90" t="s">
        <v>10</v>
      </c>
      <c r="P13">
        <v>7270.8333326133325</v>
      </c>
      <c r="AI13" s="22" t="s">
        <v>666</v>
      </c>
      <c r="AJ13">
        <v>26</v>
      </c>
      <c r="AL13" s="22" t="s">
        <v>123</v>
      </c>
      <c r="AM13">
        <v>1</v>
      </c>
      <c r="AO13" s="22" t="s">
        <v>666</v>
      </c>
      <c r="AP13">
        <v>26</v>
      </c>
      <c r="AS13" s="22" t="s">
        <v>666</v>
      </c>
      <c r="AT13">
        <v>26</v>
      </c>
      <c r="AZ13" s="90" t="s">
        <v>427</v>
      </c>
      <c r="BA13">
        <v>3400</v>
      </c>
    </row>
    <row r="14" spans="1:53">
      <c r="G14" s="22" t="s">
        <v>121</v>
      </c>
      <c r="H14">
        <v>1934.5833332560001</v>
      </c>
      <c r="O14" s="22" t="s">
        <v>666</v>
      </c>
      <c r="P14">
        <v>12846.249999208003</v>
      </c>
      <c r="AL14" s="22" t="s">
        <v>951</v>
      </c>
      <c r="AM14">
        <v>1</v>
      </c>
      <c r="AZ14" s="22" t="s">
        <v>831</v>
      </c>
    </row>
    <row r="15" spans="1:53">
      <c r="G15" s="22" t="s">
        <v>140</v>
      </c>
      <c r="H15">
        <v>4499.9999992799994</v>
      </c>
      <c r="AL15" s="22" t="s">
        <v>122</v>
      </c>
      <c r="AM15">
        <v>1</v>
      </c>
      <c r="AZ15" s="90" t="s">
        <v>121</v>
      </c>
      <c r="BA15">
        <v>1700</v>
      </c>
    </row>
    <row r="16" spans="1:53">
      <c r="G16" s="22" t="s">
        <v>666</v>
      </c>
      <c r="H16">
        <v>12846.249999208003</v>
      </c>
      <c r="AL16" s="22" t="s">
        <v>813</v>
      </c>
      <c r="AM16">
        <v>1</v>
      </c>
      <c r="AZ16" s="90" t="s">
        <v>56</v>
      </c>
      <c r="BA16">
        <v>2600</v>
      </c>
    </row>
    <row r="17" spans="1:53">
      <c r="AL17" s="22" t="s">
        <v>141</v>
      </c>
      <c r="AM17">
        <v>2</v>
      </c>
      <c r="AZ17" s="90" t="s">
        <v>951</v>
      </c>
      <c r="BA17">
        <v>1400</v>
      </c>
    </row>
    <row r="18" spans="1:53">
      <c r="AL18" s="22" t="s">
        <v>143</v>
      </c>
      <c r="AM18">
        <v>2</v>
      </c>
      <c r="AZ18" s="90" t="s">
        <v>59</v>
      </c>
      <c r="BA18">
        <v>3500</v>
      </c>
    </row>
    <row r="19" spans="1:53">
      <c r="AL19" s="22" t="s">
        <v>59</v>
      </c>
      <c r="AM19">
        <v>2</v>
      </c>
      <c r="AZ19" s="90" t="s">
        <v>140</v>
      </c>
      <c r="BA19">
        <v>4500</v>
      </c>
    </row>
    <row r="20" spans="1:53">
      <c r="AL20" s="22" t="s">
        <v>133</v>
      </c>
      <c r="AM20">
        <v>2</v>
      </c>
      <c r="AZ20" s="90" t="s">
        <v>122</v>
      </c>
      <c r="BA20">
        <v>2500</v>
      </c>
    </row>
    <row r="21" spans="1:53">
      <c r="A21" s="88" t="s">
        <v>665</v>
      </c>
      <c r="B21" t="s">
        <v>658</v>
      </c>
      <c r="AL21" s="22" t="s">
        <v>56</v>
      </c>
      <c r="AM21">
        <v>2</v>
      </c>
      <c r="AZ21" s="90" t="s">
        <v>139</v>
      </c>
      <c r="BA21">
        <v>2500</v>
      </c>
    </row>
    <row r="22" spans="1:53">
      <c r="A22" s="22" t="s">
        <v>240</v>
      </c>
      <c r="B22">
        <v>760.8333332586667</v>
      </c>
      <c r="AL22" s="22" t="s">
        <v>140</v>
      </c>
      <c r="AM22">
        <v>2</v>
      </c>
      <c r="AZ22" s="90" t="s">
        <v>138</v>
      </c>
      <c r="BA22">
        <v>3500</v>
      </c>
    </row>
    <row r="23" spans="1:53">
      <c r="A23" s="22" t="s">
        <v>838</v>
      </c>
      <c r="B23">
        <v>930</v>
      </c>
      <c r="AL23" s="22" t="s">
        <v>65</v>
      </c>
      <c r="AM23">
        <v>3</v>
      </c>
      <c r="AZ23" s="90" t="s">
        <v>141</v>
      </c>
      <c r="BA23">
        <v>4000</v>
      </c>
    </row>
    <row r="24" spans="1:53">
      <c r="A24" s="22" t="s">
        <v>191</v>
      </c>
      <c r="B24">
        <v>1084.5833332560001</v>
      </c>
      <c r="AL24" s="22" t="s">
        <v>427</v>
      </c>
      <c r="AM24">
        <v>4</v>
      </c>
      <c r="AZ24" s="90" t="s">
        <v>65</v>
      </c>
      <c r="BA24">
        <v>5000</v>
      </c>
    </row>
    <row r="25" spans="1:53">
      <c r="A25" s="22" t="s">
        <v>858</v>
      </c>
      <c r="B25">
        <v>1450.0000000800001</v>
      </c>
      <c r="AL25" s="22" t="s">
        <v>666</v>
      </c>
      <c r="AM25">
        <v>26</v>
      </c>
      <c r="AZ25" s="90" t="s">
        <v>143</v>
      </c>
      <c r="BA25">
        <v>2700</v>
      </c>
    </row>
    <row r="26" spans="1:53">
      <c r="A26" s="22" t="s">
        <v>854</v>
      </c>
      <c r="B26">
        <v>1549.9999992000003</v>
      </c>
      <c r="AZ26" s="90" t="s">
        <v>813</v>
      </c>
      <c r="BA26">
        <v>1700</v>
      </c>
    </row>
    <row r="27" spans="1:53">
      <c r="A27" s="22" t="s">
        <v>666</v>
      </c>
      <c r="B27">
        <v>8775.4166657946662</v>
      </c>
      <c r="AZ27" s="90" t="s">
        <v>123</v>
      </c>
      <c r="BA27">
        <v>1300</v>
      </c>
    </row>
    <row r="28" spans="1:53">
      <c r="AZ28" s="90" t="s">
        <v>133</v>
      </c>
      <c r="BA28">
        <v>3100</v>
      </c>
    </row>
    <row r="29" spans="1:53">
      <c r="AZ29" s="22" t="s">
        <v>666</v>
      </c>
      <c r="BA29">
        <v>46600</v>
      </c>
    </row>
    <row r="30" spans="1:53">
      <c r="AO30" s="88" t="s">
        <v>665</v>
      </c>
      <c r="AP30" t="s">
        <v>812</v>
      </c>
    </row>
    <row r="31" spans="1:53">
      <c r="AO31" s="22" t="s">
        <v>973</v>
      </c>
      <c r="AP31">
        <v>1</v>
      </c>
    </row>
    <row r="32" spans="1:53">
      <c r="AO32" s="22" t="s">
        <v>972</v>
      </c>
      <c r="AP32">
        <v>1</v>
      </c>
    </row>
    <row r="33" spans="1:42">
      <c r="AO33" s="22" t="s">
        <v>965</v>
      </c>
      <c r="AP33">
        <v>4</v>
      </c>
    </row>
    <row r="34" spans="1:42">
      <c r="AO34" s="22" t="s">
        <v>979</v>
      </c>
      <c r="AP34">
        <v>2</v>
      </c>
    </row>
    <row r="35" spans="1:42">
      <c r="AO35" s="22" t="s">
        <v>967</v>
      </c>
      <c r="AP35">
        <v>2</v>
      </c>
    </row>
    <row r="36" spans="1:42">
      <c r="AO36" s="22" t="s">
        <v>962</v>
      </c>
      <c r="AP36">
        <v>2</v>
      </c>
    </row>
    <row r="37" spans="1:42">
      <c r="AO37" s="22" t="s">
        <v>966</v>
      </c>
      <c r="AP37">
        <v>10</v>
      </c>
    </row>
    <row r="38" spans="1:42">
      <c r="AO38" s="22" t="s">
        <v>963</v>
      </c>
      <c r="AP38">
        <v>4</v>
      </c>
    </row>
    <row r="39" spans="1:42">
      <c r="AO39" s="22" t="s">
        <v>666</v>
      </c>
      <c r="AP39">
        <v>26</v>
      </c>
    </row>
    <row r="48" spans="1:42" ht="20.399999999999999">
      <c r="A48" s="103" t="s">
        <v>814</v>
      </c>
      <c r="B48" s="103"/>
      <c r="C48" s="103"/>
      <c r="D48" s="103"/>
      <c r="E48" s="103"/>
      <c r="F48" s="103"/>
      <c r="G48" s="103"/>
      <c r="H48" s="103"/>
      <c r="I48" s="103"/>
      <c r="J48" s="103"/>
      <c r="K48" s="103"/>
      <c r="L48" s="103"/>
      <c r="M48" s="103"/>
    </row>
    <row r="49" spans="2:32">
      <c r="B49" t="s">
        <v>815</v>
      </c>
    </row>
    <row r="50" spans="2:32">
      <c r="B50" t="s">
        <v>815</v>
      </c>
      <c r="C50" t="s">
        <v>664</v>
      </c>
      <c r="D50" t="s">
        <v>816</v>
      </c>
      <c r="E50" t="s">
        <v>817</v>
      </c>
      <c r="F50" t="s">
        <v>818</v>
      </c>
      <c r="G50" t="s">
        <v>821</v>
      </c>
      <c r="H50" t="s">
        <v>822</v>
      </c>
      <c r="I50" t="s">
        <v>954</v>
      </c>
      <c r="J50" t="s">
        <v>992</v>
      </c>
      <c r="K50" t="s">
        <v>993</v>
      </c>
      <c r="L50" t="s">
        <v>994</v>
      </c>
      <c r="M50" t="s">
        <v>995</v>
      </c>
      <c r="N50" t="s">
        <v>819</v>
      </c>
      <c r="O50" t="s">
        <v>820</v>
      </c>
      <c r="P50" t="s">
        <v>996</v>
      </c>
    </row>
    <row r="51" spans="2:32">
      <c r="B51">
        <v>13596.25</v>
      </c>
      <c r="C51">
        <v>13596.249999208003</v>
      </c>
      <c r="D51">
        <v>8</v>
      </c>
      <c r="E51">
        <v>235</v>
      </c>
      <c r="F51">
        <v>29.375</v>
      </c>
      <c r="G51">
        <v>235</v>
      </c>
      <c r="H51">
        <v>79</v>
      </c>
      <c r="I51">
        <v>3</v>
      </c>
      <c r="J51">
        <v>466.24999999999994</v>
      </c>
      <c r="K51">
        <v>13129.999999208003</v>
      </c>
      <c r="L51">
        <v>235</v>
      </c>
      <c r="M51">
        <v>1</v>
      </c>
      <c r="N51">
        <v>9.875</v>
      </c>
      <c r="O51">
        <v>1699.53125</v>
      </c>
      <c r="P51">
        <v>26</v>
      </c>
    </row>
    <row r="53" spans="2:32">
      <c r="B53">
        <f>GETPIVOTDATA("[Measures].[Project Cost]",$B$50)</f>
        <v>13596.25</v>
      </c>
      <c r="C53">
        <f>GETPIVOTDATA("[Measures].[Total Work Cost]",$B$50)</f>
        <v>13596.249999208003</v>
      </c>
      <c r="D53">
        <f>GETPIVOTDATA("[Measures].[Workers Count]",$B$50)</f>
        <v>8</v>
      </c>
      <c r="E53">
        <f>GETPIVOTDATA("[Measures].[Total Work Days]",$B$50)</f>
        <v>235</v>
      </c>
      <c r="F53">
        <f>GETPIVOTDATA("[Measures].[Days per Worker]",$B$50)</f>
        <v>29.375</v>
      </c>
      <c r="G53">
        <f>GETPIVOTDATA("[Measures].[Sum of Days_Work]",$B$50)</f>
        <v>235</v>
      </c>
      <c r="H53">
        <f>GETPIVOTDATA("[Measures].[Sum of OT_Hrs]",$B$50)</f>
        <v>79</v>
      </c>
      <c r="I53">
        <f>GETPIVOTDATA("[Measures].[Absent Days]",$B$50)</f>
        <v>3</v>
      </c>
      <c r="J53">
        <f>GETPIVOTDATA("[Measures].[OT Cost]",$B$50)</f>
        <v>466.24999999999994</v>
      </c>
      <c r="K53">
        <f>GETPIVOTDATA("[Measures].[Normal Cost]",$B$50)</f>
        <v>13129.999999208003</v>
      </c>
      <c r="P53">
        <f>GETPIVOTDATA("[Measures].[Projects per Employee]",$B$50)</f>
        <v>26</v>
      </c>
    </row>
    <row r="55" spans="2:32">
      <c r="N55" s="88" t="s">
        <v>665</v>
      </c>
      <c r="O55" t="s">
        <v>825</v>
      </c>
      <c r="P55" t="s">
        <v>826</v>
      </c>
      <c r="Z55" s="92"/>
      <c r="AA55" s="93"/>
      <c r="AB55" s="94"/>
      <c r="AD55" s="88" t="s">
        <v>665</v>
      </c>
      <c r="AE55" t="s">
        <v>825</v>
      </c>
      <c r="AF55" t="s">
        <v>826</v>
      </c>
    </row>
    <row r="56" spans="2:32">
      <c r="N56" s="22" t="s">
        <v>27</v>
      </c>
      <c r="O56">
        <v>0</v>
      </c>
      <c r="P56">
        <v>0</v>
      </c>
      <c r="Z56" s="95"/>
      <c r="AA56" s="96"/>
      <c r="AB56" s="97"/>
      <c r="AD56" s="22" t="s">
        <v>27</v>
      </c>
      <c r="AE56">
        <v>0</v>
      </c>
      <c r="AF56">
        <v>0</v>
      </c>
    </row>
    <row r="57" spans="2:32">
      <c r="N57" s="22" t="s">
        <v>806</v>
      </c>
      <c r="O57">
        <v>0</v>
      </c>
      <c r="P57">
        <v>0</v>
      </c>
      <c r="Z57" s="95"/>
      <c r="AA57" s="96"/>
      <c r="AB57" s="97"/>
      <c r="AD57" s="22" t="s">
        <v>806</v>
      </c>
      <c r="AE57">
        <v>0</v>
      </c>
      <c r="AF57">
        <v>0</v>
      </c>
    </row>
    <row r="58" spans="2:32">
      <c r="E58" s="88" t="s">
        <v>665</v>
      </c>
      <c r="F58" t="s">
        <v>825</v>
      </c>
      <c r="G58" t="s">
        <v>826</v>
      </c>
      <c r="N58" s="22" t="s">
        <v>792</v>
      </c>
      <c r="O58">
        <v>93.333333333333329</v>
      </c>
      <c r="P58">
        <v>0</v>
      </c>
      <c r="Z58" s="95"/>
      <c r="AA58" s="96"/>
      <c r="AB58" s="97"/>
      <c r="AD58" s="22" t="s">
        <v>792</v>
      </c>
      <c r="AE58">
        <v>93.333333333333329</v>
      </c>
      <c r="AF58">
        <v>0</v>
      </c>
    </row>
    <row r="59" spans="2:32">
      <c r="E59" s="22" t="s">
        <v>5</v>
      </c>
      <c r="F59">
        <v>2980</v>
      </c>
      <c r="G59">
        <v>0</v>
      </c>
      <c r="I59" s="88" t="s">
        <v>665</v>
      </c>
      <c r="J59" t="s">
        <v>816</v>
      </c>
      <c r="N59" s="22" t="s">
        <v>823</v>
      </c>
      <c r="O59">
        <v>160</v>
      </c>
      <c r="P59">
        <v>17.5</v>
      </c>
      <c r="Z59" s="95"/>
      <c r="AA59" s="96"/>
      <c r="AB59" s="97"/>
      <c r="AD59" s="22" t="s">
        <v>823</v>
      </c>
      <c r="AE59">
        <v>160</v>
      </c>
      <c r="AF59">
        <v>17.5</v>
      </c>
    </row>
    <row r="60" spans="2:32">
      <c r="E60" s="22" t="s">
        <v>15</v>
      </c>
      <c r="F60">
        <v>2950</v>
      </c>
      <c r="G60">
        <v>395.41666666666663</v>
      </c>
      <c r="I60" s="22" t="s">
        <v>740</v>
      </c>
      <c r="J60">
        <v>1</v>
      </c>
      <c r="N60" s="22" t="s">
        <v>775</v>
      </c>
      <c r="O60">
        <v>170</v>
      </c>
      <c r="P60">
        <v>0</v>
      </c>
      <c r="Z60" s="95"/>
      <c r="AA60" s="96"/>
      <c r="AB60" s="97"/>
      <c r="AD60" s="22" t="s">
        <v>775</v>
      </c>
      <c r="AE60">
        <v>170</v>
      </c>
      <c r="AF60">
        <v>0</v>
      </c>
    </row>
    <row r="61" spans="2:32">
      <c r="B61" s="104" t="s">
        <v>824</v>
      </c>
      <c r="C61" s="104"/>
      <c r="E61" s="22" t="s">
        <v>10</v>
      </c>
      <c r="F61">
        <v>7200.0000000000018</v>
      </c>
      <c r="G61">
        <v>70.833333333333343</v>
      </c>
      <c r="I61" s="22" t="s">
        <v>734</v>
      </c>
      <c r="J61">
        <v>1</v>
      </c>
      <c r="N61" s="22" t="s">
        <v>752</v>
      </c>
      <c r="O61">
        <v>173.33333333333334</v>
      </c>
      <c r="P61">
        <v>0</v>
      </c>
      <c r="Z61" s="95"/>
      <c r="AA61" s="96"/>
      <c r="AB61" s="97"/>
      <c r="AD61" s="22" t="s">
        <v>752</v>
      </c>
      <c r="AE61">
        <v>173.33333333333334</v>
      </c>
      <c r="AF61">
        <v>0</v>
      </c>
    </row>
    <row r="62" spans="2:32">
      <c r="E62" s="22" t="s">
        <v>806</v>
      </c>
      <c r="F62">
        <v>0</v>
      </c>
      <c r="G62">
        <v>0</v>
      </c>
      <c r="I62" s="22" t="s">
        <v>750</v>
      </c>
      <c r="J62">
        <v>1</v>
      </c>
      <c r="N62" s="22" t="s">
        <v>735</v>
      </c>
      <c r="O62">
        <v>186.66666666666666</v>
      </c>
      <c r="P62">
        <v>20.833333333333336</v>
      </c>
      <c r="Z62" s="95"/>
      <c r="AA62" s="96"/>
      <c r="AB62" s="97"/>
      <c r="AD62" s="22" t="s">
        <v>735</v>
      </c>
      <c r="AE62">
        <v>186.66666666666666</v>
      </c>
      <c r="AF62">
        <v>20.833333333333336</v>
      </c>
    </row>
    <row r="63" spans="2:32">
      <c r="E63" s="22" t="s">
        <v>666</v>
      </c>
      <c r="F63">
        <v>13130</v>
      </c>
      <c r="G63">
        <v>466.24999999999994</v>
      </c>
      <c r="I63" s="22" t="s">
        <v>735</v>
      </c>
      <c r="J63">
        <v>1</v>
      </c>
      <c r="N63" s="22" t="s">
        <v>770</v>
      </c>
      <c r="O63">
        <v>206.66666666666666</v>
      </c>
      <c r="P63">
        <v>0</v>
      </c>
      <c r="Z63" s="95"/>
      <c r="AA63" s="96"/>
      <c r="AB63" s="97"/>
      <c r="AD63" s="22" t="s">
        <v>770</v>
      </c>
      <c r="AE63">
        <v>206.66666666666666</v>
      </c>
      <c r="AF63">
        <v>0</v>
      </c>
    </row>
    <row r="64" spans="2:32">
      <c r="I64" s="22" t="s">
        <v>828</v>
      </c>
      <c r="J64">
        <v>1</v>
      </c>
      <c r="N64" s="22" t="s">
        <v>829</v>
      </c>
      <c r="O64">
        <v>240</v>
      </c>
      <c r="P64">
        <v>0</v>
      </c>
      <c r="Z64" s="95"/>
      <c r="AA64" s="96"/>
      <c r="AB64" s="97"/>
      <c r="AD64" s="22" t="s">
        <v>829</v>
      </c>
      <c r="AE64">
        <v>240</v>
      </c>
      <c r="AF64">
        <v>0</v>
      </c>
    </row>
    <row r="65" spans="2:32">
      <c r="I65" s="22" t="s">
        <v>775</v>
      </c>
      <c r="J65">
        <v>1</v>
      </c>
      <c r="N65" s="22" t="s">
        <v>750</v>
      </c>
      <c r="O65">
        <v>260</v>
      </c>
      <c r="P65">
        <v>0</v>
      </c>
      <c r="Z65" s="95"/>
      <c r="AA65" s="96"/>
      <c r="AB65" s="97"/>
      <c r="AD65" s="22" t="s">
        <v>750</v>
      </c>
      <c r="AE65">
        <v>260</v>
      </c>
      <c r="AF65">
        <v>0</v>
      </c>
    </row>
    <row r="66" spans="2:32">
      <c r="I66" s="22" t="s">
        <v>754</v>
      </c>
      <c r="J66">
        <v>1</v>
      </c>
      <c r="N66" s="22" t="s">
        <v>740</v>
      </c>
      <c r="O66">
        <v>306.66666666666669</v>
      </c>
      <c r="P66">
        <v>0</v>
      </c>
      <c r="Z66" s="95"/>
      <c r="AA66" s="96"/>
      <c r="AB66" s="97"/>
      <c r="AD66" s="22" t="s">
        <v>740</v>
      </c>
      <c r="AE66">
        <v>306.66666666666669</v>
      </c>
      <c r="AF66">
        <v>0</v>
      </c>
    </row>
    <row r="67" spans="2:32">
      <c r="B67" s="88" t="s">
        <v>80</v>
      </c>
      <c r="C67" s="22" t="s" vm="1">
        <v>827</v>
      </c>
      <c r="I67" s="22" t="s">
        <v>760</v>
      </c>
      <c r="J67">
        <v>1</v>
      </c>
      <c r="N67" s="22" t="s">
        <v>774</v>
      </c>
      <c r="O67">
        <v>433.33333333333337</v>
      </c>
      <c r="P67">
        <v>0</v>
      </c>
      <c r="Z67" s="95"/>
      <c r="AA67" s="96"/>
      <c r="AB67" s="97"/>
      <c r="AD67" s="22" t="s">
        <v>774</v>
      </c>
      <c r="AE67">
        <v>433.33333333333337</v>
      </c>
      <c r="AF67">
        <v>0</v>
      </c>
    </row>
    <row r="68" spans="2:32">
      <c r="I68" s="22" t="s">
        <v>741</v>
      </c>
      <c r="J68">
        <v>1</v>
      </c>
      <c r="N68" s="22" t="s">
        <v>739</v>
      </c>
      <c r="O68">
        <v>433.33333333333337</v>
      </c>
      <c r="P68">
        <v>0</v>
      </c>
      <c r="Z68" s="95"/>
      <c r="AA68" s="96"/>
      <c r="AB68" s="97"/>
      <c r="AD68" s="22" t="s">
        <v>739</v>
      </c>
      <c r="AE68">
        <v>433.33333333333337</v>
      </c>
      <c r="AF68">
        <v>0</v>
      </c>
    </row>
    <row r="69" spans="2:32">
      <c r="B69" s="88" t="s">
        <v>665</v>
      </c>
      <c r="C69" t="s">
        <v>815</v>
      </c>
      <c r="I69" s="22" t="s">
        <v>774</v>
      </c>
      <c r="J69">
        <v>1</v>
      </c>
      <c r="N69" s="22" t="s">
        <v>780</v>
      </c>
      <c r="O69">
        <v>460</v>
      </c>
      <c r="P69">
        <v>46.666666666666664</v>
      </c>
      <c r="Z69" s="95"/>
      <c r="AA69" s="96"/>
      <c r="AB69" s="97"/>
      <c r="AD69" s="22" t="s">
        <v>780</v>
      </c>
      <c r="AE69">
        <v>460</v>
      </c>
      <c r="AF69">
        <v>46.666666666666664</v>
      </c>
    </row>
    <row r="70" spans="2:32">
      <c r="B70" s="22" t="s">
        <v>750</v>
      </c>
      <c r="C70">
        <v>260</v>
      </c>
      <c r="I70" s="22" t="s">
        <v>749</v>
      </c>
      <c r="J70">
        <v>1</v>
      </c>
      <c r="N70" s="22" t="s">
        <v>779</v>
      </c>
      <c r="O70">
        <v>516.66666666666663</v>
      </c>
      <c r="P70">
        <v>142.08333333333331</v>
      </c>
      <c r="Z70" s="95"/>
      <c r="AA70" s="96"/>
      <c r="AB70" s="97"/>
      <c r="AD70" s="22" t="s">
        <v>779</v>
      </c>
      <c r="AE70">
        <v>516.66666666666663</v>
      </c>
      <c r="AF70">
        <v>142.08333333333331</v>
      </c>
    </row>
    <row r="71" spans="2:32">
      <c r="B71" s="22" t="s">
        <v>828</v>
      </c>
      <c r="C71">
        <v>660</v>
      </c>
      <c r="I71" s="22" t="s">
        <v>829</v>
      </c>
      <c r="J71">
        <v>1</v>
      </c>
      <c r="N71" s="22" t="s">
        <v>754</v>
      </c>
      <c r="O71">
        <v>540</v>
      </c>
      <c r="P71">
        <v>0</v>
      </c>
      <c r="Z71" s="95"/>
      <c r="AA71" s="96"/>
      <c r="AB71" s="97"/>
      <c r="AD71" s="22" t="s">
        <v>754</v>
      </c>
      <c r="AE71">
        <v>540</v>
      </c>
      <c r="AF71">
        <v>0</v>
      </c>
    </row>
    <row r="72" spans="2:32">
      <c r="B72" s="22" t="s">
        <v>735</v>
      </c>
      <c r="C72">
        <v>207.5</v>
      </c>
      <c r="I72" s="22" t="s">
        <v>752</v>
      </c>
      <c r="J72">
        <v>1</v>
      </c>
      <c r="N72" s="22" t="s">
        <v>736</v>
      </c>
      <c r="O72">
        <v>553.33333333333326</v>
      </c>
      <c r="P72">
        <v>0</v>
      </c>
      <c r="Z72" s="98"/>
      <c r="AA72" s="99"/>
      <c r="AB72" s="100"/>
      <c r="AD72" s="22" t="s">
        <v>736</v>
      </c>
      <c r="AE72">
        <v>553.33333333333326</v>
      </c>
      <c r="AF72">
        <v>0</v>
      </c>
    </row>
    <row r="73" spans="2:32">
      <c r="B73" s="22" t="s">
        <v>779</v>
      </c>
      <c r="C73">
        <v>658.75</v>
      </c>
      <c r="I73" s="22" t="s">
        <v>792</v>
      </c>
      <c r="J73">
        <v>1</v>
      </c>
      <c r="N73" s="22" t="s">
        <v>734</v>
      </c>
      <c r="O73">
        <v>560</v>
      </c>
      <c r="P73">
        <v>12.5</v>
      </c>
      <c r="AD73" s="22" t="s">
        <v>734</v>
      </c>
      <c r="AE73">
        <v>560</v>
      </c>
      <c r="AF73">
        <v>12.5</v>
      </c>
    </row>
    <row r="74" spans="2:32">
      <c r="B74" s="22" t="s">
        <v>792</v>
      </c>
      <c r="C74">
        <v>93.333333333333329</v>
      </c>
      <c r="I74" s="22" t="s">
        <v>755</v>
      </c>
      <c r="J74">
        <v>1</v>
      </c>
      <c r="N74" s="22" t="s">
        <v>741</v>
      </c>
      <c r="O74">
        <v>606.66666666666674</v>
      </c>
      <c r="P74">
        <v>8.3333333333333339</v>
      </c>
      <c r="AD74" s="22" t="s">
        <v>741</v>
      </c>
      <c r="AE74">
        <v>606.66666666666674</v>
      </c>
      <c r="AF74">
        <v>8.3333333333333339</v>
      </c>
    </row>
    <row r="75" spans="2:32">
      <c r="B75" s="22" t="s">
        <v>775</v>
      </c>
      <c r="C75">
        <v>170</v>
      </c>
      <c r="I75" s="22" t="s">
        <v>738</v>
      </c>
      <c r="J75">
        <v>1</v>
      </c>
      <c r="N75" s="22" t="s">
        <v>733</v>
      </c>
      <c r="O75">
        <v>636.66666666666663</v>
      </c>
      <c r="P75">
        <v>32.5</v>
      </c>
      <c r="AD75" s="22" t="s">
        <v>733</v>
      </c>
      <c r="AE75">
        <v>636.66666666666663</v>
      </c>
      <c r="AF75">
        <v>32.5</v>
      </c>
    </row>
    <row r="76" spans="2:32">
      <c r="B76" s="22" t="s">
        <v>829</v>
      </c>
      <c r="C76">
        <v>240</v>
      </c>
      <c r="I76" s="22" t="s">
        <v>739</v>
      </c>
      <c r="J76">
        <v>1</v>
      </c>
      <c r="N76" s="22" t="s">
        <v>828</v>
      </c>
      <c r="O76">
        <v>660</v>
      </c>
      <c r="P76">
        <v>0</v>
      </c>
      <c r="AD76" s="22" t="s">
        <v>828</v>
      </c>
      <c r="AE76">
        <v>660</v>
      </c>
      <c r="AF76">
        <v>0</v>
      </c>
    </row>
    <row r="77" spans="2:32">
      <c r="B77" s="22" t="s">
        <v>760</v>
      </c>
      <c r="C77">
        <v>690</v>
      </c>
      <c r="I77" s="22" t="s">
        <v>780</v>
      </c>
      <c r="J77">
        <v>2</v>
      </c>
      <c r="N77" s="22" t="s">
        <v>760</v>
      </c>
      <c r="O77">
        <v>690</v>
      </c>
      <c r="P77">
        <v>0</v>
      </c>
      <c r="AD77" s="22" t="s">
        <v>760</v>
      </c>
      <c r="AE77">
        <v>690</v>
      </c>
      <c r="AF77">
        <v>0</v>
      </c>
    </row>
    <row r="78" spans="2:32">
      <c r="B78" s="22" t="s">
        <v>733</v>
      </c>
      <c r="C78">
        <v>669.16666666666663</v>
      </c>
      <c r="I78" s="22" t="s">
        <v>736</v>
      </c>
      <c r="J78">
        <v>2</v>
      </c>
      <c r="N78" s="22" t="s">
        <v>738</v>
      </c>
      <c r="O78">
        <v>733.33333333333326</v>
      </c>
      <c r="P78">
        <v>0</v>
      </c>
      <c r="AD78" s="22" t="s">
        <v>738</v>
      </c>
      <c r="AE78">
        <v>733.33333333333326</v>
      </c>
      <c r="AF78">
        <v>0</v>
      </c>
    </row>
    <row r="79" spans="2:32">
      <c r="B79" s="22" t="s">
        <v>738</v>
      </c>
      <c r="C79">
        <v>733.33333333333326</v>
      </c>
      <c r="I79" s="22" t="s">
        <v>742</v>
      </c>
      <c r="J79">
        <v>2</v>
      </c>
      <c r="N79" s="22" t="s">
        <v>755</v>
      </c>
      <c r="O79">
        <v>766.66666666666674</v>
      </c>
      <c r="P79">
        <v>0</v>
      </c>
      <c r="AD79" s="22" t="s">
        <v>755</v>
      </c>
      <c r="AE79">
        <v>766.66666666666674</v>
      </c>
      <c r="AF79">
        <v>0</v>
      </c>
    </row>
    <row r="80" spans="2:32">
      <c r="B80" s="22" t="s">
        <v>770</v>
      </c>
      <c r="C80">
        <v>206.66666666666666</v>
      </c>
      <c r="I80" s="22" t="s">
        <v>733</v>
      </c>
      <c r="J80">
        <v>2</v>
      </c>
      <c r="N80" s="22" t="s">
        <v>749</v>
      </c>
      <c r="O80">
        <v>806.66666666666663</v>
      </c>
      <c r="P80">
        <v>0</v>
      </c>
      <c r="AD80" s="22" t="s">
        <v>749</v>
      </c>
      <c r="AE80">
        <v>806.66666666666663</v>
      </c>
      <c r="AF80">
        <v>0</v>
      </c>
    </row>
    <row r="81" spans="2:32">
      <c r="B81" s="22" t="s">
        <v>734</v>
      </c>
      <c r="C81">
        <v>572.5</v>
      </c>
      <c r="I81" s="22" t="s">
        <v>779</v>
      </c>
      <c r="J81">
        <v>2</v>
      </c>
      <c r="N81" s="22" t="s">
        <v>743</v>
      </c>
      <c r="O81">
        <v>830</v>
      </c>
      <c r="P81">
        <v>0</v>
      </c>
      <c r="AD81" s="22" t="s">
        <v>743</v>
      </c>
      <c r="AE81">
        <v>830</v>
      </c>
      <c r="AF81">
        <v>0</v>
      </c>
    </row>
    <row r="82" spans="2:32">
      <c r="B82" s="22" t="s">
        <v>740</v>
      </c>
      <c r="C82">
        <v>306.66666666666669</v>
      </c>
      <c r="I82" s="22" t="s">
        <v>743</v>
      </c>
      <c r="J82">
        <v>2</v>
      </c>
      <c r="N82" s="22" t="s">
        <v>742</v>
      </c>
      <c r="O82">
        <v>933.33333333333337</v>
      </c>
      <c r="P82">
        <v>25</v>
      </c>
      <c r="AD82" s="22" t="s">
        <v>742</v>
      </c>
      <c r="AE82">
        <v>933.33333333333337</v>
      </c>
      <c r="AF82">
        <v>25</v>
      </c>
    </row>
    <row r="83" spans="2:32">
      <c r="B83" s="22" t="s">
        <v>780</v>
      </c>
      <c r="C83">
        <v>506.66666666666663</v>
      </c>
      <c r="I83" s="22" t="s">
        <v>770</v>
      </c>
      <c r="J83">
        <v>2</v>
      </c>
      <c r="N83" s="22" t="s">
        <v>786</v>
      </c>
      <c r="O83">
        <v>1173.3333333333333</v>
      </c>
      <c r="P83">
        <v>160.83333333333334</v>
      </c>
      <c r="AD83" s="22" t="s">
        <v>786</v>
      </c>
      <c r="AE83">
        <v>1173.3333333333333</v>
      </c>
      <c r="AF83">
        <v>160.83333333333334</v>
      </c>
    </row>
    <row r="84" spans="2:32">
      <c r="B84" s="22" t="s">
        <v>754</v>
      </c>
      <c r="C84">
        <v>540</v>
      </c>
      <c r="I84" s="22" t="s">
        <v>786</v>
      </c>
      <c r="J84">
        <v>2</v>
      </c>
      <c r="N84" s="22" t="s">
        <v>666</v>
      </c>
      <c r="O84">
        <v>13130</v>
      </c>
      <c r="P84">
        <v>466.24999999999994</v>
      </c>
      <c r="AD84" s="22" t="s">
        <v>666</v>
      </c>
      <c r="AE84">
        <v>13130</v>
      </c>
      <c r="AF84">
        <v>466.24999999999994</v>
      </c>
    </row>
    <row r="85" spans="2:32">
      <c r="B85" s="22" t="s">
        <v>736</v>
      </c>
      <c r="C85">
        <v>553.33333333333326</v>
      </c>
      <c r="I85" s="22" t="s">
        <v>823</v>
      </c>
      <c r="J85">
        <v>2</v>
      </c>
    </row>
    <row r="86" spans="2:32">
      <c r="B86" s="22" t="s">
        <v>741</v>
      </c>
      <c r="C86">
        <v>615</v>
      </c>
      <c r="I86" s="22" t="s">
        <v>666</v>
      </c>
      <c r="J86">
        <v>8</v>
      </c>
    </row>
    <row r="87" spans="2:32">
      <c r="B87" s="22" t="s">
        <v>749</v>
      </c>
      <c r="C87">
        <v>806.66666666666663</v>
      </c>
    </row>
    <row r="88" spans="2:32">
      <c r="B88" s="22" t="s">
        <v>743</v>
      </c>
      <c r="C88">
        <v>830</v>
      </c>
    </row>
    <row r="89" spans="2:32">
      <c r="B89" s="22" t="s">
        <v>752</v>
      </c>
      <c r="C89">
        <v>173.33333333333334</v>
      </c>
    </row>
    <row r="90" spans="2:32">
      <c r="B90" s="22" t="s">
        <v>786</v>
      </c>
      <c r="C90">
        <v>1334.1666666666665</v>
      </c>
    </row>
    <row r="91" spans="2:32">
      <c r="B91" s="22" t="s">
        <v>755</v>
      </c>
      <c r="C91">
        <v>766.66666666666674</v>
      </c>
      <c r="F91" s="88" t="s">
        <v>665</v>
      </c>
      <c r="G91" t="s">
        <v>961</v>
      </c>
    </row>
    <row r="92" spans="2:32">
      <c r="B92" s="22" t="s">
        <v>742</v>
      </c>
      <c r="C92">
        <v>958.33333333333337</v>
      </c>
      <c r="F92" s="22" t="s">
        <v>622</v>
      </c>
      <c r="G92">
        <v>39</v>
      </c>
    </row>
    <row r="93" spans="2:32">
      <c r="B93" s="22" t="s">
        <v>739</v>
      </c>
      <c r="C93">
        <v>433.33333333333337</v>
      </c>
      <c r="F93" s="22" t="s">
        <v>624</v>
      </c>
      <c r="G93">
        <v>14</v>
      </c>
    </row>
    <row r="94" spans="2:32">
      <c r="B94" s="22" t="s">
        <v>774</v>
      </c>
      <c r="C94">
        <v>433.33333333333337</v>
      </c>
      <c r="F94" s="22" t="s">
        <v>623</v>
      </c>
      <c r="G94">
        <v>14</v>
      </c>
    </row>
    <row r="95" spans="2:32">
      <c r="B95" s="22" t="s">
        <v>823</v>
      </c>
      <c r="C95">
        <v>177.5</v>
      </c>
      <c r="F95" s="22" t="s">
        <v>666</v>
      </c>
      <c r="G95">
        <v>67</v>
      </c>
    </row>
    <row r="96" spans="2:32">
      <c r="B96" s="22" t="s">
        <v>666</v>
      </c>
      <c r="C96">
        <v>13596.25</v>
      </c>
    </row>
  </sheetData>
  <mergeCells count="12">
    <mergeCell ref="AG2:AW2"/>
    <mergeCell ref="AI8:AJ8"/>
    <mergeCell ref="AL8:AM8"/>
    <mergeCell ref="AZ8:BA8"/>
    <mergeCell ref="AO8:AP8"/>
    <mergeCell ref="AS8:AT8"/>
    <mergeCell ref="AV8:AW8"/>
    <mergeCell ref="A1:M1"/>
    <mergeCell ref="O5:P5"/>
    <mergeCell ref="D7:E7"/>
    <mergeCell ref="A48:M48"/>
    <mergeCell ref="B61:C61"/>
  </mergeCells>
  <pageMargins left="0.7" right="0.7" top="0.75" bottom="0.75" header="0.3" footer="0.3"/>
  <drawing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C16F"/>
    <pageSetUpPr fitToPage="1"/>
  </sheetPr>
  <dimension ref="A1:E17"/>
  <sheetViews>
    <sheetView rightToLeft="1" zoomScale="90" zoomScaleNormal="90" workbookViewId="0">
      <selection activeCell="D22" sqref="D22"/>
    </sheetView>
  </sheetViews>
  <sheetFormatPr defaultColWidth="8.68359375" defaultRowHeight="14.4"/>
  <cols>
    <col min="1" max="1" width="5" customWidth="1"/>
    <col min="2" max="2" width="15" customWidth="1"/>
    <col min="3" max="3" width="22" customWidth="1"/>
    <col min="4" max="4" width="30" customWidth="1"/>
  </cols>
  <sheetData>
    <row r="1" spans="1:5" ht="31.5" customHeight="1">
      <c r="A1" s="106" t="s">
        <v>36</v>
      </c>
      <c r="B1" s="106"/>
      <c r="C1" s="106"/>
      <c r="D1" s="106"/>
      <c r="E1" s="106"/>
    </row>
    <row r="2" spans="1:5" ht="31.5" customHeight="1">
      <c r="A2" s="4" t="s">
        <v>75</v>
      </c>
      <c r="B2" s="4" t="s">
        <v>76</v>
      </c>
      <c r="C2" s="4" t="s">
        <v>370</v>
      </c>
      <c r="D2" s="4" t="s">
        <v>371</v>
      </c>
      <c r="E2" s="4" t="s">
        <v>77</v>
      </c>
    </row>
    <row r="3" spans="1:5" ht="27.75" customHeight="1">
      <c r="A3" s="28" t="s">
        <v>37</v>
      </c>
      <c r="B3" s="28" t="s">
        <v>0</v>
      </c>
      <c r="C3" s="28" t="s">
        <v>1</v>
      </c>
      <c r="D3" s="28" t="s">
        <v>369</v>
      </c>
      <c r="E3" s="29" t="s">
        <v>148</v>
      </c>
    </row>
    <row r="4" spans="1:5" ht="19.5" customHeight="1">
      <c r="A4" s="8">
        <v>1</v>
      </c>
      <c r="B4" s="8" t="s">
        <v>5</v>
      </c>
      <c r="C4" s="27" t="s">
        <v>351</v>
      </c>
      <c r="D4" s="27" t="s">
        <v>390</v>
      </c>
      <c r="E4" s="9"/>
    </row>
    <row r="5" spans="1:5" ht="19.5" customHeight="1">
      <c r="A5" s="8">
        <v>2</v>
      </c>
      <c r="B5" s="8" t="s">
        <v>10</v>
      </c>
      <c r="C5" s="27" t="s">
        <v>11</v>
      </c>
      <c r="D5" s="27" t="s">
        <v>391</v>
      </c>
      <c r="E5" s="9"/>
    </row>
    <row r="6" spans="1:5" ht="19.5" customHeight="1">
      <c r="A6" s="8">
        <v>3</v>
      </c>
      <c r="B6" s="8" t="s">
        <v>15</v>
      </c>
      <c r="C6" s="27" t="s">
        <v>16</v>
      </c>
      <c r="D6" s="27" t="s">
        <v>392</v>
      </c>
      <c r="E6" s="9"/>
    </row>
    <row r="7" spans="1:5" ht="19.5" customHeight="1">
      <c r="A7" s="8">
        <v>4</v>
      </c>
      <c r="B7" s="8" t="s">
        <v>20</v>
      </c>
      <c r="C7" s="27" t="s">
        <v>21</v>
      </c>
      <c r="D7" s="27" t="s">
        <v>393</v>
      </c>
      <c r="E7" s="9"/>
    </row>
    <row r="8" spans="1:5" ht="19.5" customHeight="1">
      <c r="A8" s="8">
        <v>5</v>
      </c>
      <c r="B8" s="8" t="s">
        <v>24</v>
      </c>
      <c r="C8" s="27" t="s">
        <v>25</v>
      </c>
      <c r="D8" s="27" t="s">
        <v>394</v>
      </c>
      <c r="E8" s="9"/>
    </row>
    <row r="9" spans="1:5" ht="19.5" customHeight="1">
      <c r="A9" s="8">
        <v>6</v>
      </c>
      <c r="B9" s="8" t="s">
        <v>26</v>
      </c>
      <c r="C9" s="27" t="s">
        <v>27</v>
      </c>
      <c r="D9" s="27" t="s">
        <v>395</v>
      </c>
      <c r="E9" s="9"/>
    </row>
    <row r="10" spans="1:5" ht="19.5" customHeight="1">
      <c r="A10" s="8">
        <v>7</v>
      </c>
      <c r="B10" s="8" t="s">
        <v>28</v>
      </c>
      <c r="C10" s="27" t="s">
        <v>29</v>
      </c>
      <c r="D10" s="27" t="s">
        <v>396</v>
      </c>
      <c r="E10" s="9"/>
    </row>
    <row r="11" spans="1:5" ht="19.5" customHeight="1">
      <c r="A11" s="8">
        <v>8</v>
      </c>
      <c r="B11" s="8" t="s">
        <v>30</v>
      </c>
      <c r="C11" s="27" t="s">
        <v>31</v>
      </c>
      <c r="D11" s="27" t="s">
        <v>397</v>
      </c>
      <c r="E11" s="9"/>
    </row>
    <row r="12" spans="1:5" ht="19.5" customHeight="1">
      <c r="A12" s="8">
        <v>9</v>
      </c>
      <c r="B12" s="8" t="s">
        <v>32</v>
      </c>
      <c r="C12" s="27" t="s">
        <v>33</v>
      </c>
      <c r="D12" s="27" t="s">
        <v>398</v>
      </c>
      <c r="E12" s="9"/>
    </row>
    <row r="13" spans="1:5" ht="19.5" customHeight="1">
      <c r="A13" s="8">
        <v>10</v>
      </c>
      <c r="B13" s="8" t="s">
        <v>34</v>
      </c>
      <c r="C13" s="27" t="s">
        <v>35</v>
      </c>
      <c r="D13" s="27" t="s">
        <v>399</v>
      </c>
      <c r="E13" s="9"/>
    </row>
    <row r="14" spans="1:5">
      <c r="A14" s="30">
        <v>11</v>
      </c>
      <c r="B14" s="30" t="s">
        <v>365</v>
      </c>
      <c r="C14" s="27" t="s">
        <v>160</v>
      </c>
      <c r="D14" s="45" t="s">
        <v>400</v>
      </c>
      <c r="E14" s="30"/>
    </row>
    <row r="15" spans="1:5">
      <c r="A15" s="10">
        <v>12</v>
      </c>
      <c r="B15" s="8" t="s">
        <v>366</v>
      </c>
      <c r="C15" s="27"/>
      <c r="D15" s="27"/>
      <c r="E15" s="9"/>
    </row>
    <row r="16" spans="1:5">
      <c r="A16" s="10">
        <v>13</v>
      </c>
      <c r="B16" s="8" t="s">
        <v>367</v>
      </c>
      <c r="C16" s="27"/>
      <c r="D16" s="27"/>
      <c r="E16" s="9"/>
    </row>
    <row r="17" spans="1:5">
      <c r="A17" s="10">
        <v>14</v>
      </c>
      <c r="B17" s="8" t="s">
        <v>368</v>
      </c>
      <c r="C17" s="27"/>
      <c r="D17" s="27"/>
      <c r="E17" s="9"/>
    </row>
  </sheetData>
  <mergeCells count="1">
    <mergeCell ref="A1:E1"/>
  </mergeCells>
  <phoneticPr fontId="15" type="noConversion"/>
  <pageMargins left="0.75" right="0.75" top="1" bottom="1" header="0.511811023622047" footer="0.511811023622047"/>
  <pageSetup orientation="portrait" horizontalDpi="300" verticalDpi="3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C8BF"/>
    <pageSetUpPr fitToPage="1"/>
  </sheetPr>
  <dimension ref="A1:M70"/>
  <sheetViews>
    <sheetView rightToLeft="1" zoomScale="90" zoomScaleNormal="90" workbookViewId="0">
      <pane xSplit="2" ySplit="3" topLeftCell="C4" activePane="bottomRight" state="frozen"/>
      <selection pane="topRight" activeCell="C1" sqref="C1"/>
      <selection pane="bottomLeft" activeCell="A3" sqref="A3"/>
      <selection pane="bottomRight" activeCell="N6" sqref="N6"/>
    </sheetView>
  </sheetViews>
  <sheetFormatPr defaultColWidth="8.68359375" defaultRowHeight="14.4"/>
  <cols>
    <col min="1" max="1" width="5" customWidth="1"/>
    <col min="2" max="2" width="14" customWidth="1"/>
    <col min="3" max="3" width="28" customWidth="1"/>
    <col min="4" max="4" width="18" customWidth="1"/>
    <col min="5" max="5" width="16" customWidth="1"/>
    <col min="6" max="8" width="14" customWidth="1"/>
    <col min="9" max="9" width="14" hidden="1" customWidth="1"/>
    <col min="10" max="13" width="14" customWidth="1"/>
  </cols>
  <sheetData>
    <row r="1" spans="1:13" ht="31.5" customHeight="1">
      <c r="A1" s="107" t="s">
        <v>38</v>
      </c>
      <c r="B1" s="107"/>
      <c r="C1" s="107"/>
      <c r="D1" s="107"/>
      <c r="E1" s="107"/>
      <c r="F1" s="107"/>
      <c r="G1" s="107"/>
      <c r="H1" s="107"/>
      <c r="I1" s="107"/>
      <c r="J1" s="107"/>
      <c r="K1" s="107"/>
      <c r="L1" s="107"/>
      <c r="M1" s="107"/>
    </row>
    <row r="2" spans="1:13" s="53" customFormat="1" ht="31.5" customHeight="1">
      <c r="A2" s="52"/>
      <c r="B2" s="52" t="s">
        <v>379</v>
      </c>
      <c r="C2" s="52" t="s">
        <v>380</v>
      </c>
      <c r="D2" s="52" t="s">
        <v>78</v>
      </c>
      <c r="E2" s="52" t="s">
        <v>381</v>
      </c>
      <c r="F2" s="52" t="s">
        <v>383</v>
      </c>
      <c r="G2" s="52" t="s">
        <v>382</v>
      </c>
      <c r="H2" s="52" t="s">
        <v>384</v>
      </c>
      <c r="I2" s="52"/>
      <c r="J2" s="52" t="s">
        <v>385</v>
      </c>
      <c r="K2" s="52" t="s">
        <v>386</v>
      </c>
      <c r="L2" s="52" t="s">
        <v>629</v>
      </c>
      <c r="M2" s="52" t="s">
        <v>77</v>
      </c>
    </row>
    <row r="3" spans="1:13" ht="27.75" customHeight="1">
      <c r="A3" s="68" t="s">
        <v>37</v>
      </c>
      <c r="B3" s="68" t="s">
        <v>146</v>
      </c>
      <c r="C3" s="68" t="s">
        <v>387</v>
      </c>
      <c r="D3" s="68" t="s">
        <v>80</v>
      </c>
      <c r="E3" s="68" t="s">
        <v>355</v>
      </c>
      <c r="F3" s="68" t="s">
        <v>388</v>
      </c>
      <c r="G3" s="68" t="s">
        <v>389</v>
      </c>
      <c r="H3" s="68" t="s">
        <v>3</v>
      </c>
      <c r="I3" s="68" t="s">
        <v>628</v>
      </c>
      <c r="J3" s="68" t="s">
        <v>352</v>
      </c>
      <c r="K3" s="68" t="s">
        <v>353</v>
      </c>
      <c r="L3" s="68" t="s">
        <v>354</v>
      </c>
      <c r="M3" s="68" t="s">
        <v>148</v>
      </c>
    </row>
    <row r="4" spans="1:13" ht="19.5" customHeight="1">
      <c r="A4">
        <v>1</v>
      </c>
      <c r="B4" t="s">
        <v>667</v>
      </c>
      <c r="C4" t="s">
        <v>733</v>
      </c>
      <c r="D4" t="s">
        <v>160</v>
      </c>
      <c r="F4" s="69">
        <v>46095</v>
      </c>
      <c r="G4" s="69">
        <v>46097</v>
      </c>
      <c r="H4" t="s">
        <v>622</v>
      </c>
      <c r="I4" t="str">
        <f>_xlfn.XLOOKUP(tbl_Projects[[#This Row],[Status]],Project_Status[Status],Project_Status[Flag],"",0)</f>
        <v>Ac_0</v>
      </c>
    </row>
    <row r="5" spans="1:13" ht="19.5" customHeight="1">
      <c r="A5">
        <v>2</v>
      </c>
      <c r="B5" t="s">
        <v>668</v>
      </c>
      <c r="C5" t="s">
        <v>734</v>
      </c>
      <c r="D5" t="s">
        <v>160</v>
      </c>
      <c r="F5" s="69">
        <v>46098</v>
      </c>
      <c r="G5" s="69">
        <v>46101</v>
      </c>
      <c r="H5" t="s">
        <v>622</v>
      </c>
      <c r="I5" t="str">
        <f>_xlfn.XLOOKUP(tbl_Projects[[#This Row],[Status]],Project_Status[Status],Project_Status[Flag],"",0)</f>
        <v>Ac_0</v>
      </c>
    </row>
    <row r="6" spans="1:13" ht="19.5" customHeight="1">
      <c r="A6">
        <v>3</v>
      </c>
      <c r="B6" t="s">
        <v>669</v>
      </c>
      <c r="C6" t="s">
        <v>16</v>
      </c>
      <c r="D6" t="s">
        <v>160</v>
      </c>
      <c r="F6" s="69">
        <v>46103</v>
      </c>
      <c r="G6" s="69">
        <v>46107</v>
      </c>
      <c r="H6" t="s">
        <v>622</v>
      </c>
      <c r="I6" t="str">
        <f>_xlfn.XLOOKUP(tbl_Projects[[#This Row],[Status]],Project_Status[Status],Project_Status[Flag],"",0)</f>
        <v>Ac_0</v>
      </c>
    </row>
    <row r="7" spans="1:13" ht="19.5" customHeight="1">
      <c r="A7">
        <v>4</v>
      </c>
      <c r="B7" t="s">
        <v>670</v>
      </c>
      <c r="C7" t="s">
        <v>735</v>
      </c>
      <c r="D7" t="s">
        <v>160</v>
      </c>
      <c r="F7" s="69">
        <v>46100</v>
      </c>
      <c r="G7" s="69"/>
      <c r="H7" t="s">
        <v>622</v>
      </c>
      <c r="I7" t="str">
        <f>_xlfn.XLOOKUP(tbl_Projects[[#This Row],[Status]],Project_Status[Status],Project_Status[Flag],"",0)</f>
        <v>Ac_0</v>
      </c>
    </row>
    <row r="8" spans="1:13" ht="19.5" customHeight="1">
      <c r="A8">
        <v>5</v>
      </c>
      <c r="B8" t="s">
        <v>671</v>
      </c>
      <c r="C8" t="s">
        <v>736</v>
      </c>
      <c r="D8" t="s">
        <v>160</v>
      </c>
      <c r="F8" s="69"/>
      <c r="G8" s="69"/>
      <c r="H8" t="s">
        <v>622</v>
      </c>
      <c r="I8" t="str">
        <f>_xlfn.XLOOKUP(tbl_Projects[[#This Row],[Status]],Project_Status[Status],Project_Status[Flag],"",0)</f>
        <v>Ac_0</v>
      </c>
    </row>
    <row r="9" spans="1:13">
      <c r="A9">
        <v>6</v>
      </c>
      <c r="B9" t="s">
        <v>672</v>
      </c>
      <c r="C9" t="s">
        <v>737</v>
      </c>
      <c r="D9" t="s">
        <v>160</v>
      </c>
      <c r="F9" s="69"/>
      <c r="G9" s="69"/>
      <c r="H9" t="s">
        <v>623</v>
      </c>
      <c r="I9" t="str">
        <f>_xlfn.XLOOKUP(tbl_Projects[[#This Row],[Status]],Project_Status[Status],Project_Status[Flag],"",0)</f>
        <v>Co_0</v>
      </c>
    </row>
    <row r="10" spans="1:13">
      <c r="A10">
        <v>7</v>
      </c>
      <c r="B10" t="s">
        <v>673</v>
      </c>
      <c r="C10" t="s">
        <v>738</v>
      </c>
      <c r="D10" t="s">
        <v>160</v>
      </c>
      <c r="F10" s="69"/>
      <c r="G10" s="69"/>
      <c r="H10" t="s">
        <v>623</v>
      </c>
      <c r="I10" t="str">
        <f>_xlfn.XLOOKUP(tbl_Projects[[#This Row],[Status]],Project_Status[Status],Project_Status[Flag],"",0)</f>
        <v>Co_0</v>
      </c>
    </row>
    <row r="11" spans="1:13">
      <c r="A11">
        <v>8</v>
      </c>
      <c r="B11" t="s">
        <v>674</v>
      </c>
      <c r="C11" t="s">
        <v>739</v>
      </c>
      <c r="D11" t="s">
        <v>160</v>
      </c>
      <c r="F11" s="69"/>
      <c r="G11" s="69"/>
      <c r="H11" t="s">
        <v>623</v>
      </c>
      <c r="I11" t="str">
        <f>_xlfn.XLOOKUP(tbl_Projects[[#This Row],[Status]],Project_Status[Status],Project_Status[Flag],"",0)</f>
        <v>Co_0</v>
      </c>
    </row>
    <row r="12" spans="1:13">
      <c r="A12">
        <v>9</v>
      </c>
      <c r="B12" t="s">
        <v>675</v>
      </c>
      <c r="C12" t="s">
        <v>740</v>
      </c>
      <c r="D12" t="s">
        <v>160</v>
      </c>
      <c r="F12" s="69"/>
      <c r="G12" s="69"/>
      <c r="H12" t="s">
        <v>622</v>
      </c>
      <c r="I12" t="str">
        <f>_xlfn.XLOOKUP(tbl_Projects[[#This Row],[Status]],Project_Status[Status],Project_Status[Flag],"",0)</f>
        <v>Ac_0</v>
      </c>
    </row>
    <row r="13" spans="1:13">
      <c r="A13">
        <v>10</v>
      </c>
      <c r="B13" t="s">
        <v>676</v>
      </c>
      <c r="C13" t="s">
        <v>741</v>
      </c>
      <c r="D13" t="s">
        <v>160</v>
      </c>
      <c r="F13" s="69"/>
      <c r="G13" s="69"/>
      <c r="H13" t="s">
        <v>622</v>
      </c>
      <c r="I13" t="str">
        <f>_xlfn.XLOOKUP(tbl_Projects[[#This Row],[Status]],Project_Status[Status],Project_Status[Flag],"",0)</f>
        <v>Ac_0</v>
      </c>
    </row>
    <row r="14" spans="1:13">
      <c r="A14">
        <v>11</v>
      </c>
      <c r="B14" t="s">
        <v>677</v>
      </c>
      <c r="C14" t="s">
        <v>742</v>
      </c>
      <c r="D14" t="s">
        <v>160</v>
      </c>
      <c r="F14" s="69"/>
      <c r="G14" s="69"/>
      <c r="H14" t="s">
        <v>622</v>
      </c>
      <c r="I14" t="str">
        <f>_xlfn.XLOOKUP(tbl_Projects[[#This Row],[Status]],Project_Status[Status],Project_Status[Flag],"",0)</f>
        <v>Ac_0</v>
      </c>
    </row>
    <row r="15" spans="1:13">
      <c r="A15">
        <v>12</v>
      </c>
      <c r="B15" t="s">
        <v>678</v>
      </c>
      <c r="C15" t="s">
        <v>743</v>
      </c>
      <c r="D15" t="s">
        <v>160</v>
      </c>
      <c r="F15" s="69"/>
      <c r="G15" s="69"/>
      <c r="H15" t="s">
        <v>622</v>
      </c>
      <c r="I15" t="str">
        <f>_xlfn.XLOOKUP(tbl_Projects[[#This Row],[Status]],Project_Status[Status],Project_Status[Flag],"",0)</f>
        <v>Ac_0</v>
      </c>
    </row>
    <row r="16" spans="1:13">
      <c r="A16">
        <v>13</v>
      </c>
      <c r="B16" t="s">
        <v>679</v>
      </c>
      <c r="C16" t="s">
        <v>744</v>
      </c>
      <c r="D16" t="s">
        <v>160</v>
      </c>
      <c r="F16" s="69"/>
      <c r="G16" s="69"/>
      <c r="H16" t="s">
        <v>622</v>
      </c>
      <c r="I16" t="str">
        <f>_xlfn.XLOOKUP(tbl_Projects[[#This Row],[Status]],Project_Status[Status],Project_Status[Flag],"",0)</f>
        <v>Ac_0</v>
      </c>
    </row>
    <row r="17" spans="1:9">
      <c r="A17">
        <v>14</v>
      </c>
      <c r="B17" t="s">
        <v>680</v>
      </c>
      <c r="C17" t="s">
        <v>745</v>
      </c>
      <c r="D17" t="s">
        <v>160</v>
      </c>
      <c r="F17" s="69"/>
      <c r="G17" s="69"/>
      <c r="H17" t="s">
        <v>622</v>
      </c>
      <c r="I17" t="str">
        <f>_xlfn.XLOOKUP(tbl_Projects[[#This Row],[Status]],Project_Status[Status],Project_Status[Flag],"",0)</f>
        <v>Ac_0</v>
      </c>
    </row>
    <row r="18" spans="1:9">
      <c r="A18">
        <v>15</v>
      </c>
      <c r="B18" t="s">
        <v>681</v>
      </c>
      <c r="C18" t="s">
        <v>746</v>
      </c>
      <c r="D18" t="s">
        <v>160</v>
      </c>
      <c r="F18" s="69"/>
      <c r="G18" s="69"/>
      <c r="H18" t="s">
        <v>622</v>
      </c>
      <c r="I18" t="str">
        <f>_xlfn.XLOOKUP(tbl_Projects[[#This Row],[Status]],Project_Status[Status],Project_Status[Flag],"",0)</f>
        <v>Ac_0</v>
      </c>
    </row>
    <row r="19" spans="1:9">
      <c r="A19">
        <v>16</v>
      </c>
      <c r="B19" t="s">
        <v>682</v>
      </c>
      <c r="C19" t="s">
        <v>747</v>
      </c>
      <c r="D19" t="s">
        <v>160</v>
      </c>
      <c r="F19" s="69"/>
      <c r="G19" s="69"/>
      <c r="H19" t="s">
        <v>622</v>
      </c>
      <c r="I19" t="str">
        <f>_xlfn.XLOOKUP(tbl_Projects[[#This Row],[Status]],Project_Status[Status],Project_Status[Flag],"",0)</f>
        <v>Ac_0</v>
      </c>
    </row>
    <row r="20" spans="1:9">
      <c r="A20">
        <v>17</v>
      </c>
      <c r="B20" t="s">
        <v>683</v>
      </c>
      <c r="C20" t="s">
        <v>748</v>
      </c>
      <c r="D20" t="s">
        <v>160</v>
      </c>
      <c r="F20" s="69"/>
      <c r="G20" s="69"/>
      <c r="H20" t="s">
        <v>622</v>
      </c>
      <c r="I20" t="str">
        <f>_xlfn.XLOOKUP(tbl_Projects[[#This Row],[Status]],Project_Status[Status],Project_Status[Flag],"",0)</f>
        <v>Ac_0</v>
      </c>
    </row>
    <row r="21" spans="1:9">
      <c r="A21">
        <v>18</v>
      </c>
      <c r="B21" t="s">
        <v>684</v>
      </c>
      <c r="C21" t="s">
        <v>749</v>
      </c>
      <c r="D21" t="s">
        <v>160</v>
      </c>
      <c r="F21" s="69"/>
      <c r="G21" s="69"/>
      <c r="H21" t="s">
        <v>622</v>
      </c>
      <c r="I21" t="str">
        <f>_xlfn.XLOOKUP(tbl_Projects[[#This Row],[Status]],Project_Status[Status],Project_Status[Flag],"",0)</f>
        <v>Ac_0</v>
      </c>
    </row>
    <row r="22" spans="1:9">
      <c r="A22">
        <v>19</v>
      </c>
      <c r="B22" t="s">
        <v>685</v>
      </c>
      <c r="C22" t="s">
        <v>750</v>
      </c>
      <c r="D22" t="s">
        <v>160</v>
      </c>
      <c r="F22" s="69"/>
      <c r="G22" s="69"/>
      <c r="H22" t="s">
        <v>622</v>
      </c>
      <c r="I22" t="str">
        <f>_xlfn.XLOOKUP(tbl_Projects[[#This Row],[Status]],Project_Status[Status],Project_Status[Flag],"",0)</f>
        <v>Ac_0</v>
      </c>
    </row>
    <row r="23" spans="1:9">
      <c r="A23">
        <v>20</v>
      </c>
      <c r="B23" t="s">
        <v>686</v>
      </c>
      <c r="C23" t="s">
        <v>751</v>
      </c>
      <c r="D23" t="s">
        <v>160</v>
      </c>
      <c r="F23" s="69"/>
      <c r="G23" s="69"/>
      <c r="H23" t="s">
        <v>622</v>
      </c>
      <c r="I23" t="str">
        <f>_xlfn.XLOOKUP(tbl_Projects[[#This Row],[Status]],Project_Status[Status],Project_Status[Flag],"",0)</f>
        <v>Ac_0</v>
      </c>
    </row>
    <row r="24" spans="1:9">
      <c r="A24">
        <v>21</v>
      </c>
      <c r="B24" t="s">
        <v>687</v>
      </c>
      <c r="C24" t="s">
        <v>752</v>
      </c>
      <c r="D24" t="s">
        <v>160</v>
      </c>
      <c r="F24" s="69"/>
      <c r="G24" s="69"/>
      <c r="H24" t="s">
        <v>622</v>
      </c>
      <c r="I24" t="str">
        <f>_xlfn.XLOOKUP(tbl_Projects[[#This Row],[Status]],Project_Status[Status],Project_Status[Flag],"",0)</f>
        <v>Ac_0</v>
      </c>
    </row>
    <row r="25" spans="1:9">
      <c r="A25">
        <v>22</v>
      </c>
      <c r="B25" t="s">
        <v>688</v>
      </c>
      <c r="C25" t="s">
        <v>753</v>
      </c>
      <c r="D25" t="s">
        <v>160</v>
      </c>
      <c r="F25" s="69"/>
      <c r="G25" s="69"/>
      <c r="H25" t="s">
        <v>622</v>
      </c>
      <c r="I25" t="str">
        <f>_xlfn.XLOOKUP(tbl_Projects[[#This Row],[Status]],Project_Status[Status],Project_Status[Flag],"",0)</f>
        <v>Ac_0</v>
      </c>
    </row>
    <row r="26" spans="1:9">
      <c r="A26">
        <v>23</v>
      </c>
      <c r="B26" t="s">
        <v>689</v>
      </c>
      <c r="C26" t="s">
        <v>754</v>
      </c>
      <c r="D26" t="s">
        <v>160</v>
      </c>
      <c r="F26" s="69"/>
      <c r="G26" s="69"/>
      <c r="H26" t="s">
        <v>622</v>
      </c>
      <c r="I26" t="str">
        <f>_xlfn.XLOOKUP(tbl_Projects[[#This Row],[Status]],Project_Status[Status],Project_Status[Flag],"",0)</f>
        <v>Ac_0</v>
      </c>
    </row>
    <row r="27" spans="1:9">
      <c r="A27">
        <v>24</v>
      </c>
      <c r="B27" t="s">
        <v>690</v>
      </c>
      <c r="C27" t="s">
        <v>755</v>
      </c>
      <c r="D27" t="s">
        <v>160</v>
      </c>
      <c r="F27" s="69"/>
      <c r="G27" s="69"/>
      <c r="H27" t="s">
        <v>622</v>
      </c>
      <c r="I27" t="str">
        <f>_xlfn.XLOOKUP(tbl_Projects[[#This Row],[Status]],Project_Status[Status],Project_Status[Flag],"",0)</f>
        <v>Ac_0</v>
      </c>
    </row>
    <row r="28" spans="1:9">
      <c r="A28">
        <v>25</v>
      </c>
      <c r="B28" t="s">
        <v>691</v>
      </c>
      <c r="C28" t="s">
        <v>756</v>
      </c>
      <c r="D28" t="s">
        <v>160</v>
      </c>
      <c r="F28" s="69"/>
      <c r="G28" s="69"/>
      <c r="H28" t="s">
        <v>622</v>
      </c>
      <c r="I28" t="str">
        <f>_xlfn.XLOOKUP(tbl_Projects[[#This Row],[Status]],Project_Status[Status],Project_Status[Flag],"",0)</f>
        <v>Ac_0</v>
      </c>
    </row>
    <row r="29" spans="1:9">
      <c r="A29">
        <v>26</v>
      </c>
      <c r="B29" t="s">
        <v>692</v>
      </c>
      <c r="C29" t="s">
        <v>757</v>
      </c>
      <c r="D29" t="s">
        <v>160</v>
      </c>
      <c r="F29" s="69"/>
      <c r="G29" s="69"/>
      <c r="H29" t="s">
        <v>622</v>
      </c>
      <c r="I29" t="str">
        <f>_xlfn.XLOOKUP(tbl_Projects[[#This Row],[Status]],Project_Status[Status],Project_Status[Flag],"",0)</f>
        <v>Ac_0</v>
      </c>
    </row>
    <row r="30" spans="1:9">
      <c r="A30">
        <v>27</v>
      </c>
      <c r="B30" t="s">
        <v>693</v>
      </c>
      <c r="C30" t="s">
        <v>758</v>
      </c>
      <c r="D30" t="s">
        <v>160</v>
      </c>
      <c r="F30" s="69"/>
      <c r="G30" s="69"/>
      <c r="H30" t="s">
        <v>622</v>
      </c>
      <c r="I30" t="str">
        <f>_xlfn.XLOOKUP(tbl_Projects[[#This Row],[Status]],Project_Status[Status],Project_Status[Flag],"",0)</f>
        <v>Ac_0</v>
      </c>
    </row>
    <row r="31" spans="1:9">
      <c r="A31">
        <v>28</v>
      </c>
      <c r="B31" t="s">
        <v>694</v>
      </c>
      <c r="C31" t="s">
        <v>759</v>
      </c>
      <c r="D31" t="s">
        <v>160</v>
      </c>
      <c r="F31" s="69"/>
      <c r="G31" s="69"/>
      <c r="H31" t="s">
        <v>622</v>
      </c>
      <c r="I31" t="str">
        <f>_xlfn.XLOOKUP(tbl_Projects[[#This Row],[Status]],Project_Status[Status],Project_Status[Flag],"",0)</f>
        <v>Ac_0</v>
      </c>
    </row>
    <row r="32" spans="1:9">
      <c r="A32">
        <v>29</v>
      </c>
      <c r="B32" t="s">
        <v>695</v>
      </c>
      <c r="C32" t="s">
        <v>760</v>
      </c>
      <c r="D32" t="s">
        <v>160</v>
      </c>
      <c r="F32" s="69"/>
      <c r="G32" s="69"/>
      <c r="H32" t="s">
        <v>622</v>
      </c>
      <c r="I32" t="str">
        <f>_xlfn.XLOOKUP(tbl_Projects[[#This Row],[Status]],Project_Status[Status],Project_Status[Flag],"",0)</f>
        <v>Ac_0</v>
      </c>
    </row>
    <row r="33" spans="1:9">
      <c r="A33">
        <v>30</v>
      </c>
      <c r="B33" t="s">
        <v>696</v>
      </c>
      <c r="C33" t="s">
        <v>761</v>
      </c>
      <c r="D33" t="s">
        <v>160</v>
      </c>
      <c r="F33" s="69"/>
      <c r="G33" s="69"/>
      <c r="H33" t="s">
        <v>624</v>
      </c>
      <c r="I33" t="str">
        <f>_xlfn.XLOOKUP(tbl_Projects[[#This Row],[Status]],Project_Status[Status],Project_Status[Flag],"",0)</f>
        <v>OH_0</v>
      </c>
    </row>
    <row r="34" spans="1:9">
      <c r="A34">
        <v>31</v>
      </c>
      <c r="B34" t="s">
        <v>697</v>
      </c>
      <c r="C34" t="s">
        <v>762</v>
      </c>
      <c r="D34" t="s">
        <v>160</v>
      </c>
      <c r="F34" s="69"/>
      <c r="G34" s="69"/>
      <c r="H34" t="s">
        <v>624</v>
      </c>
      <c r="I34" t="str">
        <f>_xlfn.XLOOKUP(tbl_Projects[[#This Row],[Status]],Project_Status[Status],Project_Status[Flag],"",0)</f>
        <v>OH_0</v>
      </c>
    </row>
    <row r="35" spans="1:9">
      <c r="A35">
        <v>32</v>
      </c>
      <c r="B35" t="s">
        <v>698</v>
      </c>
      <c r="C35" t="s">
        <v>763</v>
      </c>
      <c r="D35" t="s">
        <v>160</v>
      </c>
      <c r="F35" s="69"/>
      <c r="G35" s="69"/>
      <c r="H35" t="s">
        <v>624</v>
      </c>
      <c r="I35" t="str">
        <f>_xlfn.XLOOKUP(tbl_Projects[[#This Row],[Status]],Project_Status[Status],Project_Status[Flag],"",0)</f>
        <v>OH_0</v>
      </c>
    </row>
    <row r="36" spans="1:9">
      <c r="A36">
        <v>33</v>
      </c>
      <c r="B36" t="s">
        <v>699</v>
      </c>
      <c r="C36" t="s">
        <v>764</v>
      </c>
      <c r="D36" t="s">
        <v>160</v>
      </c>
      <c r="F36" s="69"/>
      <c r="G36" s="69"/>
      <c r="H36" t="s">
        <v>624</v>
      </c>
      <c r="I36" t="str">
        <f>_xlfn.XLOOKUP(tbl_Projects[[#This Row],[Status]],Project_Status[Status],Project_Status[Flag],"",0)</f>
        <v>OH_0</v>
      </c>
    </row>
    <row r="37" spans="1:9">
      <c r="A37">
        <v>34</v>
      </c>
      <c r="B37" t="s">
        <v>700</v>
      </c>
      <c r="C37" t="s">
        <v>765</v>
      </c>
      <c r="D37" t="s">
        <v>160</v>
      </c>
      <c r="F37" s="69"/>
      <c r="G37" s="69"/>
      <c r="H37" t="s">
        <v>624</v>
      </c>
      <c r="I37" t="str">
        <f>_xlfn.XLOOKUP(tbl_Projects[[#This Row],[Status]],Project_Status[Status],Project_Status[Flag],"",0)</f>
        <v>OH_0</v>
      </c>
    </row>
    <row r="38" spans="1:9">
      <c r="A38">
        <v>35</v>
      </c>
      <c r="B38" t="s">
        <v>701</v>
      </c>
      <c r="C38" t="s">
        <v>766</v>
      </c>
      <c r="D38" t="s">
        <v>160</v>
      </c>
      <c r="F38" s="69"/>
      <c r="G38" s="69"/>
      <c r="H38" t="s">
        <v>624</v>
      </c>
      <c r="I38" t="str">
        <f>_xlfn.XLOOKUP(tbl_Projects[[#This Row],[Status]],Project_Status[Status],Project_Status[Flag],"",0)</f>
        <v>OH_0</v>
      </c>
    </row>
    <row r="39" spans="1:9">
      <c r="A39">
        <v>36</v>
      </c>
      <c r="B39" t="s">
        <v>702</v>
      </c>
      <c r="C39" t="s">
        <v>767</v>
      </c>
      <c r="D39" t="s">
        <v>160</v>
      </c>
      <c r="F39" s="69"/>
      <c r="G39" s="69"/>
      <c r="H39" t="s">
        <v>624</v>
      </c>
      <c r="I39" t="str">
        <f>_xlfn.XLOOKUP(tbl_Projects[[#This Row],[Status]],Project_Status[Status],Project_Status[Flag],"",0)</f>
        <v>OH_0</v>
      </c>
    </row>
    <row r="40" spans="1:9">
      <c r="A40">
        <v>37</v>
      </c>
      <c r="B40" t="s">
        <v>703</v>
      </c>
      <c r="C40" t="s">
        <v>768</v>
      </c>
      <c r="D40" t="s">
        <v>160</v>
      </c>
      <c r="F40" s="69"/>
      <c r="G40" s="69"/>
      <c r="H40" t="s">
        <v>624</v>
      </c>
      <c r="I40" t="str">
        <f>_xlfn.XLOOKUP(tbl_Projects[[#This Row],[Status]],Project_Status[Status],Project_Status[Flag],"",0)</f>
        <v>OH_0</v>
      </c>
    </row>
    <row r="41" spans="1:9">
      <c r="A41">
        <v>38</v>
      </c>
      <c r="B41" t="s">
        <v>704</v>
      </c>
      <c r="C41" t="s">
        <v>769</v>
      </c>
      <c r="D41" t="s">
        <v>160</v>
      </c>
      <c r="F41" s="69"/>
      <c r="G41" s="69"/>
      <c r="H41" t="s">
        <v>624</v>
      </c>
      <c r="I41" t="str">
        <f>_xlfn.XLOOKUP(tbl_Projects[[#This Row],[Status]],Project_Status[Status],Project_Status[Flag],"",0)</f>
        <v>OH_0</v>
      </c>
    </row>
    <row r="42" spans="1:9">
      <c r="A42">
        <v>39</v>
      </c>
      <c r="B42" t="s">
        <v>705</v>
      </c>
      <c r="C42" t="s">
        <v>770</v>
      </c>
      <c r="D42" t="s">
        <v>160</v>
      </c>
      <c r="F42" s="69"/>
      <c r="G42" s="69"/>
      <c r="H42" t="s">
        <v>624</v>
      </c>
      <c r="I42" t="str">
        <f>_xlfn.XLOOKUP(tbl_Projects[[#This Row],[Status]],Project_Status[Status],Project_Status[Flag],"",0)</f>
        <v>OH_0</v>
      </c>
    </row>
    <row r="43" spans="1:9">
      <c r="A43">
        <v>40</v>
      </c>
      <c r="B43" t="s">
        <v>706</v>
      </c>
      <c r="C43" t="s">
        <v>771</v>
      </c>
      <c r="D43" t="s">
        <v>160</v>
      </c>
      <c r="F43" s="69"/>
      <c r="G43" s="69"/>
      <c r="H43" t="s">
        <v>624</v>
      </c>
      <c r="I43" t="str">
        <f>_xlfn.XLOOKUP(tbl_Projects[[#This Row],[Status]],Project_Status[Status],Project_Status[Flag],"",0)</f>
        <v>OH_0</v>
      </c>
    </row>
    <row r="44" spans="1:9">
      <c r="A44">
        <v>41</v>
      </c>
      <c r="B44" t="s">
        <v>707</v>
      </c>
      <c r="C44" t="s">
        <v>772</v>
      </c>
      <c r="D44" t="s">
        <v>160</v>
      </c>
      <c r="F44" s="69"/>
      <c r="G44" s="69"/>
      <c r="H44" t="s">
        <v>624</v>
      </c>
      <c r="I44" t="str">
        <f>_xlfn.XLOOKUP(tbl_Projects[[#This Row],[Status]],Project_Status[Status],Project_Status[Flag],"",0)</f>
        <v>OH_0</v>
      </c>
    </row>
    <row r="45" spans="1:9">
      <c r="A45">
        <v>42</v>
      </c>
      <c r="B45" t="s">
        <v>708</v>
      </c>
      <c r="C45" t="s">
        <v>773</v>
      </c>
      <c r="D45" t="s">
        <v>160</v>
      </c>
      <c r="F45" s="69"/>
      <c r="G45" s="69"/>
      <c r="H45" t="s">
        <v>624</v>
      </c>
      <c r="I45" t="str">
        <f>_xlfn.XLOOKUP(tbl_Projects[[#This Row],[Status]],Project_Status[Status],Project_Status[Flag],"",0)</f>
        <v>OH_0</v>
      </c>
    </row>
    <row r="46" spans="1:9">
      <c r="A46">
        <v>43</v>
      </c>
      <c r="B46" t="s">
        <v>709</v>
      </c>
      <c r="C46" t="s">
        <v>774</v>
      </c>
      <c r="D46" t="s">
        <v>160</v>
      </c>
      <c r="F46" s="69"/>
      <c r="G46" s="69"/>
      <c r="H46" t="s">
        <v>624</v>
      </c>
      <c r="I46" t="str">
        <f>_xlfn.XLOOKUP(tbl_Projects[[#This Row],[Status]],Project_Status[Status],Project_Status[Flag],"",0)</f>
        <v>OH_0</v>
      </c>
    </row>
    <row r="47" spans="1:9">
      <c r="A47">
        <v>44</v>
      </c>
      <c r="B47" t="s">
        <v>710</v>
      </c>
      <c r="C47" t="s">
        <v>775</v>
      </c>
      <c r="D47" t="s">
        <v>160</v>
      </c>
      <c r="F47" s="69"/>
      <c r="G47" s="69"/>
      <c r="H47" t="s">
        <v>622</v>
      </c>
      <c r="I47" t="str">
        <f>_xlfn.XLOOKUP(tbl_Projects[[#This Row],[Status]],Project_Status[Status],Project_Status[Flag],"",0)</f>
        <v>Ac_0</v>
      </c>
    </row>
    <row r="48" spans="1:9">
      <c r="A48">
        <v>45</v>
      </c>
      <c r="B48" t="s">
        <v>711</v>
      </c>
      <c r="C48" t="s">
        <v>776</v>
      </c>
      <c r="D48" t="s">
        <v>160</v>
      </c>
      <c r="F48" s="69"/>
      <c r="G48" s="69"/>
      <c r="H48" t="s">
        <v>622</v>
      </c>
      <c r="I48" t="str">
        <f>_xlfn.XLOOKUP(tbl_Projects[[#This Row],[Status]],Project_Status[Status],Project_Status[Flag],"",0)</f>
        <v>Ac_0</v>
      </c>
    </row>
    <row r="49" spans="1:9">
      <c r="A49">
        <v>46</v>
      </c>
      <c r="B49" t="s">
        <v>712</v>
      </c>
      <c r="C49" t="s">
        <v>777</v>
      </c>
      <c r="D49" t="s">
        <v>160</v>
      </c>
      <c r="F49" s="69"/>
      <c r="G49" s="69"/>
      <c r="H49" t="s">
        <v>622</v>
      </c>
      <c r="I49" t="str">
        <f>_xlfn.XLOOKUP(tbl_Projects[[#This Row],[Status]],Project_Status[Status],Project_Status[Flag],"",0)</f>
        <v>Ac_0</v>
      </c>
    </row>
    <row r="50" spans="1:9">
      <c r="A50">
        <v>47</v>
      </c>
      <c r="B50" t="s">
        <v>713</v>
      </c>
      <c r="C50" t="s">
        <v>778</v>
      </c>
      <c r="D50" t="s">
        <v>160</v>
      </c>
      <c r="F50" s="69"/>
      <c r="G50" s="69"/>
      <c r="H50" t="s">
        <v>622</v>
      </c>
      <c r="I50" t="str">
        <f>_xlfn.XLOOKUP(tbl_Projects[[#This Row],[Status]],Project_Status[Status],Project_Status[Flag],"",0)</f>
        <v>Ac_0</v>
      </c>
    </row>
    <row r="51" spans="1:9">
      <c r="A51">
        <v>48</v>
      </c>
      <c r="B51" t="s">
        <v>714</v>
      </c>
      <c r="C51" t="s">
        <v>779</v>
      </c>
      <c r="D51" t="s">
        <v>160</v>
      </c>
      <c r="F51" s="69"/>
      <c r="G51" s="69"/>
      <c r="H51" t="s">
        <v>622</v>
      </c>
      <c r="I51" t="str">
        <f>_xlfn.XLOOKUP(tbl_Projects[[#This Row],[Status]],Project_Status[Status],Project_Status[Flag],"",0)</f>
        <v>Ac_0</v>
      </c>
    </row>
    <row r="52" spans="1:9">
      <c r="A52">
        <v>49</v>
      </c>
      <c r="B52" t="s">
        <v>715</v>
      </c>
      <c r="C52" t="s">
        <v>780</v>
      </c>
      <c r="D52" t="s">
        <v>160</v>
      </c>
      <c r="F52" s="69"/>
      <c r="G52" s="69"/>
      <c r="H52" t="s">
        <v>622</v>
      </c>
      <c r="I52" t="str">
        <f>_xlfn.XLOOKUP(tbl_Projects[[#This Row],[Status]],Project_Status[Status],Project_Status[Flag],"",0)</f>
        <v>Ac_0</v>
      </c>
    </row>
    <row r="53" spans="1:9">
      <c r="A53">
        <v>50</v>
      </c>
      <c r="B53" t="s">
        <v>716</v>
      </c>
      <c r="C53" t="s">
        <v>781</v>
      </c>
      <c r="D53" t="s">
        <v>160</v>
      </c>
      <c r="F53" s="69"/>
      <c r="G53" s="69"/>
      <c r="H53" t="s">
        <v>622</v>
      </c>
      <c r="I53" t="str">
        <f>_xlfn.XLOOKUP(tbl_Projects[[#This Row],[Status]],Project_Status[Status],Project_Status[Flag],"",0)</f>
        <v>Ac_0</v>
      </c>
    </row>
    <row r="54" spans="1:9">
      <c r="A54">
        <v>51</v>
      </c>
      <c r="B54" t="s">
        <v>717</v>
      </c>
      <c r="C54" t="s">
        <v>782</v>
      </c>
      <c r="D54" t="s">
        <v>160</v>
      </c>
      <c r="F54" s="69"/>
      <c r="G54" s="69"/>
      <c r="H54" t="s">
        <v>622</v>
      </c>
      <c r="I54" t="str">
        <f>_xlfn.XLOOKUP(tbl_Projects[[#This Row],[Status]],Project_Status[Status],Project_Status[Flag],"",0)</f>
        <v>Ac_0</v>
      </c>
    </row>
    <row r="55" spans="1:9">
      <c r="A55">
        <v>52</v>
      </c>
      <c r="B55" t="s">
        <v>718</v>
      </c>
      <c r="C55" t="s">
        <v>783</v>
      </c>
      <c r="D55" t="s">
        <v>160</v>
      </c>
      <c r="F55" s="69"/>
      <c r="G55" s="69"/>
      <c r="H55" t="s">
        <v>622</v>
      </c>
      <c r="I55" t="str">
        <f>_xlfn.XLOOKUP(tbl_Projects[[#This Row],[Status]],Project_Status[Status],Project_Status[Flag],"",0)</f>
        <v>Ac_0</v>
      </c>
    </row>
    <row r="56" spans="1:9">
      <c r="A56">
        <v>53</v>
      </c>
      <c r="B56" t="s">
        <v>719</v>
      </c>
      <c r="C56" t="s">
        <v>784</v>
      </c>
      <c r="D56" t="s">
        <v>160</v>
      </c>
      <c r="F56" s="69"/>
      <c r="G56" s="69"/>
      <c r="H56" t="s">
        <v>622</v>
      </c>
      <c r="I56" t="str">
        <f>_xlfn.XLOOKUP(tbl_Projects[[#This Row],[Status]],Project_Status[Status],Project_Status[Flag],"",0)</f>
        <v>Ac_0</v>
      </c>
    </row>
    <row r="57" spans="1:9">
      <c r="A57">
        <v>54</v>
      </c>
      <c r="B57" t="s">
        <v>720</v>
      </c>
      <c r="C57" t="s">
        <v>785</v>
      </c>
      <c r="D57" t="s">
        <v>160</v>
      </c>
      <c r="F57" s="69"/>
      <c r="G57" s="69"/>
      <c r="H57" t="s">
        <v>622</v>
      </c>
      <c r="I57" t="str">
        <f>_xlfn.XLOOKUP(tbl_Projects[[#This Row],[Status]],Project_Status[Status],Project_Status[Flag],"",0)</f>
        <v>Ac_0</v>
      </c>
    </row>
    <row r="58" spans="1:9">
      <c r="A58">
        <v>55</v>
      </c>
      <c r="B58" t="s">
        <v>798</v>
      </c>
      <c r="C58" t="s">
        <v>786</v>
      </c>
      <c r="D58" t="s">
        <v>160</v>
      </c>
      <c r="F58" s="69"/>
      <c r="G58" s="69"/>
      <c r="H58" t="s">
        <v>622</v>
      </c>
      <c r="I58" t="str">
        <f>_xlfn.XLOOKUP(tbl_Projects[[#This Row],[Status]],Project_Status[Status],Project_Status[Flag],"",0)</f>
        <v>Ac_0</v>
      </c>
    </row>
    <row r="59" spans="1:9">
      <c r="A59">
        <v>56</v>
      </c>
      <c r="B59" t="s">
        <v>721</v>
      </c>
      <c r="C59" t="s">
        <v>787</v>
      </c>
      <c r="D59" t="s">
        <v>160</v>
      </c>
      <c r="F59" s="69"/>
      <c r="G59" s="69"/>
      <c r="H59" t="s">
        <v>622</v>
      </c>
      <c r="I59" t="str">
        <f>_xlfn.XLOOKUP(tbl_Projects[[#This Row],[Status]],Project_Status[Status],Project_Status[Flag],"",0)</f>
        <v>Ac_0</v>
      </c>
    </row>
    <row r="60" spans="1:9">
      <c r="A60">
        <v>57</v>
      </c>
      <c r="B60" t="s">
        <v>722</v>
      </c>
      <c r="C60" t="s">
        <v>788</v>
      </c>
      <c r="D60" t="s">
        <v>160</v>
      </c>
      <c r="F60" s="69"/>
      <c r="G60" s="69"/>
      <c r="H60" t="s">
        <v>623</v>
      </c>
      <c r="I60" t="str">
        <f>_xlfn.XLOOKUP(tbl_Projects[[#This Row],[Status]],Project_Status[Status],Project_Status[Flag],"",0)</f>
        <v>Co_0</v>
      </c>
    </row>
    <row r="61" spans="1:9">
      <c r="A61">
        <v>58</v>
      </c>
      <c r="B61" t="s">
        <v>723</v>
      </c>
      <c r="C61" t="s">
        <v>789</v>
      </c>
      <c r="D61" t="s">
        <v>160</v>
      </c>
      <c r="F61" s="69"/>
      <c r="G61" s="69"/>
      <c r="H61" t="s">
        <v>623</v>
      </c>
      <c r="I61" t="str">
        <f>_xlfn.XLOOKUP(tbl_Projects[[#This Row],[Status]],Project_Status[Status],Project_Status[Flag],"",0)</f>
        <v>Co_0</v>
      </c>
    </row>
    <row r="62" spans="1:9">
      <c r="A62">
        <v>59</v>
      </c>
      <c r="B62" t="s">
        <v>724</v>
      </c>
      <c r="C62" t="s">
        <v>27</v>
      </c>
      <c r="D62" t="s">
        <v>160</v>
      </c>
      <c r="F62" s="69"/>
      <c r="G62" s="69"/>
      <c r="H62" t="s">
        <v>623</v>
      </c>
      <c r="I62" t="str">
        <f>_xlfn.XLOOKUP(tbl_Projects[[#This Row],[Status]],Project_Status[Status],Project_Status[Flag],"",0)</f>
        <v>Co_0</v>
      </c>
    </row>
    <row r="63" spans="1:9">
      <c r="A63">
        <v>60</v>
      </c>
      <c r="B63" t="s">
        <v>725</v>
      </c>
      <c r="C63" t="s">
        <v>790</v>
      </c>
      <c r="D63" t="s">
        <v>160</v>
      </c>
      <c r="F63" s="69"/>
      <c r="G63" s="69"/>
      <c r="H63" t="s">
        <v>623</v>
      </c>
      <c r="I63" t="str">
        <f>_xlfn.XLOOKUP(tbl_Projects[[#This Row],[Status]],Project_Status[Status],Project_Status[Flag],"",0)</f>
        <v>Co_0</v>
      </c>
    </row>
    <row r="64" spans="1:9">
      <c r="A64">
        <v>61</v>
      </c>
      <c r="B64" t="s">
        <v>726</v>
      </c>
      <c r="C64" t="s">
        <v>791</v>
      </c>
      <c r="D64" t="s">
        <v>160</v>
      </c>
      <c r="F64" s="69"/>
      <c r="G64" s="69"/>
      <c r="H64" t="s">
        <v>623</v>
      </c>
      <c r="I64" t="str">
        <f>_xlfn.XLOOKUP(tbl_Projects[[#This Row],[Status]],Project_Status[Status],Project_Status[Flag],"",0)</f>
        <v>Co_0</v>
      </c>
    </row>
    <row r="65" spans="1:9">
      <c r="A65">
        <v>62</v>
      </c>
      <c r="B65" t="s">
        <v>727</v>
      </c>
      <c r="C65" t="s">
        <v>792</v>
      </c>
      <c r="D65" t="s">
        <v>160</v>
      </c>
      <c r="F65" s="69"/>
      <c r="G65" s="69"/>
      <c r="H65" t="s">
        <v>623</v>
      </c>
      <c r="I65" t="str">
        <f>_xlfn.XLOOKUP(tbl_Projects[[#This Row],[Status]],Project_Status[Status],Project_Status[Flag],"",0)</f>
        <v>Co_0</v>
      </c>
    </row>
    <row r="66" spans="1:9">
      <c r="A66">
        <v>63</v>
      </c>
      <c r="B66" t="s">
        <v>728</v>
      </c>
      <c r="C66" t="s">
        <v>793</v>
      </c>
      <c r="D66" t="s">
        <v>160</v>
      </c>
      <c r="F66" s="69"/>
      <c r="G66" s="69"/>
      <c r="H66" t="s">
        <v>623</v>
      </c>
      <c r="I66" t="str">
        <f>_xlfn.XLOOKUP(tbl_Projects[[#This Row],[Status]],Project_Status[Status],Project_Status[Flag],"",0)</f>
        <v>Co_0</v>
      </c>
    </row>
    <row r="67" spans="1:9">
      <c r="A67">
        <v>64</v>
      </c>
      <c r="B67" t="s">
        <v>729</v>
      </c>
      <c r="C67" t="s">
        <v>794</v>
      </c>
      <c r="D67" t="s">
        <v>160</v>
      </c>
      <c r="F67" s="69"/>
      <c r="G67" s="69"/>
      <c r="H67" t="s">
        <v>623</v>
      </c>
      <c r="I67" t="str">
        <f>_xlfn.XLOOKUP(tbl_Projects[[#This Row],[Status]],Project_Status[Status],Project_Status[Flag],"",0)</f>
        <v>Co_0</v>
      </c>
    </row>
    <row r="68" spans="1:9">
      <c r="A68">
        <v>65</v>
      </c>
      <c r="B68" t="s">
        <v>730</v>
      </c>
      <c r="C68" t="s">
        <v>795</v>
      </c>
      <c r="D68" t="s">
        <v>160</v>
      </c>
      <c r="F68" s="69"/>
      <c r="G68" s="69"/>
      <c r="H68" t="s">
        <v>623</v>
      </c>
      <c r="I68" t="str">
        <f>_xlfn.XLOOKUP(tbl_Projects[[#This Row],[Status]],Project_Status[Status],Project_Status[Flag],"",0)</f>
        <v>Co_0</v>
      </c>
    </row>
    <row r="69" spans="1:9">
      <c r="A69">
        <v>66</v>
      </c>
      <c r="B69" t="s">
        <v>731</v>
      </c>
      <c r="C69" t="s">
        <v>796</v>
      </c>
      <c r="D69" t="s">
        <v>160</v>
      </c>
      <c r="F69" s="69"/>
      <c r="G69" s="69"/>
      <c r="H69" t="s">
        <v>623</v>
      </c>
      <c r="I69" t="str">
        <f>_xlfn.XLOOKUP(tbl_Projects[[#This Row],[Status]],Project_Status[Status],Project_Status[Flag],"",0)</f>
        <v>Co_0</v>
      </c>
    </row>
    <row r="70" spans="1:9">
      <c r="A70">
        <v>67</v>
      </c>
      <c r="B70" t="s">
        <v>732</v>
      </c>
      <c r="C70" t="s">
        <v>797</v>
      </c>
      <c r="D70" t="s">
        <v>160</v>
      </c>
      <c r="F70" s="69"/>
      <c r="G70" s="69"/>
      <c r="H70" t="s">
        <v>623</v>
      </c>
      <c r="I70" t="str">
        <f>_xlfn.XLOOKUP(tbl_Projects[[#This Row],[Status]],Project_Status[Status],Project_Status[Flag],"",0)</f>
        <v>Co_0</v>
      </c>
    </row>
  </sheetData>
  <mergeCells count="1">
    <mergeCell ref="A1:M1"/>
  </mergeCells>
  <phoneticPr fontId="15" type="noConversion"/>
  <conditionalFormatting sqref="B4:B70">
    <cfRule type="duplicateValues" dxfId="4" priority="1"/>
  </conditionalFormatting>
  <conditionalFormatting sqref="B71:B1048576 B1:B2">
    <cfRule type="duplicateValues" dxfId="3" priority="6"/>
  </conditionalFormatting>
  <dataValidations count="3">
    <dataValidation type="list" allowBlank="1" errorTitle="قسم غير صحيح" error="اختر قسم صحيح" promptTitle="القسم" prompt="اختر القسم" sqref="D4:D70" xr:uid="{B04218E2-3BB8-4729-9A29-8DE3AA156C9A}">
      <formula1>INDIRECT("tbl_Dept[Dept_Name]")</formula1>
    </dataValidation>
    <dataValidation type="list" allowBlank="1" showInputMessage="1" showErrorMessage="1" sqref="E4:E70" xr:uid="{3B7C1AA6-057C-40C4-ADDB-591763900921}">
      <formula1>INDIRECT("Loc[Location]")</formula1>
    </dataValidation>
    <dataValidation type="list" allowBlank="1" showInputMessage="1" showErrorMessage="1" sqref="H4:H70" xr:uid="{AEC37319-18E4-471C-B134-91415850099A}">
      <formula1>INDIRECT("Project_Status[Status]")</formula1>
    </dataValidation>
  </dataValidations>
  <pageMargins left="0.75" right="0.75" top="1" bottom="1" header="0.511811023622047" footer="0.511811023622047"/>
  <pageSetup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85648"/>
    <pageSetUpPr fitToPage="1"/>
  </sheetPr>
  <dimension ref="A1:AJ30"/>
  <sheetViews>
    <sheetView rightToLeft="1" zoomScale="40" zoomScaleNormal="40" workbookViewId="0">
      <pane xSplit="4" ySplit="4" topLeftCell="F5" activePane="bottomRight" state="frozen"/>
      <selection pane="topRight" activeCell="E1" sqref="E1"/>
      <selection pane="bottomLeft" activeCell="A4" sqref="A4"/>
      <selection pane="bottomRight" activeCell="O41" sqref="O41"/>
    </sheetView>
  </sheetViews>
  <sheetFormatPr defaultColWidth="8.68359375" defaultRowHeight="14.4"/>
  <cols>
    <col min="1" max="1" width="4" customWidth="1"/>
    <col min="2" max="2" width="12" customWidth="1"/>
    <col min="3" max="3" width="13" customWidth="1"/>
    <col min="4" max="5" width="16" customWidth="1"/>
    <col min="6" max="6" width="20" customWidth="1"/>
    <col min="7" max="7" width="20" hidden="1" customWidth="1"/>
    <col min="8" max="8" width="18" customWidth="1"/>
    <col min="9" max="9" width="22.83984375" customWidth="1"/>
    <col min="10" max="10" width="16" customWidth="1"/>
    <col min="11" max="11" width="14.05078125" bestFit="1" customWidth="1"/>
    <col min="12" max="12" width="16.83984375" customWidth="1"/>
    <col min="13" max="13" width="16" customWidth="1"/>
    <col min="14" max="14" width="14" customWidth="1"/>
    <col min="15" max="17" width="18" customWidth="1"/>
    <col min="18" max="18" width="21.7890625" customWidth="1"/>
    <col min="19" max="19" width="22" customWidth="1"/>
    <col min="20" max="21" width="16" customWidth="1"/>
    <col min="22" max="22" width="19.7890625" customWidth="1"/>
    <col min="23" max="24" width="14" customWidth="1"/>
    <col min="25" max="25" width="16.578125" customWidth="1"/>
    <col min="26" max="28" width="16" customWidth="1"/>
    <col min="29" max="32" width="12.41796875" customWidth="1"/>
    <col min="33" max="33" width="17.62890625" customWidth="1"/>
    <col min="34" max="34" width="16.1015625" customWidth="1"/>
    <col min="35" max="35" width="13" customWidth="1"/>
    <col min="36" max="36" width="17.3125" customWidth="1"/>
  </cols>
  <sheetData>
    <row r="1" spans="1:36" ht="36" customHeight="1">
      <c r="A1" s="111" t="s">
        <v>991</v>
      </c>
      <c r="B1" s="111"/>
      <c r="C1" s="111"/>
      <c r="D1" s="111"/>
      <c r="E1" s="111"/>
      <c r="F1" s="111"/>
      <c r="G1" s="111"/>
      <c r="H1" s="111"/>
      <c r="I1" s="111"/>
      <c r="J1" s="111"/>
      <c r="K1" s="111"/>
      <c r="L1" s="111"/>
      <c r="M1" s="111"/>
      <c r="N1" s="111"/>
      <c r="O1" s="111"/>
      <c r="P1" s="111"/>
      <c r="Q1" s="111"/>
      <c r="R1" s="111"/>
      <c r="S1" s="111"/>
      <c r="T1" s="111"/>
      <c r="U1" s="111"/>
      <c r="V1" s="111"/>
      <c r="W1" s="111"/>
      <c r="X1" s="111"/>
      <c r="Y1" s="111"/>
      <c r="Z1" s="111"/>
      <c r="AA1" s="111"/>
      <c r="AB1" s="111"/>
      <c r="AC1" s="111"/>
      <c r="AD1" s="111"/>
      <c r="AE1" s="111"/>
      <c r="AF1" s="111"/>
      <c r="AG1" s="111"/>
      <c r="AH1" s="111"/>
      <c r="AI1" s="111"/>
      <c r="AJ1" s="111"/>
    </row>
    <row r="2" spans="1:36" ht="19.5" customHeight="1">
      <c r="A2" s="78" t="s">
        <v>37</v>
      </c>
      <c r="B2" s="123" t="s">
        <v>39</v>
      </c>
      <c r="C2" s="124"/>
      <c r="D2" s="124"/>
      <c r="E2" s="124"/>
      <c r="F2" s="124"/>
      <c r="G2" s="125"/>
      <c r="H2" s="108" t="s">
        <v>40</v>
      </c>
      <c r="I2" s="109"/>
      <c r="J2" s="109"/>
      <c r="K2" s="109"/>
      <c r="L2" s="109"/>
      <c r="M2" s="109"/>
      <c r="N2" s="110"/>
      <c r="O2" s="112" t="s">
        <v>41</v>
      </c>
      <c r="P2" s="113"/>
      <c r="Q2" s="113"/>
      <c r="R2" s="113"/>
      <c r="S2" s="113"/>
      <c r="T2" s="113"/>
      <c r="U2" s="113"/>
      <c r="V2" s="113"/>
      <c r="W2" s="113"/>
      <c r="X2" s="114"/>
      <c r="Y2" s="115" t="s">
        <v>42</v>
      </c>
      <c r="Z2" s="116"/>
      <c r="AA2" s="116"/>
      <c r="AB2" s="116"/>
      <c r="AC2" s="117"/>
      <c r="AD2" s="120" t="s">
        <v>43</v>
      </c>
      <c r="AE2" s="121"/>
      <c r="AF2" s="121"/>
      <c r="AG2" s="122"/>
      <c r="AH2" s="79" t="s">
        <v>44</v>
      </c>
      <c r="AI2" s="118" t="s">
        <v>363</v>
      </c>
      <c r="AJ2" s="119"/>
    </row>
    <row r="3" spans="1:36" ht="27.6" customHeight="1">
      <c r="A3" s="81" t="s">
        <v>75</v>
      </c>
      <c r="B3" s="81" t="s">
        <v>630</v>
      </c>
      <c r="C3" s="81" t="s">
        <v>76</v>
      </c>
      <c r="D3" s="81" t="s">
        <v>78</v>
      </c>
      <c r="E3" s="81" t="s">
        <v>631</v>
      </c>
      <c r="F3" s="81" t="s">
        <v>432</v>
      </c>
      <c r="G3" s="81"/>
      <c r="H3" s="82" t="s">
        <v>429</v>
      </c>
      <c r="I3" s="82" t="s">
        <v>430</v>
      </c>
      <c r="J3" s="82" t="s">
        <v>632</v>
      </c>
      <c r="K3" s="82" t="s">
        <v>633</v>
      </c>
      <c r="L3" s="82" t="s">
        <v>634</v>
      </c>
      <c r="M3" s="82" t="s">
        <v>635</v>
      </c>
      <c r="N3" s="82" t="s">
        <v>636</v>
      </c>
      <c r="O3" s="83" t="s">
        <v>637</v>
      </c>
      <c r="P3" s="83" t="s">
        <v>638</v>
      </c>
      <c r="Q3" s="83" t="s">
        <v>639</v>
      </c>
      <c r="R3" s="83" t="s">
        <v>439</v>
      </c>
      <c r="S3" s="83" t="s">
        <v>640</v>
      </c>
      <c r="T3" s="83" t="s">
        <v>641</v>
      </c>
      <c r="U3" s="83" t="s">
        <v>642</v>
      </c>
      <c r="V3" s="83" t="s">
        <v>643</v>
      </c>
      <c r="W3" s="83" t="s">
        <v>644</v>
      </c>
      <c r="X3" s="83" t="s">
        <v>77</v>
      </c>
      <c r="Y3" s="84" t="s">
        <v>645</v>
      </c>
      <c r="Z3" s="84" t="s">
        <v>646</v>
      </c>
      <c r="AA3" s="84" t="s">
        <v>647</v>
      </c>
      <c r="AB3" s="84" t="s">
        <v>648</v>
      </c>
      <c r="AC3" s="84" t="s">
        <v>649</v>
      </c>
      <c r="AD3" s="85" t="s">
        <v>650</v>
      </c>
      <c r="AE3" s="85" t="s">
        <v>656</v>
      </c>
      <c r="AF3" s="85" t="s">
        <v>657</v>
      </c>
      <c r="AG3" s="85" t="s">
        <v>651</v>
      </c>
      <c r="AH3" s="86" t="s">
        <v>652</v>
      </c>
      <c r="AI3" s="87" t="s">
        <v>653</v>
      </c>
      <c r="AJ3" s="87" t="s">
        <v>654</v>
      </c>
    </row>
    <row r="4" spans="1:36" ht="31.5" customHeight="1">
      <c r="A4" s="11" t="s">
        <v>37</v>
      </c>
      <c r="B4" s="12" t="s">
        <v>79</v>
      </c>
      <c r="C4" s="12" t="s">
        <v>0</v>
      </c>
      <c r="D4" s="12" t="s">
        <v>80</v>
      </c>
      <c r="E4" s="12" t="s">
        <v>372</v>
      </c>
      <c r="F4" s="12" t="s">
        <v>81</v>
      </c>
      <c r="G4" s="12" t="s">
        <v>86</v>
      </c>
      <c r="H4" s="14" t="s">
        <v>82</v>
      </c>
      <c r="I4" s="14" t="s">
        <v>83</v>
      </c>
      <c r="J4" s="14" t="s">
        <v>84</v>
      </c>
      <c r="K4" s="40" t="s">
        <v>361</v>
      </c>
      <c r="L4" s="40" t="s">
        <v>618</v>
      </c>
      <c r="M4" s="14" t="s">
        <v>149</v>
      </c>
      <c r="N4" s="14" t="s">
        <v>88</v>
      </c>
      <c r="O4" s="24" t="s">
        <v>614</v>
      </c>
      <c r="P4" s="24" t="s">
        <v>150</v>
      </c>
      <c r="Q4" s="24" t="s">
        <v>615</v>
      </c>
      <c r="R4" s="24" t="s">
        <v>145</v>
      </c>
      <c r="S4" s="24" t="s">
        <v>403</v>
      </c>
      <c r="T4" s="24" t="s">
        <v>2</v>
      </c>
      <c r="U4" s="24" t="s">
        <v>613</v>
      </c>
      <c r="V4" s="24" t="s">
        <v>617</v>
      </c>
      <c r="W4" s="24" t="s">
        <v>616</v>
      </c>
      <c r="X4" s="24" t="s">
        <v>148</v>
      </c>
      <c r="Y4" s="25" t="s">
        <v>151</v>
      </c>
      <c r="Z4" s="25" t="s">
        <v>152</v>
      </c>
      <c r="AA4" s="25" t="s">
        <v>362</v>
      </c>
      <c r="AB4" s="25" t="s">
        <v>356</v>
      </c>
      <c r="AC4" s="25" t="s">
        <v>611</v>
      </c>
      <c r="AD4" s="26" t="s">
        <v>610</v>
      </c>
      <c r="AE4" s="26" t="s">
        <v>655</v>
      </c>
      <c r="AF4" s="26" t="s">
        <v>153</v>
      </c>
      <c r="AG4" s="70" t="s">
        <v>612</v>
      </c>
      <c r="AH4" s="80" t="s">
        <v>357</v>
      </c>
      <c r="AI4" s="41" t="s">
        <v>374</v>
      </c>
      <c r="AJ4" s="49" t="s">
        <v>373</v>
      </c>
    </row>
    <row r="5" spans="1:36" ht="19.5" customHeight="1">
      <c r="A5" s="6">
        <v>1</v>
      </c>
      <c r="B5" s="37" t="str">
        <f>_xlfn.XLOOKUP(Master_Employee[[#This Row],[Name_AR]],Lists!AN:AN,Lists!AL:AL," ",0)</f>
        <v>O60</v>
      </c>
      <c r="C5" s="39" t="str">
        <f>_xlfn.XLOOKUP(Master_Employee[[#This Row],[Department]],tbl_Dept[Dept_Name],tbl_Dept[Dept_ID],"",0)</f>
        <v>CON_D03</v>
      </c>
      <c r="D5" s="3" t="s">
        <v>16</v>
      </c>
      <c r="E5" s="3" t="str">
        <f>_xlfn.XLOOKUP(Master_Employee[[#This Row],[Dept_ID]],tbl_Dept[Dept_ID],tbl_Dept[Dept_Name_EN],"",0)</f>
        <v>Construction</v>
      </c>
      <c r="F5" s="2"/>
      <c r="G5" s="2" t="str">
        <f>_xlfn.XLOOKUP(Master_Employee[[#This Row],[Supervisor_Name]],EmpNames,EmpIDs,"",0)</f>
        <v/>
      </c>
      <c r="H5" s="3" t="s">
        <v>191</v>
      </c>
      <c r="I5" s="59" t="str">
        <f>_xlfn.XLOOKUP(Master_Employee[[#This Row],[Emp_ID]],Lists!AL:AL,Lists!AO:AO,"",0)</f>
        <v>Muhammad Akbar Safi</v>
      </c>
      <c r="J5" s="21" t="s">
        <v>45</v>
      </c>
      <c r="K5" s="5">
        <v>46122</v>
      </c>
      <c r="L5">
        <f ca="1">IF(Master_Employee[[#This Row],[Q_ID_Expire_Date]]="","",TODAY()-Master_Employee[[#This Row],[Q_ID_Expire_Date]])</f>
        <v>101</v>
      </c>
      <c r="M5" s="3" t="s">
        <v>962</v>
      </c>
      <c r="N5" s="3" t="s">
        <v>121</v>
      </c>
      <c r="O5" s="5">
        <v>44927</v>
      </c>
      <c r="P5" s="5"/>
      <c r="Q5" s="5"/>
      <c r="R5" s="3" t="s">
        <v>411</v>
      </c>
      <c r="S5" s="55" t="str">
        <f>_xlfn.XLOOKUP(Master_Employee[[#This Row],[Emp_Status]],Emp_Status[Emp_Status],Emp_Status[Status_Code],"",0)</f>
        <v>W_01</v>
      </c>
      <c r="T5" s="3" t="s">
        <v>421</v>
      </c>
      <c r="U5" s="3" t="str">
        <f>_xlfn.XLOOKUP(Master_Employee[[#This Row],[Payment_Method]],Pay[Payment_Method],Pay[Pay_Code],"",0)</f>
        <v>V_0</v>
      </c>
      <c r="V5" s="3"/>
      <c r="W5" s="3"/>
      <c r="X5" s="2"/>
      <c r="Y5" s="2">
        <v>1700</v>
      </c>
      <c r="Z5" s="2"/>
      <c r="AA5" s="2">
        <v>0</v>
      </c>
      <c r="AB5" s="2">
        <v>0</v>
      </c>
      <c r="AC5" s="2">
        <f>Master_Employee[[#This Row],[Basic_Salary]]+Master_Employee[[#This Row],[Living_Allowance]]+Master_Employee[[#This Row],[Transport_Allowance]]+Master_Employee[[#This Row],[Other_Allowance]]</f>
        <v>1700</v>
      </c>
      <c r="AD5" s="15">
        <f>(Master_Employee[[#This Row],[Total_Salary]]/30)</f>
        <v>56.666666666666664</v>
      </c>
      <c r="AE5" s="15">
        <f>Master_Employee[[#This Row],[Daily_Rate]]/8</f>
        <v>7.083333333333333</v>
      </c>
      <c r="AF5" s="16">
        <f>(Master_Employee[[#This Row],[Basic_Salary]]/30/8)*(Master_Employee[[#This Row],[OT_Multiplier]])</f>
        <v>7.083333333333333</v>
      </c>
      <c r="AG5" s="71">
        <f>1</f>
        <v>1</v>
      </c>
      <c r="AH5" s="7" t="s">
        <v>831</v>
      </c>
      <c r="AI5" s="36" t="s">
        <v>377</v>
      </c>
      <c r="AJ5" s="50"/>
    </row>
    <row r="6" spans="1:36" ht="19.5" customHeight="1">
      <c r="A6" s="6">
        <v>2</v>
      </c>
      <c r="B6" s="37" t="str">
        <f>_xlfn.XLOOKUP(Master_Employee[[#This Row],[Name_AR]],Lists!AN:AN,Lists!AL:AL," ",0)</f>
        <v>O61</v>
      </c>
      <c r="C6" s="39" t="str">
        <f>_xlfn.XLOOKUP(Master_Employee[[#This Row],[Department]],tbl_Dept[Dept_Name],tbl_Dept[Dept_ID],"",0)</f>
        <v>CON_D03</v>
      </c>
      <c r="D6" s="3" t="s">
        <v>16</v>
      </c>
      <c r="E6" s="3" t="str">
        <f>_xlfn.XLOOKUP(Master_Employee[[#This Row],[Dept_ID]],tbl_Dept[Dept_ID],tbl_Dept[Dept_Name_EN],"",0)</f>
        <v>Construction</v>
      </c>
      <c r="F6" s="2"/>
      <c r="G6" s="2" t="str">
        <f>_xlfn.XLOOKUP(Master_Employee[[#This Row],[Supervisor_Name]],EmpNames,EmpIDs,"",0)</f>
        <v/>
      </c>
      <c r="H6" s="3" t="s">
        <v>240</v>
      </c>
      <c r="I6" s="59" t="str">
        <f>_xlfn.XLOOKUP(Master_Employee[[#This Row],[Emp_ID]],Lists!AL:AL,Lists!AO:AO,"",0)</f>
        <v>Abdul Hakim Rustam Ansari</v>
      </c>
      <c r="J6" s="21" t="s">
        <v>47</v>
      </c>
      <c r="K6" s="5">
        <v>46116</v>
      </c>
      <c r="L6">
        <f ca="1">IF(Master_Employee[[#This Row],[Q_ID_Expire_Date]]="","",TODAY()-Master_Employee[[#This Row],[Q_ID_Expire_Date]])</f>
        <v>107</v>
      </c>
      <c r="M6" s="3" t="s">
        <v>962</v>
      </c>
      <c r="N6" s="3" t="s">
        <v>427</v>
      </c>
      <c r="O6" s="5" t="s">
        <v>48</v>
      </c>
      <c r="P6" s="5"/>
      <c r="Q6" s="5"/>
      <c r="R6" s="3" t="s">
        <v>411</v>
      </c>
      <c r="S6" s="55" t="str">
        <f>_xlfn.XLOOKUP(Master_Employee[[#This Row],[Emp_Status]],Emp_Status[Emp_Status],Emp_Status[Status_Code],"",0)</f>
        <v>W_01</v>
      </c>
      <c r="T6" s="3" t="s">
        <v>421</v>
      </c>
      <c r="U6" s="3" t="str">
        <f>_xlfn.XLOOKUP(Master_Employee[[#This Row],[Payment_Method]],Pay[Payment_Method],Pay[Pay_Code],"",0)</f>
        <v>V_0</v>
      </c>
      <c r="V6" s="3"/>
      <c r="W6" s="3"/>
      <c r="X6" s="2"/>
      <c r="Y6" s="2">
        <v>1400</v>
      </c>
      <c r="Z6" s="2"/>
      <c r="AA6" s="2">
        <v>0</v>
      </c>
      <c r="AB6" s="2">
        <v>0</v>
      </c>
      <c r="AC6" s="2">
        <f>Master_Employee[[#This Row],[Basic_Salary]]+Master_Employee[[#This Row],[Living_Allowance]]+Master_Employee[[#This Row],[Transport_Allowance]]+Master_Employee[[#This Row],[Other_Allowance]]</f>
        <v>1400</v>
      </c>
      <c r="AD6" s="15">
        <f>(Master_Employee[[#This Row],[Total_Salary]]/30)</f>
        <v>46.666666666666664</v>
      </c>
      <c r="AE6" s="15">
        <f>Master_Employee[[#This Row],[Daily_Rate]]/8</f>
        <v>5.833333333333333</v>
      </c>
      <c r="AF6" s="16">
        <f>(Master_Employee[[#This Row],[Basic_Salary]]/30/8)*(Master_Employee[[#This Row],[OT_Multiplier]])</f>
        <v>5.833333333333333</v>
      </c>
      <c r="AG6" s="71">
        <f>1</f>
        <v>1</v>
      </c>
      <c r="AH6" s="7" t="s">
        <v>46</v>
      </c>
      <c r="AI6" s="36" t="s">
        <v>377</v>
      </c>
      <c r="AJ6" s="50"/>
    </row>
    <row r="7" spans="1:36" ht="19.5" customHeight="1">
      <c r="A7" s="6">
        <v>3</v>
      </c>
      <c r="B7" s="37" t="str">
        <f>_xlfn.XLOOKUP(Master_Employee[[#This Row],[Name_AR]],Lists!AN:AN,Lists!AL:AL," ",0)</f>
        <v>O52</v>
      </c>
      <c r="C7" s="39" t="str">
        <f>_xlfn.XLOOKUP(Master_Employee[[#This Row],[Department]],tbl_Dept[Dept_Name],tbl_Dept[Dept_ID],"",0)</f>
        <v>CON_D03</v>
      </c>
      <c r="D7" s="3" t="s">
        <v>16</v>
      </c>
      <c r="E7" s="3" t="str">
        <f>_xlfn.XLOOKUP(Master_Employee[[#This Row],[Dept_ID]],tbl_Dept[Dept_ID],tbl_Dept[Dept_Name_EN],"",0)</f>
        <v>Construction</v>
      </c>
      <c r="F7" s="2"/>
      <c r="G7" s="2" t="str">
        <f>_xlfn.XLOOKUP(Master_Employee[[#This Row],[Supervisor_Name]],EmpNames,EmpIDs,"",0)</f>
        <v/>
      </c>
      <c r="H7" s="3" t="s">
        <v>189</v>
      </c>
      <c r="I7" s="59" t="str">
        <f>_xlfn.XLOOKUP(Master_Employee[[#This Row],[Emp_ID]],Lists!AL:AL,Lists!AO:AO,"",0)</f>
        <v>Shamim Ansari</v>
      </c>
      <c r="J7" s="21" t="s">
        <v>49</v>
      </c>
      <c r="K7" s="5">
        <v>46123</v>
      </c>
      <c r="L7">
        <f ca="1">IF(Master_Employee[[#This Row],[Q_ID_Expire_Date]]="","",TODAY()-Master_Employee[[#This Row],[Q_ID_Expire_Date]])</f>
        <v>100</v>
      </c>
      <c r="M7" s="3" t="s">
        <v>963</v>
      </c>
      <c r="N7" s="3" t="s">
        <v>427</v>
      </c>
      <c r="O7" s="5" t="s">
        <v>50</v>
      </c>
      <c r="P7" s="5"/>
      <c r="Q7" s="5"/>
      <c r="R7" s="3" t="s">
        <v>404</v>
      </c>
      <c r="S7" s="55" t="str">
        <f>_xlfn.XLOOKUP(Master_Employee[[#This Row],[Emp_Status]],Emp_Status[Emp_Status],Emp_Status[Status_Code],"",0)</f>
        <v>V_01</v>
      </c>
      <c r="T7" s="3" t="s">
        <v>421</v>
      </c>
      <c r="U7" s="3" t="str">
        <f>_xlfn.XLOOKUP(Master_Employee[[#This Row],[Payment_Method]],Pay[Payment_Method],Pay[Pay_Code],"",0)</f>
        <v>V_0</v>
      </c>
      <c r="V7" s="3"/>
      <c r="W7" s="3"/>
      <c r="X7" s="2"/>
      <c r="Y7" s="2">
        <v>2000</v>
      </c>
      <c r="Z7" s="2"/>
      <c r="AA7" s="2">
        <v>0</v>
      </c>
      <c r="AB7" s="2">
        <v>0</v>
      </c>
      <c r="AC7" s="2">
        <f>Master_Employee[[#This Row],[Basic_Salary]]+Master_Employee[[#This Row],[Living_Allowance]]+Master_Employee[[#This Row],[Transport_Allowance]]+Master_Employee[[#This Row],[Other_Allowance]]</f>
        <v>2000</v>
      </c>
      <c r="AD7" s="15">
        <f>(Master_Employee[[#This Row],[Total_Salary]]/30)</f>
        <v>66.666666666666671</v>
      </c>
      <c r="AE7" s="15">
        <f>Master_Employee[[#This Row],[Daily_Rate]]/8</f>
        <v>8.3333333333333339</v>
      </c>
      <c r="AF7" s="16">
        <f>(Master_Employee[[#This Row],[Basic_Salary]]/30/8)*(Master_Employee[[#This Row],[OT_Multiplier]])</f>
        <v>8.3333333333333339</v>
      </c>
      <c r="AG7" s="71">
        <f>1</f>
        <v>1</v>
      </c>
      <c r="AH7" s="7" t="s">
        <v>46</v>
      </c>
      <c r="AI7" s="36" t="s">
        <v>377</v>
      </c>
      <c r="AJ7" s="36"/>
    </row>
    <row r="8" spans="1:36" ht="19.5" customHeight="1">
      <c r="A8" s="6">
        <v>4</v>
      </c>
      <c r="B8" s="37" t="str">
        <f>_xlfn.XLOOKUP(Master_Employee[[#This Row],[Name_AR]],Lists!AN:AN,Lists!AL:AL," ",0)</f>
        <v>O162</v>
      </c>
      <c r="C8" s="39" t="str">
        <f>_xlfn.XLOOKUP(Master_Employee[[#This Row],[Department]],tbl_Dept[Dept_Name],tbl_Dept[Dept_ID],"",0)</f>
        <v>CON_D03</v>
      </c>
      <c r="D8" s="3" t="s">
        <v>16</v>
      </c>
      <c r="E8" s="3" t="str">
        <f>_xlfn.XLOOKUP(Master_Employee[[#This Row],[Dept_ID]],tbl_Dept[Dept_ID],tbl_Dept[Dept_Name_EN],"",0)</f>
        <v>Construction</v>
      </c>
      <c r="F8" s="31"/>
      <c r="G8" s="31" t="str">
        <f>_xlfn.XLOOKUP(Master_Employee[[#This Row],[Supervisor_Name]],EmpNames,EmpIDs,"",0)</f>
        <v/>
      </c>
      <c r="H8" s="3" t="s">
        <v>187</v>
      </c>
      <c r="I8" s="59" t="str">
        <f>_xlfn.XLOOKUP(Master_Employee[[#This Row],[Emp_ID]],Lists!AL:AL,Lists!AO:AO,"",0)</f>
        <v>Yaraven Ansari</v>
      </c>
      <c r="J8" s="21" t="s">
        <v>51</v>
      </c>
      <c r="K8" s="5">
        <v>46124</v>
      </c>
      <c r="L8">
        <f ca="1">IF(Master_Employee[[#This Row],[Q_ID_Expire_Date]]="","",TODAY()-Master_Employee[[#This Row],[Q_ID_Expire_Date]])</f>
        <v>99</v>
      </c>
      <c r="M8" s="3" t="s">
        <v>963</v>
      </c>
      <c r="N8" s="3" t="s">
        <v>427</v>
      </c>
      <c r="O8" s="5" t="s">
        <v>52</v>
      </c>
      <c r="P8" s="5"/>
      <c r="Q8" s="5"/>
      <c r="R8" s="3" t="s">
        <v>404</v>
      </c>
      <c r="S8" s="55" t="str">
        <f>_xlfn.XLOOKUP(Master_Employee[[#This Row],[Emp_Status]],Emp_Status[Emp_Status],Emp_Status[Status_Code],"",0)</f>
        <v>V_01</v>
      </c>
      <c r="T8" s="3" t="s">
        <v>420</v>
      </c>
      <c r="U8" s="3" t="str">
        <f>_xlfn.XLOOKUP(Master_Employee[[#This Row],[Payment_Method]],Pay[Payment_Method],Pay[Pay_Code],"",0)</f>
        <v>B_0</v>
      </c>
      <c r="V8" s="3"/>
      <c r="W8" s="3"/>
      <c r="X8" s="2"/>
      <c r="Y8" s="2">
        <v>1500</v>
      </c>
      <c r="Z8" s="2"/>
      <c r="AA8" s="2">
        <v>300</v>
      </c>
      <c r="AB8" s="2">
        <v>0</v>
      </c>
      <c r="AC8" s="2">
        <f>Master_Employee[[#This Row],[Basic_Salary]]+Master_Employee[[#This Row],[Living_Allowance]]+Master_Employee[[#This Row],[Transport_Allowance]]+Master_Employee[[#This Row],[Other_Allowance]]</f>
        <v>1800</v>
      </c>
      <c r="AD8" s="15">
        <f>(Master_Employee[[#This Row],[Total_Salary]]/30)</f>
        <v>60</v>
      </c>
      <c r="AE8" s="15">
        <f>Master_Employee[[#This Row],[Daily_Rate]]/8</f>
        <v>7.5</v>
      </c>
      <c r="AF8" s="16">
        <f>(Master_Employee[[#This Row],[Basic_Salary]]/30/8)*(Master_Employee[[#This Row],[OT_Multiplier]])</f>
        <v>6.25</v>
      </c>
      <c r="AG8" s="71">
        <f>1</f>
        <v>1</v>
      </c>
      <c r="AH8" s="7" t="s">
        <v>830</v>
      </c>
      <c r="AI8" s="36" t="s">
        <v>377</v>
      </c>
      <c r="AJ8" s="36"/>
    </row>
    <row r="9" spans="1:36" ht="19.5" customHeight="1">
      <c r="A9" s="6">
        <v>5</v>
      </c>
      <c r="B9" s="37" t="str">
        <f>_xlfn.XLOOKUP(Master_Employee[[#This Row],[Name_AR]],Lists!AN:AN,Lists!AL:AL," ",0)</f>
        <v>O175</v>
      </c>
      <c r="C9" s="39" t="str">
        <f>_xlfn.XLOOKUP(Master_Employee[[#This Row],[Department]],tbl_Dept[Dept_Name],tbl_Dept[Dept_ID],"",0)</f>
        <v>CON_D03</v>
      </c>
      <c r="D9" s="3" t="s">
        <v>16</v>
      </c>
      <c r="E9" s="3" t="str">
        <f>_xlfn.XLOOKUP(Master_Employee[[#This Row],[Dept_ID]],tbl_Dept[Dept_ID],tbl_Dept[Dept_Name_EN],"",0)</f>
        <v>Construction</v>
      </c>
      <c r="F9" s="31"/>
      <c r="G9" s="31" t="str">
        <f>_xlfn.XLOOKUP(Master_Employee[[#This Row],[Supervisor_Name]],EmpNames,EmpIDs,"",0)</f>
        <v/>
      </c>
      <c r="H9" s="3" t="s">
        <v>244</v>
      </c>
      <c r="I9" s="59" t="str">
        <f>_xlfn.XLOOKUP(Master_Employee[[#This Row],[Emp_ID]],Lists!AL:AL,Lists!AO:AO,"",0)</f>
        <v>Anwar Ansari Rahim Ansari</v>
      </c>
      <c r="J9" s="21" t="s">
        <v>53</v>
      </c>
      <c r="K9" s="5">
        <v>46125</v>
      </c>
      <c r="L9">
        <f ca="1">IF(Master_Employee[[#This Row],[Q_ID_Expire_Date]]="","",TODAY()-Master_Employee[[#This Row],[Q_ID_Expire_Date]])</f>
        <v>98</v>
      </c>
      <c r="M9" s="3" t="s">
        <v>963</v>
      </c>
      <c r="N9" s="3" t="s">
        <v>427</v>
      </c>
      <c r="O9" s="5" t="s">
        <v>54</v>
      </c>
      <c r="P9" s="5"/>
      <c r="Q9" s="5"/>
      <c r="R9" s="3" t="s">
        <v>411</v>
      </c>
      <c r="S9" s="55" t="str">
        <f>_xlfn.XLOOKUP(Master_Employee[[#This Row],[Emp_Status]],Emp_Status[Emp_Status],Emp_Status[Status_Code],"",0)</f>
        <v>W_01</v>
      </c>
      <c r="T9" s="3" t="s">
        <v>422</v>
      </c>
      <c r="U9" s="3" t="str">
        <f>_xlfn.XLOOKUP(Master_Employee[[#This Row],[Payment_Method]],Pay[Payment_Method],Pay[Pay_Code],"",0)</f>
        <v>C_0</v>
      </c>
      <c r="V9" s="3"/>
      <c r="W9" s="3"/>
      <c r="X9" s="2"/>
      <c r="Y9" s="2">
        <v>1100</v>
      </c>
      <c r="Z9" s="2"/>
      <c r="AA9" s="2">
        <v>300</v>
      </c>
      <c r="AB9" s="2">
        <v>0</v>
      </c>
      <c r="AC9" s="2">
        <f>Master_Employee[[#This Row],[Basic_Salary]]+Master_Employee[[#This Row],[Living_Allowance]]+Master_Employee[[#This Row],[Transport_Allowance]]+Master_Employee[[#This Row],[Other_Allowance]]</f>
        <v>1400</v>
      </c>
      <c r="AD9" s="15">
        <f>(Master_Employee[[#This Row],[Total_Salary]]/30)</f>
        <v>46.666666666666664</v>
      </c>
      <c r="AE9" s="15">
        <f>Master_Employee[[#This Row],[Daily_Rate]]/8</f>
        <v>5.833333333333333</v>
      </c>
      <c r="AF9" s="16">
        <f>(Master_Employee[[#This Row],[Basic_Salary]]/30/8)*(Master_Employee[[#This Row],[OT_Multiplier]])</f>
        <v>4.583333333333333</v>
      </c>
      <c r="AG9" s="71">
        <f>1</f>
        <v>1</v>
      </c>
      <c r="AH9" s="7" t="s">
        <v>830</v>
      </c>
      <c r="AI9" s="36" t="s">
        <v>377</v>
      </c>
      <c r="AJ9" s="36"/>
    </row>
    <row r="10" spans="1:36" ht="19.5" customHeight="1">
      <c r="A10" s="6">
        <v>6</v>
      </c>
      <c r="B10" s="37" t="str">
        <f>_xlfn.XLOOKUP(Master_Employee[[#This Row],[Name_AR]],Lists!AN:AN,Lists!AL:AL," ",0)</f>
        <v>O180</v>
      </c>
      <c r="C10" s="39" t="str">
        <f>_xlfn.XLOOKUP(Master_Employee[[#This Row],[Department]],tbl_Dept[Dept_Name],tbl_Dept[Dept_ID],"",0)</f>
        <v>CON_D03</v>
      </c>
      <c r="D10" s="3" t="s">
        <v>16</v>
      </c>
      <c r="E10" s="3" t="str">
        <f>_xlfn.XLOOKUP(Master_Employee[[#This Row],[Dept_ID]],tbl_Dept[Dept_ID],tbl_Dept[Dept_Name_EN],"",0)</f>
        <v>Construction</v>
      </c>
      <c r="F10" s="31"/>
      <c r="G10" s="31" t="str">
        <f>_xlfn.XLOOKUP(Master_Employee[[#This Row],[Supervisor_Name]],EmpNames,EmpIDs,"",0)</f>
        <v/>
      </c>
      <c r="H10" s="3" t="s">
        <v>246</v>
      </c>
      <c r="I10" s="59" t="str">
        <f>_xlfn.XLOOKUP(Master_Employee[[#This Row],[Emp_ID]],Lists!AL:AL,Lists!AO:AO,"",0)</f>
        <v>Jasser Ansari</v>
      </c>
      <c r="J10" s="21" t="s">
        <v>55</v>
      </c>
      <c r="K10" s="5">
        <v>46157</v>
      </c>
      <c r="L10">
        <f ca="1">IF(Master_Employee[[#This Row],[Q_ID_Expire_Date]]="","",TODAY()-Master_Employee[[#This Row],[Q_ID_Expire_Date]])</f>
        <v>66</v>
      </c>
      <c r="M10" s="3" t="s">
        <v>963</v>
      </c>
      <c r="N10" s="3" t="s">
        <v>56</v>
      </c>
      <c r="O10" s="5" t="s">
        <v>57</v>
      </c>
      <c r="P10" s="5"/>
      <c r="Q10" s="5"/>
      <c r="R10" s="3" t="s">
        <v>411</v>
      </c>
      <c r="S10" s="55" t="str">
        <f>_xlfn.XLOOKUP(Master_Employee[[#This Row],[Emp_Status]],Emp_Status[Emp_Status],Emp_Status[Status_Code],"",0)</f>
        <v>W_01</v>
      </c>
      <c r="T10" s="3" t="s">
        <v>421</v>
      </c>
      <c r="U10" s="3" t="str">
        <f>_xlfn.XLOOKUP(Master_Employee[[#This Row],[Payment_Method]],Pay[Payment_Method],Pay[Pay_Code],"",0)</f>
        <v>V_0</v>
      </c>
      <c r="V10" s="3"/>
      <c r="W10" s="3"/>
      <c r="X10" s="2"/>
      <c r="Y10" s="2">
        <v>1000</v>
      </c>
      <c r="Z10" s="2"/>
      <c r="AA10" s="2">
        <v>300</v>
      </c>
      <c r="AB10" s="2">
        <v>0</v>
      </c>
      <c r="AC10" s="2">
        <f>Master_Employee[[#This Row],[Basic_Salary]]+Master_Employee[[#This Row],[Living_Allowance]]+Master_Employee[[#This Row],[Transport_Allowance]]+Master_Employee[[#This Row],[Other_Allowance]]</f>
        <v>1300</v>
      </c>
      <c r="AD10" s="15">
        <f>(Master_Employee[[#This Row],[Total_Salary]]/30)</f>
        <v>43.333333333333336</v>
      </c>
      <c r="AE10" s="15">
        <f>Master_Employee[[#This Row],[Daily_Rate]]/8</f>
        <v>5.416666666666667</v>
      </c>
      <c r="AF10" s="16">
        <f>(Master_Employee[[#This Row],[Basic_Salary]]/30/8)*(Master_Employee[[#This Row],[OT_Multiplier]])</f>
        <v>4.166666666666667</v>
      </c>
      <c r="AG10" s="71">
        <f>1</f>
        <v>1</v>
      </c>
      <c r="AH10" s="7" t="s">
        <v>831</v>
      </c>
      <c r="AI10" s="36" t="s">
        <v>378</v>
      </c>
      <c r="AJ10" s="36"/>
    </row>
    <row r="11" spans="1:36" ht="19.5" customHeight="1">
      <c r="A11" s="6">
        <v>7</v>
      </c>
      <c r="B11" s="37" t="str">
        <f>_xlfn.XLOOKUP(Master_Employee[[#This Row],[Name_AR]],Lists!AN:AN,Lists!AL:AL," ",0)</f>
        <v>O183</v>
      </c>
      <c r="C11" s="39" t="str">
        <f>_xlfn.XLOOKUP(Master_Employee[[#This Row],[Department]],tbl_Dept[Dept_Name],tbl_Dept[Dept_ID],"",0)</f>
        <v>CON_D03</v>
      </c>
      <c r="D11" s="3" t="s">
        <v>16</v>
      </c>
      <c r="E11" s="3" t="str">
        <f>_xlfn.XLOOKUP(Master_Employee[[#This Row],[Dept_ID]],tbl_Dept[Dept_ID],tbl_Dept[Dept_Name_EN],"",0)</f>
        <v>Construction</v>
      </c>
      <c r="F11" s="31"/>
      <c r="G11" s="31" t="str">
        <f>_xlfn.XLOOKUP(Master_Employee[[#This Row],[Supervisor_Name]],EmpNames,EmpIDs,"",0)</f>
        <v/>
      </c>
      <c r="H11" s="3" t="s">
        <v>162</v>
      </c>
      <c r="I11" s="59" t="str">
        <f>_xlfn.XLOOKUP(Master_Employee[[#This Row],[Emp_ID]],Lists!AL:AL,Lists!AO:AO,"",0)</f>
        <v>Muhammad Imran Ansari</v>
      </c>
      <c r="J11" s="21" t="s">
        <v>58</v>
      </c>
      <c r="K11" s="5">
        <v>46218</v>
      </c>
      <c r="L11">
        <f ca="1">IF(Master_Employee[[#This Row],[Q_ID_Expire_Date]]="","",TODAY()-Master_Employee[[#This Row],[Q_ID_Expire_Date]])</f>
        <v>5</v>
      </c>
      <c r="M11" s="3" t="s">
        <v>965</v>
      </c>
      <c r="N11" s="3" t="s">
        <v>59</v>
      </c>
      <c r="O11" s="5" t="s">
        <v>60</v>
      </c>
      <c r="P11" s="5"/>
      <c r="Q11" s="5"/>
      <c r="R11" s="3" t="s">
        <v>404</v>
      </c>
      <c r="S11" s="55" t="str">
        <f>_xlfn.XLOOKUP(Master_Employee[[#This Row],[Emp_Status]],Emp_Status[Emp_Status],Emp_Status[Status_Code],"",0)</f>
        <v>V_01</v>
      </c>
      <c r="T11" s="3" t="s">
        <v>422</v>
      </c>
      <c r="U11" s="3" t="str">
        <f>_xlfn.XLOOKUP(Master_Employee[[#This Row],[Payment_Method]],Pay[Payment_Method],Pay[Pay_Code],"",0)</f>
        <v>C_0</v>
      </c>
      <c r="V11" s="3"/>
      <c r="W11" s="3"/>
      <c r="X11" s="2"/>
      <c r="Y11" s="2">
        <v>1700</v>
      </c>
      <c r="Z11" s="2"/>
      <c r="AA11" s="2">
        <v>300</v>
      </c>
      <c r="AB11" s="2">
        <v>200</v>
      </c>
      <c r="AC11" s="2">
        <f>Master_Employee[[#This Row],[Basic_Salary]]+Master_Employee[[#This Row],[Living_Allowance]]+Master_Employee[[#This Row],[Transport_Allowance]]+Master_Employee[[#This Row],[Other_Allowance]]</f>
        <v>2200</v>
      </c>
      <c r="AD11" s="15">
        <f>(Master_Employee[[#This Row],[Total_Salary]]/30)</f>
        <v>73.333333333333329</v>
      </c>
      <c r="AE11" s="15">
        <f>Master_Employee[[#This Row],[Daily_Rate]]/8</f>
        <v>9.1666666666666661</v>
      </c>
      <c r="AF11" s="16">
        <f>(Master_Employee[[#This Row],[Basic_Salary]]/30/8)*(Master_Employee[[#This Row],[OT_Multiplier]])</f>
        <v>7.083333333333333</v>
      </c>
      <c r="AG11" s="71">
        <f>1</f>
        <v>1</v>
      </c>
      <c r="AH11" s="7" t="s">
        <v>831</v>
      </c>
      <c r="AI11" s="36" t="s">
        <v>378</v>
      </c>
      <c r="AJ11" s="36"/>
    </row>
    <row r="12" spans="1:36" ht="19.5" customHeight="1">
      <c r="A12" s="6">
        <v>8</v>
      </c>
      <c r="B12" s="37" t="str">
        <f>_xlfn.XLOOKUP(Master_Employee[[#This Row],[Name_AR]],Lists!AN:AN,Lists!AL:AL," ",0)</f>
        <v>O201</v>
      </c>
      <c r="C12" s="39" t="str">
        <f>_xlfn.XLOOKUP(Master_Employee[[#This Row],[Department]],tbl_Dept[Dept_Name],tbl_Dept[Dept_ID],"",0)</f>
        <v>CON_D03</v>
      </c>
      <c r="D12" s="3" t="s">
        <v>16</v>
      </c>
      <c r="E12" s="3" t="str">
        <f>_xlfn.XLOOKUP(Master_Employee[[#This Row],[Dept_ID]],tbl_Dept[Dept_ID],tbl_Dept[Dept_Name_EN],"",0)</f>
        <v>Construction</v>
      </c>
      <c r="F12" s="31"/>
      <c r="G12" s="31" t="str">
        <f>_xlfn.XLOOKUP(Master_Employee[[#This Row],[Supervisor_Name]],EmpNames,EmpIDs,"",0)</f>
        <v/>
      </c>
      <c r="H12" s="3" t="s">
        <v>224</v>
      </c>
      <c r="I12" s="59" t="str">
        <f>_xlfn.XLOOKUP(Master_Employee[[#This Row],[Emp_ID]],Lists!AL:AL,Lists!AO:AO,"",0)</f>
        <v>Mohammed Yassin Torb Ali</v>
      </c>
      <c r="J12" s="21" t="s">
        <v>61</v>
      </c>
      <c r="K12" s="5"/>
      <c r="L12" t="str">
        <f ca="1">IF(Master_Employee[[#This Row],[Q_ID_Expire_Date]]="","",TODAY()-Master_Employee[[#This Row],[Q_ID_Expire_Date]])</f>
        <v/>
      </c>
      <c r="M12" s="3" t="s">
        <v>965</v>
      </c>
      <c r="N12" s="3" t="s">
        <v>65</v>
      </c>
      <c r="O12" s="5" t="s">
        <v>62</v>
      </c>
      <c r="P12" s="5"/>
      <c r="Q12" s="5"/>
      <c r="R12" s="3" t="s">
        <v>411</v>
      </c>
      <c r="S12" s="55" t="str">
        <f>_xlfn.XLOOKUP(Master_Employee[[#This Row],[Emp_Status]],Emp_Status[Emp_Status],Emp_Status[Status_Code],"",0)</f>
        <v>W_01</v>
      </c>
      <c r="T12" s="3" t="s">
        <v>420</v>
      </c>
      <c r="U12" s="3" t="str">
        <f>_xlfn.XLOOKUP(Master_Employee[[#This Row],[Payment_Method]],Pay[Payment_Method],Pay[Pay_Code],"",0)</f>
        <v>B_0</v>
      </c>
      <c r="V12" s="3"/>
      <c r="W12" s="3"/>
      <c r="X12" s="2"/>
      <c r="Y12" s="2">
        <v>1000</v>
      </c>
      <c r="Z12" s="2"/>
      <c r="AA12" s="2">
        <v>300</v>
      </c>
      <c r="AB12" s="2">
        <v>100</v>
      </c>
      <c r="AC12" s="2">
        <f>Master_Employee[[#This Row],[Basic_Salary]]+Master_Employee[[#This Row],[Living_Allowance]]+Master_Employee[[#This Row],[Transport_Allowance]]+Master_Employee[[#This Row],[Other_Allowance]]</f>
        <v>1400</v>
      </c>
      <c r="AD12" s="15">
        <f>(Master_Employee[[#This Row],[Total_Salary]]/30)</f>
        <v>46.666666666666664</v>
      </c>
      <c r="AE12" s="15">
        <f>Master_Employee[[#This Row],[Daily_Rate]]/8</f>
        <v>5.833333333333333</v>
      </c>
      <c r="AF12" s="16">
        <f>(Master_Employee[[#This Row],[Basic_Salary]]/30/8)*(Master_Employee[[#This Row],[OT_Multiplier]])</f>
        <v>4.166666666666667</v>
      </c>
      <c r="AG12" s="71">
        <f>1</f>
        <v>1</v>
      </c>
      <c r="AH12" s="7" t="s">
        <v>831</v>
      </c>
      <c r="AI12" s="36" t="s">
        <v>378</v>
      </c>
      <c r="AJ12" s="36"/>
    </row>
    <row r="13" spans="1:36" ht="19.5" customHeight="1">
      <c r="A13" s="6">
        <v>9</v>
      </c>
      <c r="B13" s="37" t="str">
        <f>_xlfn.XLOOKUP(Master_Employee[[#This Row],[Name_AR]],Lists!AN:AN,Lists!AL:AL," ",0)</f>
        <v>O229</v>
      </c>
      <c r="C13" s="39" t="str">
        <f>_xlfn.XLOOKUP(Master_Employee[[#This Row],[Department]],tbl_Dept[Dept_Name],tbl_Dept[Dept_ID],"",0)</f>
        <v>CON_D03</v>
      </c>
      <c r="D13" s="3" t="s">
        <v>16</v>
      </c>
      <c r="E13" s="3" t="str">
        <f>_xlfn.XLOOKUP(Master_Employee[[#This Row],[Dept_ID]],tbl_Dept[Dept_ID],tbl_Dept[Dept_Name_EN],"",0)</f>
        <v>Construction</v>
      </c>
      <c r="F13" s="31"/>
      <c r="G13" s="31" t="str">
        <f>_xlfn.XLOOKUP(Master_Employee[[#This Row],[Supervisor_Name]],EmpNames,EmpIDs,"",0)</f>
        <v/>
      </c>
      <c r="H13" s="3" t="s">
        <v>226</v>
      </c>
      <c r="I13" s="59" t="str">
        <f>_xlfn.XLOOKUP(Master_Employee[[#This Row],[Emp_ID]],Lists!AL:AL,Lists!AO:AO,"",0)</f>
        <v>Mohammed Suhail Mohammed Salim</v>
      </c>
      <c r="J13" s="21" t="s">
        <v>64</v>
      </c>
      <c r="K13" s="5"/>
      <c r="L13" t="str">
        <f ca="1">IF(Master_Employee[[#This Row],[Q_ID_Expire_Date]]="","",TODAY()-Master_Employee[[#This Row],[Q_ID_Expire_Date]])</f>
        <v/>
      </c>
      <c r="M13" s="3" t="s">
        <v>965</v>
      </c>
      <c r="N13" s="3" t="s">
        <v>143</v>
      </c>
      <c r="O13" s="5" t="s">
        <v>66</v>
      </c>
      <c r="P13" s="5"/>
      <c r="Q13" s="5"/>
      <c r="R13" s="3" t="s">
        <v>411</v>
      </c>
      <c r="S13" s="55" t="str">
        <f>_xlfn.XLOOKUP(Master_Employee[[#This Row],[Emp_Status]],Emp_Status[Emp_Status],Emp_Status[Status_Code],"",0)</f>
        <v>W_01</v>
      </c>
      <c r="T13" s="3" t="s">
        <v>422</v>
      </c>
      <c r="U13" s="3" t="str">
        <f>_xlfn.XLOOKUP(Master_Employee[[#This Row],[Payment_Method]],Pay[Payment_Method],Pay[Pay_Code],"",0)</f>
        <v>C_0</v>
      </c>
      <c r="V13" s="3"/>
      <c r="W13" s="3"/>
      <c r="X13" s="2"/>
      <c r="Y13" s="2">
        <v>1000</v>
      </c>
      <c r="Z13" s="2"/>
      <c r="AA13" s="2">
        <v>300</v>
      </c>
      <c r="AB13" s="2">
        <v>100</v>
      </c>
      <c r="AC13" s="2">
        <f>Master_Employee[[#This Row],[Basic_Salary]]+Master_Employee[[#This Row],[Living_Allowance]]+Master_Employee[[#This Row],[Transport_Allowance]]+Master_Employee[[#This Row],[Other_Allowance]]</f>
        <v>1400</v>
      </c>
      <c r="AD13" s="15">
        <f>(Master_Employee[[#This Row],[Total_Salary]]/30)</f>
        <v>46.666666666666664</v>
      </c>
      <c r="AE13" s="15">
        <f>Master_Employee[[#This Row],[Daily_Rate]]/8</f>
        <v>5.833333333333333</v>
      </c>
      <c r="AF13" s="16">
        <f>(Master_Employee[[#This Row],[Basic_Salary]]/30/8)*(Master_Employee[[#This Row],[OT_Multiplier]])</f>
        <v>4.166666666666667</v>
      </c>
      <c r="AG13" s="71">
        <f>1</f>
        <v>1</v>
      </c>
      <c r="AH13" s="7" t="s">
        <v>831</v>
      </c>
      <c r="AI13" s="36" t="s">
        <v>378</v>
      </c>
      <c r="AJ13" s="36"/>
    </row>
    <row r="14" spans="1:36" ht="19.5" customHeight="1">
      <c r="A14" s="6">
        <v>10</v>
      </c>
      <c r="B14" s="37">
        <f>_xlfn.XLOOKUP(Master_Employee[[#This Row],[Name_AR]],Lists!AN:AN,Lists!AL:AL," ",0)</f>
        <v>244</v>
      </c>
      <c r="C14" s="39" t="str">
        <f>_xlfn.XLOOKUP(Master_Employee[[#This Row],[Department]],tbl_Dept[Dept_Name],tbl_Dept[Dept_ID],"",0)</f>
        <v>CON_D03</v>
      </c>
      <c r="D14" s="3" t="s">
        <v>16</v>
      </c>
      <c r="E14" s="3" t="str">
        <f>_xlfn.XLOOKUP(Master_Employee[[#This Row],[Dept_ID]],tbl_Dept[Dept_ID],tbl_Dept[Dept_Name_EN],"",0)</f>
        <v>Construction</v>
      </c>
      <c r="F14" s="31"/>
      <c r="G14" s="31" t="str">
        <f>_xlfn.XLOOKUP(Master_Employee[[#This Row],[Supervisor_Name]],EmpNames,EmpIDs,"",0)</f>
        <v/>
      </c>
      <c r="H14" s="3" t="s">
        <v>182</v>
      </c>
      <c r="I14" s="59" t="str">
        <f>_xlfn.XLOOKUP(Master_Employee[[#This Row],[Emp_ID]],Lists!AL:AL,Lists!AO:AO,"",0)</f>
        <v>Jamal Ansari</v>
      </c>
      <c r="J14" s="21" t="s">
        <v>67</v>
      </c>
      <c r="K14" s="5"/>
      <c r="L14" t="str">
        <f ca="1">IF(Master_Employee[[#This Row],[Q_ID_Expire_Date]]="","",TODAY()-Master_Employee[[#This Row],[Q_ID_Expire_Date]])</f>
        <v/>
      </c>
      <c r="M14" s="3" t="s">
        <v>965</v>
      </c>
      <c r="N14" s="3" t="s">
        <v>65</v>
      </c>
      <c r="O14" s="5" t="s">
        <v>68</v>
      </c>
      <c r="P14" s="5"/>
      <c r="Q14" s="5"/>
      <c r="R14" s="3" t="s">
        <v>411</v>
      </c>
      <c r="S14" s="55" t="str">
        <f>_xlfn.XLOOKUP(Master_Employee[[#This Row],[Emp_Status]],Emp_Status[Emp_Status],Emp_Status[Status_Code],"",0)</f>
        <v>W_01</v>
      </c>
      <c r="T14" s="3" t="s">
        <v>422</v>
      </c>
      <c r="U14" s="3" t="str">
        <f>_xlfn.XLOOKUP(Master_Employee[[#This Row],[Payment_Method]],Pay[Payment_Method],Pay[Pay_Code],"",0)</f>
        <v>C_0</v>
      </c>
      <c r="V14" s="3"/>
      <c r="W14" s="3"/>
      <c r="X14" s="2"/>
      <c r="Y14" s="2">
        <v>1200</v>
      </c>
      <c r="Z14" s="2"/>
      <c r="AA14" s="2">
        <v>300</v>
      </c>
      <c r="AB14" s="2">
        <v>100</v>
      </c>
      <c r="AC14" s="2">
        <f>Master_Employee[[#This Row],[Basic_Salary]]+Master_Employee[[#This Row],[Living_Allowance]]+Master_Employee[[#This Row],[Transport_Allowance]]+Master_Employee[[#This Row],[Other_Allowance]]</f>
        <v>1600</v>
      </c>
      <c r="AD14" s="15">
        <f>(Master_Employee[[#This Row],[Total_Salary]]/30)</f>
        <v>53.333333333333336</v>
      </c>
      <c r="AE14" s="15">
        <f>Master_Employee[[#This Row],[Daily_Rate]]/8</f>
        <v>6.666666666666667</v>
      </c>
      <c r="AF14" s="16">
        <f>(Master_Employee[[#This Row],[Basic_Salary]]/30/8)*(Master_Employee[[#This Row],[OT_Multiplier]])</f>
        <v>5</v>
      </c>
      <c r="AG14" s="71">
        <f>1</f>
        <v>1</v>
      </c>
      <c r="AH14" s="7" t="s">
        <v>831</v>
      </c>
      <c r="AI14" s="36" t="s">
        <v>378</v>
      </c>
      <c r="AJ14" s="36"/>
    </row>
    <row r="15" spans="1:36" ht="21.75" customHeight="1">
      <c r="A15" s="6">
        <v>11</v>
      </c>
      <c r="B15" s="37">
        <f>_xlfn.XLOOKUP(Master_Employee[[#This Row],[Name_AR]],Lists!AN:AN,Lists!AL:AL," ",0)</f>
        <v>243</v>
      </c>
      <c r="C15" s="39" t="str">
        <f>_xlfn.XLOOKUP(Master_Employee[[#This Row],[Department]],tbl_Dept[Dept_Name],tbl_Dept[Dept_ID],"",0)</f>
        <v>FIN_D02</v>
      </c>
      <c r="D15" s="3" t="s">
        <v>11</v>
      </c>
      <c r="E15" s="3" t="str">
        <f>_xlfn.XLOOKUP(Master_Employee[[#This Row],[Dept_ID]],tbl_Dept[Dept_ID],tbl_Dept[Dept_Name_EN],"",0)</f>
        <v>Finishes</v>
      </c>
      <c r="F15" s="2"/>
      <c r="G15" s="2" t="str">
        <f>_xlfn.XLOOKUP(Master_Employee[[#This Row],[Supervisor_Name]],EmpNames,EmpIDs,"",0)</f>
        <v/>
      </c>
      <c r="H15" s="2" t="s">
        <v>848</v>
      </c>
      <c r="I15" s="59">
        <f>_xlfn.XLOOKUP(Master_Employee[[#This Row],[Emp_ID]],Lists!AL:AL,Lists!AO:AO,"",0)</f>
        <v>0</v>
      </c>
      <c r="J15" s="21"/>
      <c r="K15" s="5"/>
      <c r="L15" t="str">
        <f ca="1">IF(Master_Employee[[#This Row],[Q_ID_Expire_Date]]="","",TODAY()-Master_Employee[[#This Row],[Q_ID_Expire_Date]])</f>
        <v/>
      </c>
      <c r="M15" s="2" t="s">
        <v>966</v>
      </c>
      <c r="N15" s="2" t="s">
        <v>120</v>
      </c>
      <c r="O15" s="5"/>
      <c r="P15" s="5"/>
      <c r="Q15" s="5"/>
      <c r="R15" s="3" t="s">
        <v>411</v>
      </c>
      <c r="S15" s="55" t="str">
        <f>_xlfn.XLOOKUP(Master_Employee[[#This Row],[Emp_Status]],Emp_Status[Emp_Status],Emp_Status[Status_Code],"",0)</f>
        <v>W_01</v>
      </c>
      <c r="T15" s="3" t="s">
        <v>420</v>
      </c>
      <c r="U15" s="3" t="str">
        <f>_xlfn.XLOOKUP(Master_Employee[[#This Row],[Payment_Method]],Pay[Payment_Method],Pay[Pay_Code],"",0)</f>
        <v>B_0</v>
      </c>
      <c r="V15" s="3"/>
      <c r="W15" s="3"/>
      <c r="X15" s="2"/>
      <c r="Y15" s="2">
        <v>1000</v>
      </c>
      <c r="Z15" s="2"/>
      <c r="AA15" s="2">
        <v>300</v>
      </c>
      <c r="AB15" s="2">
        <v>100</v>
      </c>
      <c r="AC15" s="2">
        <f>Master_Employee[[#This Row],[Basic_Salary]]+Master_Employee[[#This Row],[Living_Allowance]]+Master_Employee[[#This Row],[Transport_Allowance]]+Master_Employee[[#This Row],[Other_Allowance]]</f>
        <v>1400</v>
      </c>
      <c r="AD15" s="15">
        <f>(Master_Employee[[#This Row],[Total_Salary]]/30)</f>
        <v>46.666666666666664</v>
      </c>
      <c r="AE15" s="15">
        <f>Master_Employee[[#This Row],[Daily_Rate]]/8</f>
        <v>5.833333333333333</v>
      </c>
      <c r="AF15" s="16">
        <f>(Master_Employee[[#This Row],[Basic_Salary]]/30/8)*(Master_Employee[[#This Row],[OT_Multiplier]])</f>
        <v>4.166666666666667</v>
      </c>
      <c r="AG15" s="71">
        <f>1</f>
        <v>1</v>
      </c>
      <c r="AH15" s="7" t="s">
        <v>831</v>
      </c>
      <c r="AI15" s="36" t="s">
        <v>378</v>
      </c>
      <c r="AJ15" s="36"/>
    </row>
    <row r="16" spans="1:36" ht="21.75" customHeight="1">
      <c r="A16" s="6">
        <v>12</v>
      </c>
      <c r="B16" s="37">
        <f>_xlfn.XLOOKUP(Master_Employee[[#This Row],[Name_AR]],Lists!AN:AN,Lists!AL:AL," ",0)</f>
        <v>389</v>
      </c>
      <c r="C16" s="39" t="str">
        <f>_xlfn.XLOOKUP(Master_Employee[[#This Row],[Department]],tbl_Dept[Dept_Name],tbl_Dept[Dept_ID],"",0)</f>
        <v>FIN_D02</v>
      </c>
      <c r="D16" s="3" t="s">
        <v>11</v>
      </c>
      <c r="E16" s="3" t="str">
        <f>_xlfn.XLOOKUP(Master_Employee[[#This Row],[Dept_ID]],tbl_Dept[Dept_ID],tbl_Dept[Dept_Name_EN],"",0)</f>
        <v>Finishes</v>
      </c>
      <c r="F16" s="2"/>
      <c r="G16" s="2" t="str">
        <f>_xlfn.XLOOKUP(Master_Employee[[#This Row],[Supervisor_Name]],EmpNames,EmpIDs,"",0)</f>
        <v/>
      </c>
      <c r="H16" s="2" t="s">
        <v>849</v>
      </c>
      <c r="I16" s="59">
        <f>_xlfn.XLOOKUP(Master_Employee[[#This Row],[Emp_ID]],Lists!AL:AL,Lists!AO:AO,"",0)</f>
        <v>0</v>
      </c>
      <c r="J16" s="21"/>
      <c r="K16" s="5"/>
      <c r="L16" t="str">
        <f ca="1">IF(Master_Employee[[#This Row],[Q_ID_Expire_Date]]="","",TODAY()-Master_Employee[[#This Row],[Q_ID_Expire_Date]])</f>
        <v/>
      </c>
      <c r="M16" s="2" t="s">
        <v>966</v>
      </c>
      <c r="N16" s="2" t="s">
        <v>143</v>
      </c>
      <c r="O16" s="5"/>
      <c r="P16" s="5"/>
      <c r="Q16" s="5"/>
      <c r="R16" s="3" t="s">
        <v>411</v>
      </c>
      <c r="S16" s="55" t="str">
        <f>_xlfn.XLOOKUP(Master_Employee[[#This Row],[Emp_Status]],Emp_Status[Emp_Status],Emp_Status[Status_Code],"",0)</f>
        <v>W_01</v>
      </c>
      <c r="T16" s="3" t="s">
        <v>420</v>
      </c>
      <c r="U16" s="3" t="str">
        <f>_xlfn.XLOOKUP(Master_Employee[[#This Row],[Payment_Method]],Pay[Payment_Method],Pay[Pay_Code],"",0)</f>
        <v>B_0</v>
      </c>
      <c r="V16" s="3"/>
      <c r="W16" s="3"/>
      <c r="X16" s="2"/>
      <c r="Y16" s="2">
        <v>1000</v>
      </c>
      <c r="Z16" s="2"/>
      <c r="AA16" s="2">
        <v>300</v>
      </c>
      <c r="AB16" s="2">
        <v>0</v>
      </c>
      <c r="AC16" s="2">
        <f>Master_Employee[[#This Row],[Basic_Salary]]+Master_Employee[[#This Row],[Living_Allowance]]+Master_Employee[[#This Row],[Transport_Allowance]]+Master_Employee[[#This Row],[Other_Allowance]]</f>
        <v>1300</v>
      </c>
      <c r="AD16" s="15">
        <f>(Master_Employee[[#This Row],[Total_Salary]]/30)</f>
        <v>43.333333333333336</v>
      </c>
      <c r="AE16" s="15">
        <f>Master_Employee[[#This Row],[Daily_Rate]]/8</f>
        <v>5.416666666666667</v>
      </c>
      <c r="AF16" s="16">
        <f>(Master_Employee[[#This Row],[Basic_Salary]]/30/8)*(Master_Employee[[#This Row],[OT_Multiplier]])</f>
        <v>4.166666666666667</v>
      </c>
      <c r="AG16" s="71">
        <f>1</f>
        <v>1</v>
      </c>
      <c r="AH16" s="7" t="s">
        <v>831</v>
      </c>
      <c r="AI16" s="36" t="s">
        <v>378</v>
      </c>
      <c r="AJ16" s="36"/>
    </row>
    <row r="17" spans="1:36" ht="21.75" customHeight="1">
      <c r="A17" s="6">
        <v>13</v>
      </c>
      <c r="B17" s="37">
        <f>_xlfn.XLOOKUP(Master_Employee[[#This Row],[Name_AR]],Lists!AN:AN,Lists!AL:AL," ",0)</f>
        <v>411</v>
      </c>
      <c r="C17" s="39" t="str">
        <f>_xlfn.XLOOKUP(Master_Employee[[#This Row],[Department]],tbl_Dept[Dept_Name],tbl_Dept[Dept_ID],"",0)</f>
        <v>FIN_D02</v>
      </c>
      <c r="D17" s="3" t="s">
        <v>11</v>
      </c>
      <c r="E17" s="3" t="str">
        <f>_xlfn.XLOOKUP(Master_Employee[[#This Row],[Dept_ID]],tbl_Dept[Dept_ID],tbl_Dept[Dept_Name_EN],"",0)</f>
        <v>Finishes</v>
      </c>
      <c r="F17" s="2"/>
      <c r="G17" s="2" t="str">
        <f>_xlfn.XLOOKUP(Master_Employee[[#This Row],[Supervisor_Name]],EmpNames,EmpIDs,"",0)</f>
        <v/>
      </c>
      <c r="H17" s="2" t="s">
        <v>850</v>
      </c>
      <c r="I17" s="59">
        <f>_xlfn.XLOOKUP(Master_Employee[[#This Row],[Emp_ID]],Lists!AL:AL,Lists!AO:AO,"",0)</f>
        <v>0</v>
      </c>
      <c r="J17" s="21"/>
      <c r="K17" s="5"/>
      <c r="L17" t="str">
        <f ca="1">IF(Master_Employee[[#This Row],[Q_ID_Expire_Date]]="","",TODAY()-Master_Employee[[#This Row],[Q_ID_Expire_Date]])</f>
        <v/>
      </c>
      <c r="M17" s="2" t="s">
        <v>966</v>
      </c>
      <c r="N17" s="2" t="s">
        <v>56</v>
      </c>
      <c r="O17" s="5"/>
      <c r="P17" s="5"/>
      <c r="Q17" s="5"/>
      <c r="R17" s="3" t="s">
        <v>411</v>
      </c>
      <c r="S17" s="55" t="str">
        <f>_xlfn.XLOOKUP(Master_Employee[[#This Row],[Emp_Status]],Emp_Status[Emp_Status],Emp_Status[Status_Code],"",0)</f>
        <v>W_01</v>
      </c>
      <c r="T17" s="3" t="s">
        <v>420</v>
      </c>
      <c r="U17" s="3" t="str">
        <f>_xlfn.XLOOKUP(Master_Employee[[#This Row],[Payment_Method]],Pay[Payment_Method],Pay[Pay_Code],"",0)</f>
        <v>B_0</v>
      </c>
      <c r="V17" s="3"/>
      <c r="W17" s="3"/>
      <c r="X17" s="2"/>
      <c r="Y17" s="2">
        <v>1000</v>
      </c>
      <c r="Z17" s="2"/>
      <c r="AA17" s="2">
        <v>300</v>
      </c>
      <c r="AB17" s="2">
        <v>0</v>
      </c>
      <c r="AC17" s="2">
        <f>Master_Employee[[#This Row],[Basic_Salary]]+Master_Employee[[#This Row],[Living_Allowance]]+Master_Employee[[#This Row],[Transport_Allowance]]+Master_Employee[[#This Row],[Other_Allowance]]</f>
        <v>1300</v>
      </c>
      <c r="AD17" s="15">
        <f>(Master_Employee[[#This Row],[Total_Salary]]/30)</f>
        <v>43.333333333333336</v>
      </c>
      <c r="AE17" s="15">
        <f>Master_Employee[[#This Row],[Daily_Rate]]/8</f>
        <v>5.416666666666667</v>
      </c>
      <c r="AF17" s="16">
        <f>(Master_Employee[[#This Row],[Basic_Salary]]/30/8)*(Master_Employee[[#This Row],[OT_Multiplier]])</f>
        <v>4.166666666666667</v>
      </c>
      <c r="AG17" s="71">
        <f>1</f>
        <v>1</v>
      </c>
      <c r="AH17" s="7" t="s">
        <v>831</v>
      </c>
      <c r="AI17" s="36" t="s">
        <v>378</v>
      </c>
      <c r="AJ17" s="36"/>
    </row>
    <row r="18" spans="1:36" ht="21.75" customHeight="1">
      <c r="A18" s="6">
        <v>14</v>
      </c>
      <c r="B18" s="37">
        <f>_xlfn.XLOOKUP(Master_Employee[[#This Row],[Name_AR]],Lists!AN:AN,Lists!AL:AL," ",0)</f>
        <v>448</v>
      </c>
      <c r="C18" s="39" t="str">
        <f>_xlfn.XLOOKUP(Master_Employee[[#This Row],[Department]],tbl_Dept[Dept_Name],tbl_Dept[Dept_ID],"",0)</f>
        <v>FIN_D02</v>
      </c>
      <c r="D18" s="3" t="s">
        <v>11</v>
      </c>
      <c r="E18" s="3" t="str">
        <f>_xlfn.XLOOKUP(Master_Employee[[#This Row],[Dept_ID]],tbl_Dept[Dept_ID],tbl_Dept[Dept_Name_EN],"",0)</f>
        <v>Finishes</v>
      </c>
      <c r="F18" s="2"/>
      <c r="G18" s="2" t="str">
        <f>_xlfn.XLOOKUP(Master_Employee[[#This Row],[Supervisor_Name]],EmpNames,EmpIDs,"",0)</f>
        <v/>
      </c>
      <c r="H18" s="2" t="s">
        <v>851</v>
      </c>
      <c r="I18" s="59">
        <f>_xlfn.XLOOKUP(Master_Employee[[#This Row],[Emp_ID]],Lists!AL:AL,Lists!AO:AO,"",0)</f>
        <v>0</v>
      </c>
      <c r="J18" s="21"/>
      <c r="K18" s="5"/>
      <c r="L18" t="str">
        <f ca="1">IF(Master_Employee[[#This Row],[Q_ID_Expire_Date]]="","",TODAY()-Master_Employee[[#This Row],[Q_ID_Expire_Date]])</f>
        <v/>
      </c>
      <c r="M18" s="2" t="s">
        <v>966</v>
      </c>
      <c r="N18" s="2" t="s">
        <v>65</v>
      </c>
      <c r="O18" s="5"/>
      <c r="P18" s="5"/>
      <c r="Q18" s="5"/>
      <c r="R18" s="3" t="s">
        <v>411</v>
      </c>
      <c r="S18" s="55" t="str">
        <f>_xlfn.XLOOKUP(Master_Employee[[#This Row],[Emp_Status]],Emp_Status[Emp_Status],Emp_Status[Status_Code],"",0)</f>
        <v>W_01</v>
      </c>
      <c r="T18" s="3" t="s">
        <v>420</v>
      </c>
      <c r="U18" s="3" t="str">
        <f>_xlfn.XLOOKUP(Master_Employee[[#This Row],[Payment_Method]],Pay[Payment_Method],Pay[Pay_Code],"",0)</f>
        <v>B_0</v>
      </c>
      <c r="V18" s="3"/>
      <c r="W18" s="3"/>
      <c r="X18" s="2"/>
      <c r="Y18" s="2">
        <v>1500</v>
      </c>
      <c r="Z18" s="2"/>
      <c r="AA18" s="2">
        <v>500</v>
      </c>
      <c r="AB18" s="2">
        <v>0</v>
      </c>
      <c r="AC18" s="2">
        <f>Master_Employee[[#This Row],[Basic_Salary]]+Master_Employee[[#This Row],[Living_Allowance]]+Master_Employee[[#This Row],[Transport_Allowance]]+Master_Employee[[#This Row],[Other_Allowance]]</f>
        <v>2000</v>
      </c>
      <c r="AD18" s="15">
        <f>(Master_Employee[[#This Row],[Total_Salary]]/30)</f>
        <v>66.666666666666671</v>
      </c>
      <c r="AE18" s="15">
        <f>Master_Employee[[#This Row],[Daily_Rate]]/8</f>
        <v>8.3333333333333339</v>
      </c>
      <c r="AF18" s="16">
        <f>(Master_Employee[[#This Row],[Basic_Salary]]/30/8)*(Master_Employee[[#This Row],[OT_Multiplier]])</f>
        <v>6.25</v>
      </c>
      <c r="AG18" s="71">
        <f>1</f>
        <v>1</v>
      </c>
      <c r="AH18" s="7" t="s">
        <v>831</v>
      </c>
      <c r="AI18" s="36" t="s">
        <v>377</v>
      </c>
      <c r="AJ18" s="36"/>
    </row>
    <row r="19" spans="1:36" ht="21.75" customHeight="1">
      <c r="A19" s="6">
        <v>15</v>
      </c>
      <c r="B19" s="37">
        <f>_xlfn.XLOOKUP(Master_Employee[[#This Row],[Name_AR]],Lists!AN:AN,Lists!AL:AL," ",0)</f>
        <v>247</v>
      </c>
      <c r="C19" s="39" t="str">
        <f>_xlfn.XLOOKUP(Master_Employee[[#This Row],[Department]],tbl_Dept[Dept_Name],tbl_Dept[Dept_ID],"",0)</f>
        <v>FIN_D02</v>
      </c>
      <c r="D19" s="3" t="s">
        <v>11</v>
      </c>
      <c r="E19" s="3" t="str">
        <f>_xlfn.XLOOKUP(Master_Employee[[#This Row],[Dept_ID]],tbl_Dept[Dept_ID],tbl_Dept[Dept_Name_EN],"",0)</f>
        <v>Finishes</v>
      </c>
      <c r="F19" s="2"/>
      <c r="G19" s="2" t="str">
        <f>_xlfn.XLOOKUP(Master_Employee[[#This Row],[Supervisor_Name]],EmpNames,EmpIDs,"",0)</f>
        <v/>
      </c>
      <c r="H19" s="2" t="s">
        <v>853</v>
      </c>
      <c r="I19" s="59">
        <f>_xlfn.XLOOKUP(Master_Employee[[#This Row],[Emp_ID]],Lists!AL:AL,Lists!AO:AO,"",0)</f>
        <v>0</v>
      </c>
      <c r="J19" s="21"/>
      <c r="K19" s="5"/>
      <c r="L19" t="str">
        <f ca="1">IF(Master_Employee[[#This Row],[Q_ID_Expire_Date]]="","",TODAY()-Master_Employee[[#This Row],[Q_ID_Expire_Date]])</f>
        <v/>
      </c>
      <c r="M19" s="2" t="s">
        <v>966</v>
      </c>
      <c r="N19" s="2" t="s">
        <v>123</v>
      </c>
      <c r="O19" s="5"/>
      <c r="P19" s="5"/>
      <c r="Q19" s="5"/>
      <c r="R19" s="3" t="s">
        <v>411</v>
      </c>
      <c r="S19" s="55" t="str">
        <f>_xlfn.XLOOKUP(Master_Employee[[#This Row],[Emp_Status]],Emp_Status[Emp_Status],Emp_Status[Status_Code],"",0)</f>
        <v>W_01</v>
      </c>
      <c r="T19" s="3" t="s">
        <v>422</v>
      </c>
      <c r="U19" s="3" t="str">
        <f>_xlfn.XLOOKUP(Master_Employee[[#This Row],[Payment_Method]],Pay[Payment_Method],Pay[Pay_Code],"",0)</f>
        <v>C_0</v>
      </c>
      <c r="V19" s="3"/>
      <c r="W19" s="3"/>
      <c r="X19" s="2"/>
      <c r="Y19" s="2">
        <v>1000</v>
      </c>
      <c r="Z19" s="2"/>
      <c r="AA19" s="2">
        <v>0</v>
      </c>
      <c r="AB19" s="2">
        <v>300</v>
      </c>
      <c r="AC19" s="2">
        <f>Master_Employee[[#This Row],[Basic_Salary]]+Master_Employee[[#This Row],[Living_Allowance]]+Master_Employee[[#This Row],[Transport_Allowance]]+Master_Employee[[#This Row],[Other_Allowance]]</f>
        <v>1300</v>
      </c>
      <c r="AD19" s="15">
        <f>(Master_Employee[[#This Row],[Total_Salary]]/30)</f>
        <v>43.333333333333336</v>
      </c>
      <c r="AE19" s="15">
        <f>Master_Employee[[#This Row],[Daily_Rate]]/8</f>
        <v>5.416666666666667</v>
      </c>
      <c r="AF19" s="16">
        <f>(Master_Employee[[#This Row],[Basic_Salary]]/30/8)*(Master_Employee[[#This Row],[OT_Multiplier]])</f>
        <v>4.166666666666667</v>
      </c>
      <c r="AG19" s="71">
        <f>1</f>
        <v>1</v>
      </c>
      <c r="AH19" s="7" t="s">
        <v>831</v>
      </c>
      <c r="AI19" s="36" t="s">
        <v>377</v>
      </c>
      <c r="AJ19" s="36"/>
    </row>
    <row r="20" spans="1:36" ht="21.75" customHeight="1">
      <c r="A20" s="6">
        <v>16</v>
      </c>
      <c r="B20" s="37" t="str">
        <f>_xlfn.XLOOKUP(Master_Employee[[#This Row],[Name_AR]],Lists!AN:AN,Lists!AL:AL," ",0)</f>
        <v>O204</v>
      </c>
      <c r="C20" s="39" t="str">
        <f>_xlfn.XLOOKUP(Master_Employee[[#This Row],[Department]],tbl_Dept[Dept_Name],tbl_Dept[Dept_ID],"",0)</f>
        <v>FIN_D02</v>
      </c>
      <c r="D20" s="3" t="s">
        <v>11</v>
      </c>
      <c r="E20" s="3" t="str">
        <f>_xlfn.XLOOKUP(Master_Employee[[#This Row],[Dept_ID]],tbl_Dept[Dept_ID],tbl_Dept[Dept_Name_EN],"",0)</f>
        <v>Finishes</v>
      </c>
      <c r="F20" s="2"/>
      <c r="G20" s="2" t="str">
        <f>_xlfn.XLOOKUP(Master_Employee[[#This Row],[Supervisor_Name]],EmpNames,EmpIDs,"",0)</f>
        <v/>
      </c>
      <c r="H20" s="2" t="s">
        <v>856</v>
      </c>
      <c r="I20" s="59">
        <f>_xlfn.XLOOKUP(Master_Employee[[#This Row],[Emp_ID]],Lists!AL:AL,Lists!AO:AO,"",0)</f>
        <v>0</v>
      </c>
      <c r="J20" s="21"/>
      <c r="K20" s="5"/>
      <c r="L20" t="str">
        <f ca="1">IF(Master_Employee[[#This Row],[Q_ID_Expire_Date]]="","",TODAY()-Master_Employee[[#This Row],[Q_ID_Expire_Date]])</f>
        <v/>
      </c>
      <c r="M20" s="2" t="s">
        <v>966</v>
      </c>
      <c r="N20" s="2" t="s">
        <v>141</v>
      </c>
      <c r="O20" s="5"/>
      <c r="P20" s="5"/>
      <c r="Q20" s="5"/>
      <c r="R20" s="3" t="s">
        <v>411</v>
      </c>
      <c r="S20" s="55" t="str">
        <f>_xlfn.XLOOKUP(Master_Employee[[#This Row],[Emp_Status]],Emp_Status[Emp_Status],Emp_Status[Status_Code],"",0)</f>
        <v>W_01</v>
      </c>
      <c r="T20" s="3" t="s">
        <v>422</v>
      </c>
      <c r="U20" s="3" t="str">
        <f>_xlfn.XLOOKUP(Master_Employee[[#This Row],[Payment_Method]],Pay[Payment_Method],Pay[Pay_Code],"",0)</f>
        <v>C_0</v>
      </c>
      <c r="V20" s="3"/>
      <c r="W20" s="3"/>
      <c r="X20" s="2"/>
      <c r="Y20" s="2">
        <v>1700</v>
      </c>
      <c r="Z20" s="2"/>
      <c r="AA20" s="2">
        <v>300</v>
      </c>
      <c r="AB20" s="2">
        <v>200</v>
      </c>
      <c r="AC20" s="2">
        <f>Master_Employee[[#This Row],[Basic_Salary]]+Master_Employee[[#This Row],[Living_Allowance]]+Master_Employee[[#This Row],[Transport_Allowance]]+Master_Employee[[#This Row],[Other_Allowance]]</f>
        <v>2200</v>
      </c>
      <c r="AD20" s="15">
        <f>(Master_Employee[[#This Row],[Total_Salary]]/30)</f>
        <v>73.333333333333329</v>
      </c>
      <c r="AE20" s="15">
        <f>Master_Employee[[#This Row],[Daily_Rate]]/8</f>
        <v>9.1666666666666661</v>
      </c>
      <c r="AF20" s="16">
        <f>(Master_Employee[[#This Row],[Basic_Salary]]/30/8)*(Master_Employee[[#This Row],[OT_Multiplier]])</f>
        <v>7.083333333333333</v>
      </c>
      <c r="AG20" s="71">
        <f>1</f>
        <v>1</v>
      </c>
      <c r="AH20" s="7" t="s">
        <v>831</v>
      </c>
      <c r="AI20" s="36" t="s">
        <v>377</v>
      </c>
      <c r="AJ20" s="36"/>
    </row>
    <row r="21" spans="1:36" ht="21.75" customHeight="1">
      <c r="A21" s="6">
        <v>17</v>
      </c>
      <c r="B21" s="37" t="str">
        <f>_xlfn.XLOOKUP(Master_Employee[[#This Row],[Name_AR]],Lists!AN:AN,Lists!AL:AL," ",0)</f>
        <v>O207</v>
      </c>
      <c r="C21" s="39" t="str">
        <f>_xlfn.XLOOKUP(Master_Employee[[#This Row],[Department]],tbl_Dept[Dept_Name],tbl_Dept[Dept_ID],"",0)</f>
        <v>FIN_D02</v>
      </c>
      <c r="D21" s="3" t="s">
        <v>11</v>
      </c>
      <c r="E21" s="3" t="str">
        <f>_xlfn.XLOOKUP(Master_Employee[[#This Row],[Dept_ID]],tbl_Dept[Dept_ID],tbl_Dept[Dept_Name_EN],"",0)</f>
        <v>Finishes</v>
      </c>
      <c r="F21" s="2"/>
      <c r="G21" s="2" t="str">
        <f>_xlfn.XLOOKUP(Master_Employee[[#This Row],[Supervisor_Name]],EmpNames,EmpIDs,"",0)</f>
        <v/>
      </c>
      <c r="H21" s="2" t="s">
        <v>858</v>
      </c>
      <c r="I21" s="59">
        <f>_xlfn.XLOOKUP(Master_Employee[[#This Row],[Emp_ID]],Lists!AL:AL,Lists!AO:AO,"",0)</f>
        <v>0</v>
      </c>
      <c r="J21" s="21"/>
      <c r="K21" s="5"/>
      <c r="L21" t="str">
        <f ca="1">IF(Master_Employee[[#This Row],[Q_ID_Expire_Date]]="","",TODAY()-Master_Employee[[#This Row],[Q_ID_Expire_Date]])</f>
        <v/>
      </c>
      <c r="M21" s="2" t="s">
        <v>966</v>
      </c>
      <c r="N21" s="2" t="s">
        <v>140</v>
      </c>
      <c r="O21" s="5"/>
      <c r="P21" s="5"/>
      <c r="Q21" s="5"/>
      <c r="R21" s="3" t="s">
        <v>411</v>
      </c>
      <c r="S21" s="55" t="str">
        <f>_xlfn.XLOOKUP(Master_Employee[[#This Row],[Emp_Status]],Emp_Status[Emp_Status],Emp_Status[Status_Code],"",0)</f>
        <v>W_01</v>
      </c>
      <c r="T21" s="3" t="s">
        <v>422</v>
      </c>
      <c r="U21" s="3" t="str">
        <f>_xlfn.XLOOKUP(Master_Employee[[#This Row],[Payment_Method]],Pay[Payment_Method],Pay[Pay_Code],"",0)</f>
        <v>C_0</v>
      </c>
      <c r="V21" s="3"/>
      <c r="W21" s="3"/>
      <c r="X21" s="2"/>
      <c r="Y21" s="2">
        <v>1700</v>
      </c>
      <c r="Z21" s="2"/>
      <c r="AA21" s="2">
        <v>300</v>
      </c>
      <c r="AB21" s="2">
        <v>200</v>
      </c>
      <c r="AC21" s="2">
        <f>Master_Employee[[#This Row],[Basic_Salary]]+Master_Employee[[#This Row],[Living_Allowance]]+Master_Employee[[#This Row],[Transport_Allowance]]+Master_Employee[[#This Row],[Other_Allowance]]</f>
        <v>2200</v>
      </c>
      <c r="AD21" s="15">
        <f>(Master_Employee[[#This Row],[Total_Salary]]/30)</f>
        <v>73.333333333333329</v>
      </c>
      <c r="AE21" s="15">
        <f>Master_Employee[[#This Row],[Daily_Rate]]/8</f>
        <v>9.1666666666666661</v>
      </c>
      <c r="AF21" s="16">
        <f>(Master_Employee[[#This Row],[Basic_Salary]]/30/8)*(Master_Employee[[#This Row],[OT_Multiplier]])</f>
        <v>7.083333333333333</v>
      </c>
      <c r="AG21" s="71">
        <f>1</f>
        <v>1</v>
      </c>
      <c r="AH21" s="7" t="s">
        <v>831</v>
      </c>
      <c r="AI21" s="36" t="s">
        <v>377</v>
      </c>
      <c r="AJ21" s="36"/>
    </row>
    <row r="22" spans="1:36" ht="21.75" customHeight="1">
      <c r="A22" s="6">
        <v>18</v>
      </c>
      <c r="B22" s="37" t="str">
        <f>_xlfn.XLOOKUP(Master_Employee[[#This Row],[Name_AR]],Lists!AN:AN,Lists!AL:AL," ",0)</f>
        <v>O163</v>
      </c>
      <c r="C22" s="39" t="str">
        <f>_xlfn.XLOOKUP(Master_Employee[[#This Row],[Department]],tbl_Dept[Dept_Name],tbl_Dept[Dept_ID],"",0)</f>
        <v>FIN_D02</v>
      </c>
      <c r="D22" s="3" t="s">
        <v>11</v>
      </c>
      <c r="E22" s="3" t="str">
        <f>_xlfn.XLOOKUP(Master_Employee[[#This Row],[Dept_ID]],tbl_Dept[Dept_ID],tbl_Dept[Dept_Name_EN],"",0)</f>
        <v>Finishes</v>
      </c>
      <c r="F22" s="2"/>
      <c r="G22" s="2" t="str">
        <f>_xlfn.XLOOKUP(Master_Employee[[#This Row],[Supervisor_Name]],EmpNames,EmpIDs,"",0)</f>
        <v/>
      </c>
      <c r="H22" s="2" t="s">
        <v>854</v>
      </c>
      <c r="I22" s="59">
        <f>_xlfn.XLOOKUP(Master_Employee[[#This Row],[Emp_ID]],Lists!AL:AL,Lists!AO:AO,"",0)</f>
        <v>0</v>
      </c>
      <c r="J22" s="21"/>
      <c r="K22" s="5"/>
      <c r="L22" t="str">
        <f ca="1">IF(Master_Employee[[#This Row],[Q_ID_Expire_Date]]="","",TODAY()-Master_Employee[[#This Row],[Q_ID_Expire_Date]])</f>
        <v/>
      </c>
      <c r="M22" s="2" t="s">
        <v>966</v>
      </c>
      <c r="N22" s="2" t="s">
        <v>140</v>
      </c>
      <c r="O22" s="5"/>
      <c r="P22" s="5"/>
      <c r="Q22" s="5"/>
      <c r="R22" s="3" t="s">
        <v>411</v>
      </c>
      <c r="S22" s="55" t="str">
        <f>_xlfn.XLOOKUP(Master_Employee[[#This Row],[Emp_Status]],Emp_Status[Emp_Status],Emp_Status[Status_Code],"",0)</f>
        <v>W_01</v>
      </c>
      <c r="T22" s="3" t="s">
        <v>422</v>
      </c>
      <c r="U22" s="3" t="str">
        <f>_xlfn.XLOOKUP(Master_Employee[[#This Row],[Payment_Method]],Pay[Payment_Method],Pay[Pay_Code],"",0)</f>
        <v>C_0</v>
      </c>
      <c r="V22" s="3"/>
      <c r="W22" s="3"/>
      <c r="X22" s="2"/>
      <c r="Y22" s="2">
        <v>1500</v>
      </c>
      <c r="Z22" s="2"/>
      <c r="AA22" s="2">
        <v>300</v>
      </c>
      <c r="AB22" s="2">
        <v>500</v>
      </c>
      <c r="AC22" s="2">
        <f>Master_Employee[[#This Row],[Basic_Salary]]+Master_Employee[[#This Row],[Living_Allowance]]+Master_Employee[[#This Row],[Transport_Allowance]]+Master_Employee[[#This Row],[Other_Allowance]]</f>
        <v>2300</v>
      </c>
      <c r="AD22" s="15">
        <f>(Master_Employee[[#This Row],[Total_Salary]]/30)</f>
        <v>76.666666666666671</v>
      </c>
      <c r="AE22" s="15">
        <f>Master_Employee[[#This Row],[Daily_Rate]]/8</f>
        <v>9.5833333333333339</v>
      </c>
      <c r="AF22" s="16">
        <f>(Master_Employee[[#This Row],[Basic_Salary]]/30/8)*(Master_Employee[[#This Row],[OT_Multiplier]])</f>
        <v>6.25</v>
      </c>
      <c r="AG22" s="71">
        <f>1</f>
        <v>1</v>
      </c>
      <c r="AH22" s="7" t="s">
        <v>831</v>
      </c>
      <c r="AI22" s="36" t="s">
        <v>377</v>
      </c>
      <c r="AJ22" s="36"/>
    </row>
    <row r="23" spans="1:36" ht="21.75" customHeight="1">
      <c r="A23" s="6">
        <v>19</v>
      </c>
      <c r="B23" s="37" t="str">
        <f>_xlfn.XLOOKUP(Master_Employee[[#This Row],[Name_AR]],Lists!AN:AN,Lists!AL:AL," ",0)</f>
        <v>O48</v>
      </c>
      <c r="C23" s="39" t="str">
        <f>_xlfn.XLOOKUP(Master_Employee[[#This Row],[Department]],tbl_Dept[Dept_Name],tbl_Dept[Dept_ID],"",0)</f>
        <v>FIN_D02</v>
      </c>
      <c r="D23" s="3" t="s">
        <v>11</v>
      </c>
      <c r="E23" s="3" t="str">
        <f>_xlfn.XLOOKUP(Master_Employee[[#This Row],[Dept_ID]],tbl_Dept[Dept_ID],tbl_Dept[Dept_Name_EN],"",0)</f>
        <v>Finishes</v>
      </c>
      <c r="F23" s="2"/>
      <c r="G23" s="2" t="str">
        <f>_xlfn.XLOOKUP(Master_Employee[[#This Row],[Supervisor_Name]],EmpNames,EmpIDs,"",0)</f>
        <v/>
      </c>
      <c r="H23" s="2" t="s">
        <v>871</v>
      </c>
      <c r="I23" s="59">
        <f>_xlfn.XLOOKUP(Master_Employee[[#This Row],[Emp_ID]],Lists!AL:AL,Lists!AO:AO,"",0)</f>
        <v>0</v>
      </c>
      <c r="J23" s="21"/>
      <c r="K23" s="5"/>
      <c r="L23" t="str">
        <f ca="1">IF(Master_Employee[[#This Row],[Q_ID_Expire_Date]]="","",TODAY()-Master_Employee[[#This Row],[Q_ID_Expire_Date]])</f>
        <v/>
      </c>
      <c r="M23" s="2" t="s">
        <v>966</v>
      </c>
      <c r="N23" s="2" t="s">
        <v>139</v>
      </c>
      <c r="O23" s="5"/>
      <c r="P23" s="5"/>
      <c r="Q23" s="5"/>
      <c r="R23" s="3" t="s">
        <v>411</v>
      </c>
      <c r="S23" s="55" t="str">
        <f>_xlfn.XLOOKUP(Master_Employee[[#This Row],[Emp_Status]],Emp_Status[Emp_Status],Emp_Status[Status_Code],"",0)</f>
        <v>W_01</v>
      </c>
      <c r="T23" s="3" t="s">
        <v>422</v>
      </c>
      <c r="U23" s="3" t="str">
        <f>_xlfn.XLOOKUP(Master_Employee[[#This Row],[Payment_Method]],Pay[Payment_Method],Pay[Pay_Code],"",0)</f>
        <v>C_0</v>
      </c>
      <c r="V23" s="3"/>
      <c r="W23" s="3"/>
      <c r="X23" s="2"/>
      <c r="Y23" s="2">
        <v>1500</v>
      </c>
      <c r="Z23" s="2"/>
      <c r="AA23" s="2">
        <v>300</v>
      </c>
      <c r="AB23" s="2">
        <v>700</v>
      </c>
      <c r="AC23" s="2">
        <f>Master_Employee[[#This Row],[Basic_Salary]]+Master_Employee[[#This Row],[Living_Allowance]]+Master_Employee[[#This Row],[Transport_Allowance]]+Master_Employee[[#This Row],[Other_Allowance]]</f>
        <v>2500</v>
      </c>
      <c r="AD23" s="15">
        <f>(Master_Employee[[#This Row],[Total_Salary]]/30)</f>
        <v>83.333333333333329</v>
      </c>
      <c r="AE23" s="15">
        <f>Master_Employee[[#This Row],[Daily_Rate]]/8</f>
        <v>10.416666666666666</v>
      </c>
      <c r="AF23" s="16">
        <f>(Master_Employee[[#This Row],[Basic_Salary]]/30/8)*(Master_Employee[[#This Row],[OT_Multiplier]])</f>
        <v>6.25</v>
      </c>
      <c r="AG23" s="71">
        <f>1</f>
        <v>1</v>
      </c>
      <c r="AH23" s="7" t="s">
        <v>831</v>
      </c>
      <c r="AI23" s="36" t="s">
        <v>377</v>
      </c>
      <c r="AJ23" s="36"/>
    </row>
    <row r="24" spans="1:36" ht="21.75" customHeight="1">
      <c r="A24" s="6">
        <v>20</v>
      </c>
      <c r="B24" s="37" t="str">
        <f>_xlfn.XLOOKUP(Master_Employee[[#This Row],[Name_AR]],Lists!AN:AN,Lists!AL:AL," ",0)</f>
        <v>O187</v>
      </c>
      <c r="C24" s="39" t="str">
        <f>_xlfn.XLOOKUP(Master_Employee[[#This Row],[Department]],tbl_Dept[Dept_Name],tbl_Dept[Dept_ID],"",0)</f>
        <v>FIN_D02</v>
      </c>
      <c r="D24" s="3" t="s">
        <v>11</v>
      </c>
      <c r="E24" s="3" t="str">
        <f>_xlfn.XLOOKUP(Master_Employee[[#This Row],[Dept_ID]],tbl_Dept[Dept_ID],tbl_Dept[Dept_Name_EN],"",0)</f>
        <v>Finishes</v>
      </c>
      <c r="F24" s="2"/>
      <c r="G24" s="2" t="str">
        <f>_xlfn.XLOOKUP(Master_Employee[[#This Row],[Supervisor_Name]],EmpNames,EmpIDs,"",0)</f>
        <v/>
      </c>
      <c r="H24" s="2" t="s">
        <v>855</v>
      </c>
      <c r="I24" s="59">
        <f>_xlfn.XLOOKUP(Master_Employee[[#This Row],[Emp_ID]],Lists!AL:AL,Lists!AO:AO,"",0)</f>
        <v>0</v>
      </c>
      <c r="J24" s="21"/>
      <c r="K24" s="5"/>
      <c r="L24" t="str">
        <f ca="1">IF(Master_Employee[[#This Row],[Q_ID_Expire_Date]]="","",TODAY()-Master_Employee[[#This Row],[Q_ID_Expire_Date]])</f>
        <v/>
      </c>
      <c r="M24" s="2" t="s">
        <v>966</v>
      </c>
      <c r="N24" s="2" t="s">
        <v>133</v>
      </c>
      <c r="O24" s="5"/>
      <c r="P24" s="5"/>
      <c r="Q24" s="5"/>
      <c r="R24" s="3" t="s">
        <v>411</v>
      </c>
      <c r="S24" s="55" t="str">
        <f>_xlfn.XLOOKUP(Master_Employee[[#This Row],[Emp_Status]],Emp_Status[Emp_Status],Emp_Status[Status_Code],"",0)</f>
        <v>W_01</v>
      </c>
      <c r="T24" s="3" t="s">
        <v>422</v>
      </c>
      <c r="U24" s="3" t="str">
        <f>_xlfn.XLOOKUP(Master_Employee[[#This Row],[Payment_Method]],Pay[Payment_Method],Pay[Pay_Code],"",0)</f>
        <v>C_0</v>
      </c>
      <c r="V24" s="3"/>
      <c r="W24" s="3"/>
      <c r="X24" s="2"/>
      <c r="Y24" s="2">
        <v>1000</v>
      </c>
      <c r="Z24" s="2"/>
      <c r="AA24" s="2">
        <v>300</v>
      </c>
      <c r="AB24" s="2">
        <v>200</v>
      </c>
      <c r="AC24" s="2">
        <f>Master_Employee[[#This Row],[Basic_Salary]]+Master_Employee[[#This Row],[Living_Allowance]]+Master_Employee[[#This Row],[Transport_Allowance]]+Master_Employee[[#This Row],[Other_Allowance]]</f>
        <v>1500</v>
      </c>
      <c r="AD24" s="15">
        <f>(Master_Employee[[#This Row],[Total_Salary]]/30)</f>
        <v>50</v>
      </c>
      <c r="AE24" s="15">
        <f>Master_Employee[[#This Row],[Daily_Rate]]/8</f>
        <v>6.25</v>
      </c>
      <c r="AF24" s="16">
        <f>(Master_Employee[[#This Row],[Basic_Salary]]/30/8)*(Master_Employee[[#This Row],[OT_Multiplier]])</f>
        <v>4.166666666666667</v>
      </c>
      <c r="AG24" s="71">
        <f>1</f>
        <v>1</v>
      </c>
      <c r="AH24" s="7" t="s">
        <v>831</v>
      </c>
      <c r="AI24" s="36" t="s">
        <v>377</v>
      </c>
      <c r="AJ24" s="36"/>
    </row>
    <row r="25" spans="1:36" ht="21.75" customHeight="1">
      <c r="A25" s="6">
        <v>21</v>
      </c>
      <c r="B25" s="37">
        <f>_xlfn.XLOOKUP(Master_Employee[[#This Row],[Name_AR]],Lists!AN:AN,Lists!AL:AL," ",0)</f>
        <v>146</v>
      </c>
      <c r="C25" s="39" t="str">
        <f>_xlfn.XLOOKUP(Master_Employee[[#This Row],[Department]],tbl_Dept[Dept_Name],tbl_Dept[Dept_ID],"",0)</f>
        <v>ADM_D01</v>
      </c>
      <c r="D25" s="3" t="s">
        <v>351</v>
      </c>
      <c r="E25" s="3" t="str">
        <f>_xlfn.XLOOKUP(Master_Employee[[#This Row],[Dept_ID]],tbl_Dept[Dept_ID],tbl_Dept[Dept_Name_EN],"",0)</f>
        <v>Administration</v>
      </c>
      <c r="F25" s="2"/>
      <c r="G25" s="2" t="str">
        <f>_xlfn.XLOOKUP(Master_Employee[[#This Row],[Supervisor_Name]],EmpNames,EmpIDs,"",0)</f>
        <v/>
      </c>
      <c r="H25" s="2" t="s">
        <v>832</v>
      </c>
      <c r="I25" s="59">
        <f>_xlfn.XLOOKUP(Master_Employee[[#This Row],[Emp_ID]],Lists!AL:AL,Lists!AO:AO,"",0)</f>
        <v>0</v>
      </c>
      <c r="J25" s="21"/>
      <c r="K25" s="5"/>
      <c r="L25" t="str">
        <f ca="1">IF(Master_Employee[[#This Row],[Q_ID_Expire_Date]]="","",TODAY()-Master_Employee[[#This Row],[Q_ID_Expire_Date]])</f>
        <v/>
      </c>
      <c r="M25" s="2" t="s">
        <v>967</v>
      </c>
      <c r="N25" s="2" t="s">
        <v>59</v>
      </c>
      <c r="O25" s="5"/>
      <c r="P25" s="5"/>
      <c r="Q25" s="5"/>
      <c r="R25" s="3" t="s">
        <v>411</v>
      </c>
      <c r="S25" s="55" t="str">
        <f>_xlfn.XLOOKUP(Master_Employee[[#This Row],[Emp_Status]],Emp_Status[Emp_Status],Emp_Status[Status_Code],"",0)</f>
        <v>W_01</v>
      </c>
      <c r="T25" s="3" t="s">
        <v>421</v>
      </c>
      <c r="U25" s="3" t="str">
        <f>_xlfn.XLOOKUP(Master_Employee[[#This Row],[Payment_Method]],Pay[Payment_Method],Pay[Pay_Code],"",0)</f>
        <v>V_0</v>
      </c>
      <c r="V25" s="3"/>
      <c r="W25" s="3"/>
      <c r="X25" s="2"/>
      <c r="Y25" s="2">
        <v>1000</v>
      </c>
      <c r="Z25" s="2"/>
      <c r="AA25" s="2">
        <v>300</v>
      </c>
      <c r="AB25" s="2">
        <v>0</v>
      </c>
      <c r="AC25" s="2">
        <f>Master_Employee[[#This Row],[Basic_Salary]]+Master_Employee[[#This Row],[Living_Allowance]]+Master_Employee[[#This Row],[Transport_Allowance]]+Master_Employee[[#This Row],[Other_Allowance]]</f>
        <v>1300</v>
      </c>
      <c r="AD25" s="15">
        <f>(Master_Employee[[#This Row],[Total_Salary]]/30)</f>
        <v>43.333333333333336</v>
      </c>
      <c r="AE25" s="15">
        <f>Master_Employee[[#This Row],[Daily_Rate]]/8</f>
        <v>5.416666666666667</v>
      </c>
      <c r="AF25" s="16">
        <f>(Master_Employee[[#This Row],[Basic_Salary]]/30/8)*(Master_Employee[[#This Row],[OT_Multiplier]])</f>
        <v>4.166666666666667</v>
      </c>
      <c r="AG25" s="71">
        <f>1</f>
        <v>1</v>
      </c>
      <c r="AH25" s="7" t="s">
        <v>831</v>
      </c>
      <c r="AI25" s="36" t="s">
        <v>377</v>
      </c>
      <c r="AJ25" s="36"/>
    </row>
    <row r="26" spans="1:36" ht="21.75" customHeight="1">
      <c r="A26" s="6">
        <v>22</v>
      </c>
      <c r="B26" s="37" t="str">
        <f>_xlfn.XLOOKUP(Master_Employee[[#This Row],[Name_AR]],Lists!AN:AN,Lists!AL:AL," ",0)</f>
        <v>O304</v>
      </c>
      <c r="C26" s="39" t="str">
        <f>_xlfn.XLOOKUP(Master_Employee[[#This Row],[Department]],tbl_Dept[Dept_Name],tbl_Dept[Dept_ID],"",0)</f>
        <v>ADM_D01</v>
      </c>
      <c r="D26" s="3" t="s">
        <v>351</v>
      </c>
      <c r="E26" s="3" t="str">
        <f>_xlfn.XLOOKUP(Master_Employee[[#This Row],[Dept_ID]],tbl_Dept[Dept_ID],tbl_Dept[Dept_Name_EN],"",0)</f>
        <v>Administration</v>
      </c>
      <c r="F26" s="2"/>
      <c r="G26" s="2" t="str">
        <f>_xlfn.XLOOKUP(Master_Employee[[#This Row],[Supervisor_Name]],EmpNames,EmpIDs,"",0)</f>
        <v/>
      </c>
      <c r="H26" s="2" t="s">
        <v>838</v>
      </c>
      <c r="I26" s="59">
        <f>_xlfn.XLOOKUP(Master_Employee[[#This Row],[Emp_ID]],Lists!AL:AL,Lists!AO:AO,"",0)</f>
        <v>0</v>
      </c>
      <c r="J26" s="21"/>
      <c r="K26" s="5"/>
      <c r="L26" t="str">
        <f ca="1">IF(Master_Employee[[#This Row],[Q_ID_Expire_Date]]="","",TODAY()-Master_Employee[[#This Row],[Q_ID_Expire_Date]])</f>
        <v/>
      </c>
      <c r="M26" s="2" t="s">
        <v>967</v>
      </c>
      <c r="N26" s="2" t="s">
        <v>141</v>
      </c>
      <c r="O26" s="5"/>
      <c r="P26" s="5"/>
      <c r="Q26" s="5"/>
      <c r="R26" s="3" t="s">
        <v>411</v>
      </c>
      <c r="S26" s="55" t="str">
        <f>_xlfn.XLOOKUP(Master_Employee[[#This Row],[Emp_Status]],Emp_Status[Emp_Status],Emp_Status[Status_Code],"",0)</f>
        <v>W_01</v>
      </c>
      <c r="T26" s="3" t="s">
        <v>420</v>
      </c>
      <c r="U26" s="3" t="str">
        <f>_xlfn.XLOOKUP(Master_Employee[[#This Row],[Payment_Method]],Pay[Payment_Method],Pay[Pay_Code],"",0)</f>
        <v>B_0</v>
      </c>
      <c r="V26" s="3"/>
      <c r="W26" s="3"/>
      <c r="X26" s="2"/>
      <c r="Y26" s="2">
        <v>1000</v>
      </c>
      <c r="Z26" s="2"/>
      <c r="AA26" s="2">
        <v>300</v>
      </c>
      <c r="AB26" s="2">
        <v>500</v>
      </c>
      <c r="AC26" s="2">
        <f>Master_Employee[[#This Row],[Basic_Salary]]+Master_Employee[[#This Row],[Living_Allowance]]+Master_Employee[[#This Row],[Transport_Allowance]]+Master_Employee[[#This Row],[Other_Allowance]]</f>
        <v>1800</v>
      </c>
      <c r="AD26" s="15">
        <f>(Master_Employee[[#This Row],[Total_Salary]]/30)</f>
        <v>60</v>
      </c>
      <c r="AE26" s="15">
        <f>Master_Employee[[#This Row],[Daily_Rate]]/8</f>
        <v>7.5</v>
      </c>
      <c r="AF26" s="16">
        <f>(Master_Employee[[#This Row],[Basic_Salary]]/30/8)*(Master_Employee[[#This Row],[OT_Multiplier]])</f>
        <v>4.166666666666667</v>
      </c>
      <c r="AG26" s="71">
        <f>1</f>
        <v>1</v>
      </c>
      <c r="AH26" s="7" t="s">
        <v>831</v>
      </c>
      <c r="AI26" s="36" t="s">
        <v>377</v>
      </c>
      <c r="AJ26" s="36"/>
    </row>
    <row r="27" spans="1:36" ht="21.75" customHeight="1">
      <c r="A27" s="6">
        <v>23</v>
      </c>
      <c r="B27" s="37">
        <f>_xlfn.XLOOKUP(Master_Employee[[#This Row],[Name_AR]],Lists!AN:AN,Lists!AL:AL," ",0)</f>
        <v>494</v>
      </c>
      <c r="C27" s="39" t="str">
        <f>_xlfn.XLOOKUP(Master_Employee[[#This Row],[Department]],tbl_Dept[Dept_Name],tbl_Dept[Dept_ID],"",0)</f>
        <v>ADM_D01</v>
      </c>
      <c r="D27" s="3" t="s">
        <v>351</v>
      </c>
      <c r="E27" s="3" t="str">
        <f>_xlfn.XLOOKUP(Master_Employee[[#This Row],[Dept_ID]],tbl_Dept[Dept_ID],tbl_Dept[Dept_Name_EN],"",0)</f>
        <v>Administration</v>
      </c>
      <c r="F27" s="2"/>
      <c r="G27" s="2" t="str">
        <f>_xlfn.XLOOKUP(Master_Employee[[#This Row],[Supervisor_Name]],EmpNames,EmpIDs,"",0)</f>
        <v/>
      </c>
      <c r="H27" s="2" t="s">
        <v>841</v>
      </c>
      <c r="I27" s="59">
        <f>_xlfn.XLOOKUP(Master_Employee[[#This Row],[Emp_ID]],Lists!AL:AL,Lists!AO:AO,"",0)</f>
        <v>0</v>
      </c>
      <c r="J27" s="21"/>
      <c r="K27" s="5"/>
      <c r="L27" t="str">
        <f ca="1">IF(Master_Employee[[#This Row],[Q_ID_Expire_Date]]="","",TODAY()-Master_Employee[[#This Row],[Q_ID_Expire_Date]])</f>
        <v/>
      </c>
      <c r="M27" s="2" t="s">
        <v>979</v>
      </c>
      <c r="N27" s="2" t="s">
        <v>130</v>
      </c>
      <c r="O27" s="5"/>
      <c r="P27" s="5"/>
      <c r="Q27" s="5"/>
      <c r="R27" s="3" t="s">
        <v>411</v>
      </c>
      <c r="S27" s="55" t="str">
        <f>_xlfn.XLOOKUP(Master_Employee[[#This Row],[Emp_Status]],Emp_Status[Emp_Status],Emp_Status[Status_Code],"",0)</f>
        <v>W_01</v>
      </c>
      <c r="T27" s="3" t="s">
        <v>421</v>
      </c>
      <c r="U27" s="3" t="str">
        <f>_xlfn.XLOOKUP(Master_Employee[[#This Row],[Payment_Method]],Pay[Payment_Method],Pay[Pay_Code],"",0)</f>
        <v>V_0</v>
      </c>
      <c r="V27" s="3"/>
      <c r="W27" s="3"/>
      <c r="X27" s="2"/>
      <c r="Y27" s="2">
        <v>1200</v>
      </c>
      <c r="Z27" s="2"/>
      <c r="AA27" s="2">
        <v>300</v>
      </c>
      <c r="AB27" s="2">
        <v>200</v>
      </c>
      <c r="AC27" s="2">
        <f>Master_Employee[[#This Row],[Basic_Salary]]+Master_Employee[[#This Row],[Living_Allowance]]+Master_Employee[[#This Row],[Transport_Allowance]]+Master_Employee[[#This Row],[Other_Allowance]]</f>
        <v>1700</v>
      </c>
      <c r="AD27" s="15">
        <f>(Master_Employee[[#This Row],[Total_Salary]]/30)</f>
        <v>56.666666666666664</v>
      </c>
      <c r="AE27" s="15">
        <f>Master_Employee[[#This Row],[Daily_Rate]]/8</f>
        <v>7.083333333333333</v>
      </c>
      <c r="AF27" s="16">
        <f>(Master_Employee[[#This Row],[Basic_Salary]]/30/8)*(Master_Employee[[#This Row],[OT_Multiplier]])</f>
        <v>5</v>
      </c>
      <c r="AG27" s="71">
        <f>1</f>
        <v>1</v>
      </c>
      <c r="AH27" s="7" t="s">
        <v>831</v>
      </c>
      <c r="AI27" s="36" t="s">
        <v>377</v>
      </c>
      <c r="AJ27" s="36"/>
    </row>
    <row r="28" spans="1:36" ht="21.75" customHeight="1">
      <c r="A28" s="6">
        <v>24</v>
      </c>
      <c r="B28" s="37" t="str">
        <f>_xlfn.XLOOKUP(Master_Employee[[#This Row],[Name_AR]],Lists!AN:AN,Lists!AL:AL," ",0)</f>
        <v>O246</v>
      </c>
      <c r="C28" s="39" t="str">
        <f>_xlfn.XLOOKUP(Master_Employee[[#This Row],[Department]],tbl_Dept[Dept_Name],tbl_Dept[Dept_ID],"",0)</f>
        <v>ADM_D01</v>
      </c>
      <c r="D28" s="3" t="s">
        <v>351</v>
      </c>
      <c r="E28" s="3" t="str">
        <f>_xlfn.XLOOKUP(Master_Employee[[#This Row],[Dept_ID]],tbl_Dept[Dept_ID],tbl_Dept[Dept_Name_EN],"",0)</f>
        <v>Administration</v>
      </c>
      <c r="F28" s="2"/>
      <c r="G28" s="2" t="str">
        <f>_xlfn.XLOOKUP(Master_Employee[[#This Row],[Supervisor_Name]],EmpNames,EmpIDs,"",0)</f>
        <v/>
      </c>
      <c r="H28" s="2" t="s">
        <v>840</v>
      </c>
      <c r="I28" s="59">
        <f>_xlfn.XLOOKUP(Master_Employee[[#This Row],[Emp_ID]],Lists!AL:AL,Lists!AO:AO,"",0)</f>
        <v>0</v>
      </c>
      <c r="J28" s="21"/>
      <c r="K28" s="5"/>
      <c r="L28" t="str">
        <f ca="1">IF(Master_Employee[[#This Row],[Q_ID_Expire_Date]]="","",TODAY()-Master_Employee[[#This Row],[Q_ID_Expire_Date]])</f>
        <v/>
      </c>
      <c r="M28" s="2" t="s">
        <v>979</v>
      </c>
      <c r="N28" s="2" t="s">
        <v>138</v>
      </c>
      <c r="O28" s="5"/>
      <c r="P28" s="5"/>
      <c r="Q28" s="5"/>
      <c r="R28" s="3" t="s">
        <v>411</v>
      </c>
      <c r="S28" s="55" t="str">
        <f>_xlfn.XLOOKUP(Master_Employee[[#This Row],[Emp_Status]],Emp_Status[Emp_Status],Emp_Status[Status_Code],"",0)</f>
        <v>W_01</v>
      </c>
      <c r="T28" s="3" t="s">
        <v>421</v>
      </c>
      <c r="U28" s="3" t="str">
        <f>_xlfn.XLOOKUP(Master_Employee[[#This Row],[Payment_Method]],Pay[Payment_Method],Pay[Pay_Code],"",0)</f>
        <v>V_0</v>
      </c>
      <c r="V28" s="3"/>
      <c r="W28" s="3"/>
      <c r="X28" s="2"/>
      <c r="Y28" s="2">
        <v>1500</v>
      </c>
      <c r="Z28" s="2"/>
      <c r="AA28" s="2">
        <v>300</v>
      </c>
      <c r="AB28" s="2">
        <v>1700</v>
      </c>
      <c r="AC28" s="2">
        <f>Master_Employee[[#This Row],[Basic_Salary]]+Master_Employee[[#This Row],[Living_Allowance]]+Master_Employee[[#This Row],[Transport_Allowance]]+Master_Employee[[#This Row],[Other_Allowance]]</f>
        <v>3500</v>
      </c>
      <c r="AD28" s="15">
        <f>(Master_Employee[[#This Row],[Total_Salary]]/30)</f>
        <v>116.66666666666667</v>
      </c>
      <c r="AE28" s="15">
        <f>Master_Employee[[#This Row],[Daily_Rate]]/8</f>
        <v>14.583333333333334</v>
      </c>
      <c r="AF28" s="16">
        <f>(Master_Employee[[#This Row],[Basic_Salary]]/30/8)*(Master_Employee[[#This Row],[OT_Multiplier]])</f>
        <v>6.25</v>
      </c>
      <c r="AG28" s="71">
        <f>1</f>
        <v>1</v>
      </c>
      <c r="AH28" s="7" t="s">
        <v>831</v>
      </c>
      <c r="AI28" s="36" t="s">
        <v>377</v>
      </c>
      <c r="AJ28" s="36"/>
    </row>
    <row r="29" spans="1:36" ht="21.75" customHeight="1">
      <c r="A29" s="6">
        <v>25</v>
      </c>
      <c r="B29" s="37" t="str">
        <f>_xlfn.XLOOKUP(Master_Employee[[#This Row],[Name_AR]],Lists!AN:AN,Lists!AL:AL," ",0)</f>
        <v>O309</v>
      </c>
      <c r="C29" s="39" t="str">
        <f>_xlfn.XLOOKUP(Master_Employee[[#This Row],[Department]],tbl_Dept[Dept_Name],tbl_Dept[Dept_ID],"",0)</f>
        <v>ADM_D01</v>
      </c>
      <c r="D29" s="3" t="s">
        <v>351</v>
      </c>
      <c r="E29" s="3" t="str">
        <f>_xlfn.XLOOKUP(Master_Employee[[#This Row],[Dept_ID]],tbl_Dept[Dept_ID],tbl_Dept[Dept_Name_EN],"",0)</f>
        <v>Administration</v>
      </c>
      <c r="F29" s="2"/>
      <c r="G29" s="2" t="str">
        <f>_xlfn.XLOOKUP(Master_Employee[[#This Row],[Supervisor_Name]],EmpNames,EmpIDs,"",0)</f>
        <v/>
      </c>
      <c r="H29" s="2" t="s">
        <v>843</v>
      </c>
      <c r="I29" s="59">
        <f>_xlfn.XLOOKUP(Master_Employee[[#This Row],[Emp_ID]],Lists!AL:AL,Lists!AO:AO,"",0)</f>
        <v>0</v>
      </c>
      <c r="J29" s="21"/>
      <c r="K29" s="5"/>
      <c r="L29" t="str">
        <f ca="1">IF(Master_Employee[[#This Row],[Q_ID_Expire_Date]]="","",TODAY()-Master_Employee[[#This Row],[Q_ID_Expire_Date]])</f>
        <v/>
      </c>
      <c r="M29" s="2" t="s">
        <v>972</v>
      </c>
      <c r="N29" s="2" t="s">
        <v>133</v>
      </c>
      <c r="O29" s="5"/>
      <c r="P29" s="5"/>
      <c r="Q29" s="5"/>
      <c r="R29" s="3" t="s">
        <v>411</v>
      </c>
      <c r="S29" s="55" t="str">
        <f>_xlfn.XLOOKUP(Master_Employee[[#This Row],[Emp_Status]],Emp_Status[Emp_Status],Emp_Status[Status_Code],"",0)</f>
        <v>W_01</v>
      </c>
      <c r="T29" s="3" t="s">
        <v>421</v>
      </c>
      <c r="U29" s="3" t="str">
        <f>_xlfn.XLOOKUP(Master_Employee[[#This Row],[Payment_Method]],Pay[Payment_Method],Pay[Pay_Code],"",0)</f>
        <v>V_0</v>
      </c>
      <c r="V29" s="3"/>
      <c r="W29" s="3"/>
      <c r="X29" s="2"/>
      <c r="Y29" s="2">
        <v>1100</v>
      </c>
      <c r="Z29" s="2"/>
      <c r="AA29" s="2">
        <v>300</v>
      </c>
      <c r="AB29" s="2">
        <v>200</v>
      </c>
      <c r="AC29" s="2">
        <f>Master_Employee[[#This Row],[Basic_Salary]]+Master_Employee[[#This Row],[Living_Allowance]]+Master_Employee[[#This Row],[Transport_Allowance]]+Master_Employee[[#This Row],[Other_Allowance]]</f>
        <v>1600</v>
      </c>
      <c r="AD29" s="15">
        <f>(Master_Employee[[#This Row],[Total_Salary]]/30)</f>
        <v>53.333333333333336</v>
      </c>
      <c r="AE29" s="15">
        <f>Master_Employee[[#This Row],[Daily_Rate]]/8</f>
        <v>6.666666666666667</v>
      </c>
      <c r="AF29" s="16">
        <f>(Master_Employee[[#This Row],[Basic_Salary]]/30/8)*(Master_Employee[[#This Row],[OT_Multiplier]])</f>
        <v>4.583333333333333</v>
      </c>
      <c r="AG29" s="71">
        <f>1</f>
        <v>1</v>
      </c>
      <c r="AH29" s="7" t="s">
        <v>831</v>
      </c>
      <c r="AI29" s="36" t="s">
        <v>377</v>
      </c>
      <c r="AJ29" s="36"/>
    </row>
    <row r="30" spans="1:36" ht="21.75" customHeight="1">
      <c r="A30" s="6">
        <v>26</v>
      </c>
      <c r="B30" s="37">
        <f>_xlfn.XLOOKUP(Master_Employee[[#This Row],[Name_AR]],Lists!AN:AN,Lists!AL:AL," ",0)</f>
        <v>314</v>
      </c>
      <c r="C30" s="39" t="str">
        <f>_xlfn.XLOOKUP(Master_Employee[[#This Row],[Department]],tbl_Dept[Dept_Name],tbl_Dept[Dept_ID],"",0)</f>
        <v>ADM_D01</v>
      </c>
      <c r="D30" s="3" t="s">
        <v>351</v>
      </c>
      <c r="E30" s="3" t="str">
        <f>_xlfn.XLOOKUP(Master_Employee[[#This Row],[Dept_ID]],tbl_Dept[Dept_ID],tbl_Dept[Dept_Name_EN],"",0)</f>
        <v>Administration</v>
      </c>
      <c r="F30" s="2"/>
      <c r="G30" s="2" t="str">
        <f>_xlfn.XLOOKUP(Master_Employee[[#This Row],[Supervisor_Name]],EmpNames,EmpIDs,"",0)</f>
        <v/>
      </c>
      <c r="H30" s="2" t="s">
        <v>835</v>
      </c>
      <c r="I30" s="59">
        <f>_xlfn.XLOOKUP(Master_Employee[[#This Row],[Emp_ID]],Lists!AL:AL,Lists!AO:AO,"",0)</f>
        <v>0</v>
      </c>
      <c r="J30" s="21"/>
      <c r="K30" s="5"/>
      <c r="L30" t="str">
        <f ca="1">IF(Master_Employee[[#This Row],[Q_ID_Expire_Date]]="","",TODAY()-Master_Employee[[#This Row],[Q_ID_Expire_Date]])</f>
        <v/>
      </c>
      <c r="M30" s="2" t="s">
        <v>973</v>
      </c>
      <c r="N30" s="2" t="s">
        <v>122</v>
      </c>
      <c r="O30" s="5"/>
      <c r="P30" s="5"/>
      <c r="Q30" s="5"/>
      <c r="R30" s="3" t="s">
        <v>408</v>
      </c>
      <c r="S30" s="55" t="str">
        <f>_xlfn.XLOOKUP(Master_Employee[[#This Row],[Emp_Status]],Emp_Status[Emp_Status],Emp_Status[Status_Code],"",0)</f>
        <v>N_01</v>
      </c>
      <c r="T30" s="3" t="s">
        <v>420</v>
      </c>
      <c r="U30" s="3" t="str">
        <f>_xlfn.XLOOKUP(Master_Employee[[#This Row],[Payment_Method]],Pay[Payment_Method],Pay[Pay_Code],"",0)</f>
        <v>B_0</v>
      </c>
      <c r="V30" s="3"/>
      <c r="W30" s="3"/>
      <c r="X30" s="2"/>
      <c r="Y30" s="2">
        <v>1500</v>
      </c>
      <c r="Z30" s="2"/>
      <c r="AA30" s="2">
        <v>300</v>
      </c>
      <c r="AB30" s="2">
        <v>700</v>
      </c>
      <c r="AC30" s="2">
        <f>Master_Employee[[#This Row],[Basic_Salary]]+Master_Employee[[#This Row],[Living_Allowance]]+Master_Employee[[#This Row],[Transport_Allowance]]+Master_Employee[[#This Row],[Other_Allowance]]</f>
        <v>2500</v>
      </c>
      <c r="AD30" s="15">
        <f>(Master_Employee[[#This Row],[Total_Salary]]/30)</f>
        <v>83.333333333333329</v>
      </c>
      <c r="AE30" s="15">
        <f>Master_Employee[[#This Row],[Daily_Rate]]/8</f>
        <v>10.416666666666666</v>
      </c>
      <c r="AF30" s="16">
        <f>(Master_Employee[[#This Row],[Basic_Salary]]/30/8)*(Master_Employee[[#This Row],[OT_Multiplier]])</f>
        <v>6.25</v>
      </c>
      <c r="AG30" s="71">
        <f>1</f>
        <v>1</v>
      </c>
      <c r="AH30" s="7" t="s">
        <v>831</v>
      </c>
      <c r="AI30" s="36" t="s">
        <v>377</v>
      </c>
      <c r="AJ30" s="36"/>
    </row>
  </sheetData>
  <mergeCells count="7">
    <mergeCell ref="H2:N2"/>
    <mergeCell ref="A1:AJ1"/>
    <mergeCell ref="O2:X2"/>
    <mergeCell ref="Y2:AC2"/>
    <mergeCell ref="AI2:AJ2"/>
    <mergeCell ref="AD2:AG2"/>
    <mergeCell ref="B2:G2"/>
  </mergeCells>
  <phoneticPr fontId="15" type="noConversion"/>
  <conditionalFormatting sqref="L5:L30">
    <cfRule type="expression" dxfId="2" priority="1">
      <formula>AND(L2&lt;&gt;"",L2&lt;-30)</formula>
    </cfRule>
    <cfRule type="expression" dxfId="1" priority="2">
      <formula>AND(L2&lt;&gt;"",L2&gt;=-30,L2&lt;=0)</formula>
    </cfRule>
    <cfRule type="expression" dxfId="0" priority="3">
      <formula>AND(L2&lt;&gt;"",L2&gt;0)</formula>
    </cfRule>
  </conditionalFormatting>
  <dataValidations count="11">
    <dataValidation type="list" allowBlank="1" showInputMessage="1" showErrorMessage="1" sqref="M5:M30" xr:uid="{345ADAD7-DC63-49E1-B968-770C21703214}">
      <formula1>INDIRECT("Nationality[Nationality]")</formula1>
    </dataValidation>
    <dataValidation type="list" allowBlank="1" showInputMessage="1" showErrorMessage="1" sqref="AI5:AI30" xr:uid="{E8284DF6-225C-46E7-ABAB-C8BBFFDE55B4}">
      <formula1>INDIRECT("Sponser[Sponser]")</formula1>
    </dataValidation>
    <dataValidation type="list" allowBlank="1" showInputMessage="1" showErrorMessage="1" sqref="AJ5" xr:uid="{BDA61DF0-43BC-4436-96EC-F415B750A0AF}">
      <formula1>INDIRECT("Sponser[Company]")</formula1>
    </dataValidation>
    <dataValidation type="list" allowBlank="1" showInputMessage="1" showErrorMessage="1" sqref="N5:N30" xr:uid="{D39529BF-AE8A-40A6-A0E0-5036E161D36E}">
      <formula1>INDIRECT("Job_Title[Job_Title]")</formula1>
    </dataValidation>
    <dataValidation type="list" allowBlank="1" sqref="R5:R30" xr:uid="{EC1883E6-A6FB-49DB-BE10-0096ACE6AF52}">
      <formula1>INDIRECT("Emp_Status[Emp_Status]")</formula1>
    </dataValidation>
    <dataValidation type="list" allowBlank="1" sqref="T5:T30" xr:uid="{7B3FFBB7-12B2-4EFC-B2AE-30500D2CFBD2}">
      <formula1>INDIRECT("Pay[Payment_Method]")</formula1>
    </dataValidation>
    <dataValidation type="list" allowBlank="1" showInputMessage="1" showErrorMessage="1" sqref="F5:F30" xr:uid="{BD351A02-A9F2-470A-A408-E362CE7466A7}">
      <formula1>INDIRECT("Super[Supervisor_Name]")</formula1>
    </dataValidation>
    <dataValidation type="list" allowBlank="1" sqref="D5:D30" xr:uid="{13CE77A7-EDE6-4A47-8184-89A24DDB2199}">
      <formula1>INDIRECT("tbl_Dept[Dept_Name]")</formula1>
    </dataValidation>
    <dataValidation type="list" allowBlank="1" sqref="AH5:AH30" xr:uid="{2B3C2F3A-8A85-4C92-9449-71EEF4233A91}">
      <formula1>INDIRECT("Grade[Grade]")</formula1>
    </dataValidation>
    <dataValidation type="list" allowBlank="1" showInputMessage="1" showErrorMessage="1" sqref="H5:H30" xr:uid="{49267CFE-76D2-410F-B6DF-D9004DAF1940}">
      <formula1>INDIRECT(C5)</formula1>
    </dataValidation>
    <dataValidation type="custom" allowBlank="1" showInputMessage="1" showErrorMessage="1" errorTitle="Error" error="Please enter Bank Account when Payment Method is Bank" sqref="V5:V30" xr:uid="{729916B5-920E-48B1-AF0C-BD9BF6B830FC}">
      <formula1>OR($U5&lt;&gt;"B_0",$V5&lt;&gt;"")</formula1>
    </dataValidation>
  </dataValidations>
  <pageMargins left="0.75" right="0.75" top="1" bottom="1" header="0.511811023622047" footer="0.511811023622047"/>
  <pageSetup orientation="portrait" horizontalDpi="300" verticalDpi="300"/>
  <ignoredErrors>
    <ignoredError sqref="J5:J14" numberStoredAsText="1"/>
  </ignoredErrors>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4948"/>
    <pageSetUpPr fitToPage="1"/>
  </sheetPr>
  <dimension ref="A1:T307"/>
  <sheetViews>
    <sheetView rightToLeft="1" zoomScale="90" zoomScaleNormal="90" workbookViewId="0">
      <pane xSplit="2" ySplit="3" topLeftCell="F4" activePane="bottomRight" state="frozen"/>
      <selection pane="topRight" activeCell="C1" sqref="C1"/>
      <selection pane="bottomLeft" activeCell="A3" sqref="A3"/>
      <selection pane="bottomRight" activeCell="S12" sqref="S12"/>
    </sheetView>
  </sheetViews>
  <sheetFormatPr defaultColWidth="8.68359375" defaultRowHeight="14.4"/>
  <cols>
    <col min="1" max="1" width="4" customWidth="1"/>
    <col min="2" max="2" width="15" customWidth="1"/>
    <col min="3" max="3" width="12" customWidth="1"/>
    <col min="4" max="4" width="20" customWidth="1"/>
    <col min="5" max="5" width="21.3125" customWidth="1"/>
    <col min="6" max="7" width="14" customWidth="1"/>
    <col min="8" max="8" width="20" customWidth="1"/>
    <col min="9" max="9" width="14" customWidth="1"/>
    <col min="10" max="10" width="18.578125" hidden="1" customWidth="1"/>
    <col min="15" max="16" width="0" hidden="1" customWidth="1"/>
  </cols>
  <sheetData>
    <row r="1" spans="1:20" ht="31.5" customHeight="1">
      <c r="A1" s="126" t="s">
        <v>71</v>
      </c>
      <c r="B1" s="126"/>
      <c r="C1" s="126"/>
      <c r="D1" s="126"/>
      <c r="E1" s="126"/>
      <c r="F1" s="126"/>
      <c r="G1" s="126"/>
      <c r="H1" s="126"/>
      <c r="I1" s="126"/>
      <c r="J1" s="126"/>
      <c r="K1" s="126"/>
      <c r="L1" s="126"/>
      <c r="M1" s="126"/>
    </row>
    <row r="2" spans="1:20" ht="20.100000000000001" customHeight="1">
      <c r="A2" s="63" t="s">
        <v>75</v>
      </c>
      <c r="B2" s="63" t="s">
        <v>590</v>
      </c>
      <c r="C2" s="63" t="s">
        <v>431</v>
      </c>
      <c r="D2" s="63" t="s">
        <v>429</v>
      </c>
      <c r="E2" s="63" t="s">
        <v>430</v>
      </c>
      <c r="F2" s="63" t="s">
        <v>78</v>
      </c>
      <c r="G2" s="63" t="s">
        <v>619</v>
      </c>
      <c r="H2" s="63" t="s">
        <v>591</v>
      </c>
      <c r="I2" s="63" t="s">
        <v>592</v>
      </c>
      <c r="K2" s="63" t="s">
        <v>593</v>
      </c>
      <c r="L2" s="63" t="s">
        <v>594</v>
      </c>
      <c r="M2" s="63" t="s">
        <v>77</v>
      </c>
    </row>
    <row r="3" spans="1:20" ht="27.75" customHeight="1">
      <c r="A3" s="33" t="s">
        <v>37</v>
      </c>
      <c r="B3" s="34" t="s">
        <v>595</v>
      </c>
      <c r="C3" s="34" t="s">
        <v>79</v>
      </c>
      <c r="D3" s="34" t="s">
        <v>82</v>
      </c>
      <c r="E3" s="34" t="s">
        <v>83</v>
      </c>
      <c r="F3" s="34" t="s">
        <v>80</v>
      </c>
      <c r="G3" s="34" t="s">
        <v>387</v>
      </c>
      <c r="H3" s="34" t="s">
        <v>402</v>
      </c>
      <c r="I3" s="34" t="s">
        <v>596</v>
      </c>
      <c r="J3" s="34" t="s">
        <v>597</v>
      </c>
      <c r="K3" s="34" t="s">
        <v>159</v>
      </c>
      <c r="L3" s="34" t="s">
        <v>603</v>
      </c>
      <c r="M3" s="35" t="s">
        <v>148</v>
      </c>
    </row>
    <row r="4" spans="1:20" ht="19.5" customHeight="1">
      <c r="A4">
        <v>1</v>
      </c>
      <c r="B4" t="s">
        <v>72</v>
      </c>
      <c r="C4" s="17" t="s">
        <v>190</v>
      </c>
      <c r="D4" t="str">
        <f>IFERROR(_xlfn.XLOOKUP(C4,Master_Employee[Emp_ID],Master_Employee[Name_AR],"",0),"")</f>
        <v>محمد اكبر صافي</v>
      </c>
      <c r="E4" t="str">
        <f>IFERROR(_xlfn.XLOOKUP(C4,Master_Employee[Emp_ID],Master_Employee[Name_EN],"",0),"")</f>
        <v>Muhammad Akbar Safi</v>
      </c>
      <c r="F4" t="str">
        <f>IFERROR(_xlfn.XLOOKUP(C4,Master_Employee[Emp_ID],Master_Employee[Department],"",0),"")</f>
        <v>الإنشاءات</v>
      </c>
      <c r="H4" s="69">
        <v>46082</v>
      </c>
      <c r="I4" t="s">
        <v>157</v>
      </c>
      <c r="J4" t="str">
        <f>_xlfn.XLOOKUP(tbl_Transactions[[#This Row],[Type]],Type[Trans_Type],Type[Type_Code],"",0)</f>
        <v>Bo_01</v>
      </c>
      <c r="L4">
        <v>100</v>
      </c>
      <c r="P4" s="67" t="s">
        <v>604</v>
      </c>
      <c r="Q4" s="67"/>
      <c r="R4" s="67"/>
      <c r="S4" s="67"/>
      <c r="T4" s="67"/>
    </row>
    <row r="5" spans="1:20" ht="19.5" customHeight="1">
      <c r="A5">
        <v>2</v>
      </c>
      <c r="B5" t="s">
        <v>73</v>
      </c>
      <c r="C5" s="17" t="s">
        <v>239</v>
      </c>
      <c r="D5" t="str">
        <f>IFERROR(_xlfn.XLOOKUP(C5,Master_Employee[Emp_ID],Master_Employee[Name_AR],"",0),"")</f>
        <v>عبدالحكيم رستم انصاري</v>
      </c>
      <c r="E5" t="str">
        <f>IFERROR(_xlfn.XLOOKUP(C5,Master_Employee[Emp_ID],Master_Employee[Name_EN],"",0),"")</f>
        <v>Abdul Hakim Rustam Ansari</v>
      </c>
      <c r="F5" t="str">
        <f>IFERROR(_xlfn.XLOOKUP(C5,Master_Employee[Emp_ID],Master_Employee[Department],"",0),"")</f>
        <v>الإنشاءات</v>
      </c>
      <c r="H5" s="69">
        <v>46083</v>
      </c>
      <c r="I5" t="s">
        <v>156</v>
      </c>
      <c r="J5" t="str">
        <f>_xlfn.XLOOKUP(tbl_Transactions[[#This Row],[Type]],Type[Trans_Type],Type[Type_Code],"",0)</f>
        <v>De_01</v>
      </c>
      <c r="L5">
        <v>50</v>
      </c>
      <c r="P5" s="67" t="s">
        <v>801</v>
      </c>
      <c r="Q5" s="67"/>
      <c r="R5" s="67"/>
    </row>
    <row r="6" spans="1:20" ht="19.5" customHeight="1">
      <c r="A6">
        <v>4</v>
      </c>
      <c r="B6" t="s">
        <v>74</v>
      </c>
      <c r="C6" s="17" t="s">
        <v>243</v>
      </c>
      <c r="D6" t="str">
        <f>IFERROR(_xlfn.XLOOKUP(C6,Master_Employee[Emp_ID],Master_Employee[Name_AR],"",0),"")</f>
        <v>انوار انصاري رحيم انصاري</v>
      </c>
      <c r="E6" t="str">
        <f>IFERROR(_xlfn.XLOOKUP(C6,Master_Employee[Emp_ID],Master_Employee[Name_EN],"",0),"")</f>
        <v>Anwar Ansari Rahim Ansari</v>
      </c>
      <c r="F6" t="str">
        <f>IFERROR(_xlfn.XLOOKUP(C6,Master_Employee[Emp_ID],Master_Employee[Department],"",0),"")</f>
        <v>الإنشاءات</v>
      </c>
      <c r="H6" s="69">
        <v>46085</v>
      </c>
      <c r="I6" t="s">
        <v>602</v>
      </c>
      <c r="J6" t="str">
        <f>_xlfn.XLOOKUP(tbl_Transactions[[#This Row],[Type]],Type[Trans_Type],Type[Type_Code],"",0)</f>
        <v>Lo_01</v>
      </c>
      <c r="L6">
        <v>500</v>
      </c>
      <c r="O6" t="s">
        <v>609</v>
      </c>
    </row>
    <row r="7" spans="1:20" ht="19.5" customHeight="1">
      <c r="A7">
        <f t="shared" ref="A7:A70" si="0">IFERROR(IF(C7="","",ROW()-2),"")</f>
        <v>5</v>
      </c>
      <c r="B7" t="s">
        <v>581</v>
      </c>
      <c r="C7" s="17" t="s">
        <v>225</v>
      </c>
      <c r="D7" t="str">
        <f>IFERROR(_xlfn.XLOOKUP(C7,Master_Employee[Emp_ID],Master_Employee[Name_AR],"",0),"")</f>
        <v>محمد سهيل محمد سليم</v>
      </c>
      <c r="E7" t="str">
        <f>IFERROR(_xlfn.XLOOKUP(C7,Master_Employee[Emp_ID],Master_Employee[Name_EN],"",0),"")</f>
        <v>Mohammed Suhail Mohammed Salim</v>
      </c>
      <c r="F7" t="str">
        <f>IFERROR(_xlfn.XLOOKUP(C7,Master_Employee[Emp_ID],Master_Employee[Department],"",0),"")</f>
        <v>الإنشاءات</v>
      </c>
      <c r="H7" s="69">
        <v>46082</v>
      </c>
      <c r="I7" t="s">
        <v>602</v>
      </c>
      <c r="J7" t="str">
        <f>_xlfn.XLOOKUP(tbl_Transactions[[#This Row],[Type]],Type[Trans_Type],Type[Type_Code],"",0)</f>
        <v>Lo_01</v>
      </c>
      <c r="L7">
        <v>100</v>
      </c>
      <c r="O7" t="str" cm="1">
        <f t="array" ref="O7:O29">_xlfn._xlws.FILTER(
  Master_Employee[Emp_ID],
  ISNUMBER(MATCH(Master_Employee[Status_Code],Valid_Status[],0)),
  "لا يوجد عمال"
)</f>
        <v>O60</v>
      </c>
      <c r="P7" t="b">
        <f>OR(
J4&lt;&gt;"Lo_01",
AND(J4="Lo_01",K4&lt;&gt;""),
L4=""
)</f>
        <v>1</v>
      </c>
    </row>
    <row r="8" spans="1:20" ht="19.5" customHeight="1">
      <c r="A8">
        <f t="shared" si="0"/>
        <v>6</v>
      </c>
      <c r="B8" t="s">
        <v>582</v>
      </c>
      <c r="C8" s="17">
        <v>146</v>
      </c>
      <c r="D8" t="str">
        <f>IFERROR(_xlfn.XLOOKUP(C8,Master_Employee[Emp_ID],Master_Employee[Name_AR],"",0),"")</f>
        <v>ﻣﺎﻣﻮﻥ ﺍﺣﻤﺪ ﺷﻮﻧﻮ ﻣﻴﺎﻩ</v>
      </c>
      <c r="E8">
        <f>IFERROR(_xlfn.XLOOKUP(C8,Master_Employee[Emp_ID],Master_Employee[Name_EN],"",0),"")</f>
        <v>0</v>
      </c>
      <c r="F8" t="str">
        <f>IFERROR(_xlfn.XLOOKUP(C8,Master_Employee[Emp_ID],Master_Employee[Department],"",0),"")</f>
        <v xml:space="preserve">الإدارة </v>
      </c>
      <c r="H8" s="69">
        <v>46091</v>
      </c>
      <c r="I8" t="s">
        <v>156</v>
      </c>
      <c r="J8" t="str">
        <f>_xlfn.XLOOKUP(tbl_Transactions[[#This Row],[Type]],Type[Trans_Type],Type[Type_Code],"",0)</f>
        <v>De_01</v>
      </c>
      <c r="L8">
        <v>200</v>
      </c>
      <c r="O8" t="str">
        <v>O61</v>
      </c>
    </row>
    <row r="9" spans="1:20" ht="19.5" customHeight="1">
      <c r="A9" t="str">
        <f t="shared" si="0"/>
        <v/>
      </c>
      <c r="B9" t="s">
        <v>583</v>
      </c>
      <c r="C9" s="17"/>
      <c r="D9" t="str">
        <f>IFERROR(_xlfn.XLOOKUP(C9,Master_Employee[Emp_ID],Master_Employee[Name_AR],"",0),"")</f>
        <v/>
      </c>
      <c r="E9" t="str">
        <f>IFERROR(_xlfn.XLOOKUP(C9,Master_Employee[Emp_ID],Master_Employee[Name_EN],"",0),"")</f>
        <v/>
      </c>
      <c r="F9" t="str">
        <f>IFERROR(_xlfn.XLOOKUP(C9,Master_Employee[Emp_ID],Master_Employee[Department],"",0),"")</f>
        <v/>
      </c>
      <c r="H9" s="69"/>
      <c r="J9" t="str">
        <f>_xlfn.XLOOKUP(tbl_Transactions[[#This Row],[Type]],Type[Trans_Type],Type[Type_Code],"",0)</f>
        <v/>
      </c>
      <c r="O9" t="str">
        <v>O175</v>
      </c>
    </row>
    <row r="10" spans="1:20" ht="19.5" customHeight="1">
      <c r="A10" t="str">
        <f t="shared" si="0"/>
        <v/>
      </c>
      <c r="B10" t="s">
        <v>584</v>
      </c>
      <c r="C10" s="17"/>
      <c r="D10" t="str">
        <f>IFERROR(_xlfn.XLOOKUP(C10,Master_Employee[Emp_ID],Master_Employee[Name_AR],"",0),"")</f>
        <v/>
      </c>
      <c r="E10" t="str">
        <f>IFERROR(_xlfn.XLOOKUP(C10,Master_Employee[Emp_ID],Master_Employee[Name_EN],"",0),"")</f>
        <v/>
      </c>
      <c r="F10" t="str">
        <f>IFERROR(_xlfn.XLOOKUP(C10,Master_Employee[Emp_ID],Master_Employee[Department],"",0),"")</f>
        <v/>
      </c>
      <c r="H10" s="69"/>
      <c r="J10" t="str">
        <f>_xlfn.XLOOKUP(tbl_Transactions[[#This Row],[Type]],Type[Trans_Type],Type[Type_Code],"",0)</f>
        <v/>
      </c>
      <c r="O10" t="str">
        <v>O180</v>
      </c>
    </row>
    <row r="11" spans="1:20" ht="19.5" customHeight="1">
      <c r="A11" t="str">
        <f t="shared" si="0"/>
        <v/>
      </c>
      <c r="B11" t="s">
        <v>585</v>
      </c>
      <c r="C11" s="17"/>
      <c r="D11" t="str">
        <f>IFERROR(_xlfn.XLOOKUP(C11,Master_Employee[Emp_ID],Master_Employee[Name_AR],"",0),"")</f>
        <v/>
      </c>
      <c r="E11" t="str">
        <f>IFERROR(_xlfn.XLOOKUP(C11,Master_Employee[Emp_ID],Master_Employee[Name_EN],"",0),"")</f>
        <v/>
      </c>
      <c r="F11" t="str">
        <f>IFERROR(_xlfn.XLOOKUP(C11,Master_Employee[Emp_ID],Master_Employee[Department],"",0),"")</f>
        <v/>
      </c>
      <c r="H11" s="69"/>
      <c r="J11" t="str">
        <f>_xlfn.XLOOKUP(tbl_Transactions[[#This Row],[Type]],Type[Trans_Type],Type[Type_Code],"",0)</f>
        <v/>
      </c>
      <c r="O11" t="str">
        <v>O201</v>
      </c>
    </row>
    <row r="12" spans="1:20" ht="19.5" customHeight="1">
      <c r="A12" t="str">
        <f t="shared" si="0"/>
        <v/>
      </c>
      <c r="B12" t="s">
        <v>586</v>
      </c>
      <c r="C12" s="17"/>
      <c r="D12" t="str">
        <f>IFERROR(_xlfn.XLOOKUP(C12,Master_Employee[Emp_ID],Master_Employee[Name_AR],"",0),"")</f>
        <v/>
      </c>
      <c r="E12" t="str">
        <f>IFERROR(_xlfn.XLOOKUP(C12,Master_Employee[Emp_ID],Master_Employee[Name_EN],"",0),"")</f>
        <v/>
      </c>
      <c r="F12" t="str">
        <f>IFERROR(_xlfn.XLOOKUP(C12,Master_Employee[Emp_ID],Master_Employee[Department],"",0),"")</f>
        <v/>
      </c>
      <c r="H12" s="69"/>
      <c r="J12" t="str">
        <f>_xlfn.XLOOKUP(tbl_Transactions[[#This Row],[Type]],Type[Trans_Type],Type[Type_Code],"",0)</f>
        <v/>
      </c>
      <c r="O12" t="str">
        <v>O229</v>
      </c>
    </row>
    <row r="13" spans="1:20" ht="19.5" customHeight="1">
      <c r="A13" t="str">
        <f t="shared" si="0"/>
        <v/>
      </c>
      <c r="B13" t="s">
        <v>587</v>
      </c>
      <c r="C13" s="17"/>
      <c r="D13" t="str">
        <f>IFERROR(_xlfn.XLOOKUP(C13,Master_Employee[Emp_ID],Master_Employee[Name_AR],"",0),"")</f>
        <v/>
      </c>
      <c r="E13" t="str">
        <f>IFERROR(_xlfn.XLOOKUP(C13,Master_Employee[Emp_ID],Master_Employee[Name_EN],"",0),"")</f>
        <v/>
      </c>
      <c r="F13" t="str">
        <f>IFERROR(_xlfn.XLOOKUP(C13,Master_Employee[Emp_ID],Master_Employee[Department],"",0),"")</f>
        <v/>
      </c>
      <c r="H13" s="69"/>
      <c r="J13" t="str">
        <f>_xlfn.XLOOKUP(tbl_Transactions[[#This Row],[Type]],Type[Trans_Type],Type[Type_Code],"",0)</f>
        <v/>
      </c>
      <c r="O13">
        <v>244</v>
      </c>
    </row>
    <row r="14" spans="1:20" ht="19.5" customHeight="1">
      <c r="A14" t="str">
        <f t="shared" si="0"/>
        <v/>
      </c>
      <c r="B14" t="s">
        <v>588</v>
      </c>
      <c r="C14" s="17"/>
      <c r="D14" t="str">
        <f>IFERROR(_xlfn.XLOOKUP(C14,Master_Employee[Emp_ID],Master_Employee[Name_AR],"",0),"")</f>
        <v/>
      </c>
      <c r="E14" t="str">
        <f>IFERROR(_xlfn.XLOOKUP(C14,Master_Employee[Emp_ID],Master_Employee[Name_EN],"",0),"")</f>
        <v/>
      </c>
      <c r="F14" t="str">
        <f>IFERROR(_xlfn.XLOOKUP(C14,Master_Employee[Emp_ID],Master_Employee[Department],"",0),"")</f>
        <v/>
      </c>
      <c r="H14" s="69"/>
      <c r="J14" t="str">
        <f>_xlfn.XLOOKUP(tbl_Transactions[[#This Row],[Type]],Type[Trans_Type],Type[Type_Code],"",0)</f>
        <v/>
      </c>
      <c r="O14">
        <v>243</v>
      </c>
    </row>
    <row r="15" spans="1:20" ht="19.5" customHeight="1">
      <c r="A15" t="str">
        <f t="shared" si="0"/>
        <v/>
      </c>
      <c r="B15" t="s">
        <v>589</v>
      </c>
      <c r="C15" s="17"/>
      <c r="D15" t="str">
        <f>IFERROR(_xlfn.XLOOKUP(C15,Master_Employee[Emp_ID],Master_Employee[Name_AR],"",0),"")</f>
        <v/>
      </c>
      <c r="E15" t="str">
        <f>IFERROR(_xlfn.XLOOKUP(C15,Master_Employee[Emp_ID],Master_Employee[Name_EN],"",0),"")</f>
        <v/>
      </c>
      <c r="F15" t="str">
        <f>IFERROR(_xlfn.XLOOKUP(C15,Master_Employee[Emp_ID],Master_Employee[Department],"",0),"")</f>
        <v/>
      </c>
      <c r="H15" s="69"/>
      <c r="J15" t="str">
        <f>_xlfn.XLOOKUP(tbl_Transactions[[#This Row],[Type]],Type[Trans_Type],Type[Type_Code],"",0)</f>
        <v/>
      </c>
      <c r="O15">
        <v>389</v>
      </c>
    </row>
    <row r="16" spans="1:20" ht="19.5" customHeight="1">
      <c r="A16" t="str">
        <f t="shared" si="0"/>
        <v/>
      </c>
      <c r="C16" s="17"/>
      <c r="D16" t="str">
        <f>IFERROR(_xlfn.XLOOKUP(C16,Master_Employee[Emp_ID],Master_Employee[Name_AR],"",0),"")</f>
        <v/>
      </c>
      <c r="E16" t="str">
        <f>IFERROR(_xlfn.XLOOKUP(C16,Master_Employee[Emp_ID],Master_Employee[Name_EN],"",0),"")</f>
        <v/>
      </c>
      <c r="F16" t="str">
        <f>IFERROR(_xlfn.XLOOKUP(C16,Master_Employee[Emp_ID],Master_Employee[Department],"",0),"")</f>
        <v/>
      </c>
      <c r="H16" s="69"/>
      <c r="J16" t="str">
        <f>_xlfn.XLOOKUP(tbl_Transactions[[#This Row],[Type]],Type[Trans_Type],Type[Type_Code],"",0)</f>
        <v/>
      </c>
      <c r="O16">
        <v>411</v>
      </c>
    </row>
    <row r="17" spans="1:15" ht="19.5" customHeight="1">
      <c r="A17" t="str">
        <f t="shared" si="0"/>
        <v/>
      </c>
      <c r="C17" s="17"/>
      <c r="D17" t="str">
        <f>IFERROR(_xlfn.XLOOKUP(C17,Master_Employee[Emp_ID],Master_Employee[Name_AR],"",0),"")</f>
        <v/>
      </c>
      <c r="E17" t="str">
        <f>IFERROR(_xlfn.XLOOKUP(C17,Master_Employee[Emp_ID],Master_Employee[Name_EN],"",0),"")</f>
        <v/>
      </c>
      <c r="F17" t="str">
        <f>IFERROR(_xlfn.XLOOKUP(C17,Master_Employee[Emp_ID],Master_Employee[Department],"",0),"")</f>
        <v/>
      </c>
      <c r="H17" s="69"/>
      <c r="J17" t="str">
        <f>_xlfn.XLOOKUP(tbl_Transactions[[#This Row],[Type]],Type[Trans_Type],Type[Type_Code],"",0)</f>
        <v/>
      </c>
      <c r="O17">
        <v>448</v>
      </c>
    </row>
    <row r="18" spans="1:15" ht="19.5" customHeight="1">
      <c r="A18" t="str">
        <f t="shared" si="0"/>
        <v/>
      </c>
      <c r="C18" s="17"/>
      <c r="D18" t="str">
        <f>IFERROR(_xlfn.XLOOKUP(C18,Master_Employee[Emp_ID],Master_Employee[Name_AR],"",0),"")</f>
        <v/>
      </c>
      <c r="E18" t="str">
        <f>IFERROR(_xlfn.XLOOKUP(C18,Master_Employee[Emp_ID],Master_Employee[Name_EN],"",0),"")</f>
        <v/>
      </c>
      <c r="F18" t="str">
        <f>IFERROR(_xlfn.XLOOKUP(C18,Master_Employee[Emp_ID],Master_Employee[Department],"",0),"")</f>
        <v/>
      </c>
      <c r="H18" s="69"/>
      <c r="J18" t="str">
        <f>_xlfn.XLOOKUP(tbl_Transactions[[#This Row],[Type]],Type[Trans_Type],Type[Type_Code],"",0)</f>
        <v/>
      </c>
      <c r="O18">
        <v>247</v>
      </c>
    </row>
    <row r="19" spans="1:15" ht="19.5" customHeight="1">
      <c r="A19" t="str">
        <f t="shared" si="0"/>
        <v/>
      </c>
      <c r="C19" s="17"/>
      <c r="D19" t="str">
        <f>IFERROR(_xlfn.XLOOKUP(C19,Master_Employee[Emp_ID],Master_Employee[Name_AR],"",0),"")</f>
        <v/>
      </c>
      <c r="E19" t="str">
        <f>IFERROR(_xlfn.XLOOKUP(C19,Master_Employee[Emp_ID],Master_Employee[Name_EN],"",0),"")</f>
        <v/>
      </c>
      <c r="F19" t="str">
        <f>IFERROR(_xlfn.XLOOKUP(C19,Master_Employee[Emp_ID],Master_Employee[Department],"",0),"")</f>
        <v/>
      </c>
      <c r="H19" s="69"/>
      <c r="J19" t="str">
        <f>_xlfn.XLOOKUP(tbl_Transactions[[#This Row],[Type]],Type[Trans_Type],Type[Type_Code],"",0)</f>
        <v/>
      </c>
      <c r="O19" t="str">
        <v>O204</v>
      </c>
    </row>
    <row r="20" spans="1:15" ht="19.5" customHeight="1">
      <c r="A20" t="str">
        <f t="shared" si="0"/>
        <v/>
      </c>
      <c r="C20" s="17"/>
      <c r="D20" t="str">
        <f>IFERROR(_xlfn.XLOOKUP(C20,Master_Employee[Emp_ID],Master_Employee[Name_AR],"",0),"")</f>
        <v/>
      </c>
      <c r="E20" t="str">
        <f>IFERROR(_xlfn.XLOOKUP(C20,Master_Employee[Emp_ID],Master_Employee[Name_EN],"",0),"")</f>
        <v/>
      </c>
      <c r="F20" t="str">
        <f>IFERROR(_xlfn.XLOOKUP(C20,Master_Employee[Emp_ID],Master_Employee[Department],"",0),"")</f>
        <v/>
      </c>
      <c r="H20" s="69"/>
      <c r="J20" t="str">
        <f>_xlfn.XLOOKUP(tbl_Transactions[[#This Row],[Type]],Type[Trans_Type],Type[Type_Code],"",0)</f>
        <v/>
      </c>
      <c r="O20" t="str">
        <v>O207</v>
      </c>
    </row>
    <row r="21" spans="1:15" ht="19.5" customHeight="1">
      <c r="A21" t="str">
        <f t="shared" si="0"/>
        <v/>
      </c>
      <c r="C21" s="17"/>
      <c r="D21" t="str">
        <f>IFERROR(_xlfn.XLOOKUP(C21,Master_Employee[Emp_ID],Master_Employee[Name_AR],"",0),"")</f>
        <v/>
      </c>
      <c r="E21" t="str">
        <f>IFERROR(_xlfn.XLOOKUP(C21,Master_Employee[Emp_ID],Master_Employee[Name_EN],"",0),"")</f>
        <v/>
      </c>
      <c r="F21" t="str">
        <f>IFERROR(_xlfn.XLOOKUP(C21,Master_Employee[Emp_ID],Master_Employee[Department],"",0),"")</f>
        <v/>
      </c>
      <c r="H21" s="69"/>
      <c r="J21" t="str">
        <f>_xlfn.XLOOKUP(tbl_Transactions[[#This Row],[Type]],Type[Trans_Type],Type[Type_Code],"",0)</f>
        <v/>
      </c>
      <c r="O21" t="str">
        <v>O163</v>
      </c>
    </row>
    <row r="22" spans="1:15" ht="19.5" customHeight="1">
      <c r="A22" t="str">
        <f t="shared" si="0"/>
        <v/>
      </c>
      <c r="C22" s="17"/>
      <c r="D22" t="str">
        <f>IFERROR(_xlfn.XLOOKUP(C22,Master_Employee[Emp_ID],Master_Employee[Name_AR],"",0),"")</f>
        <v/>
      </c>
      <c r="E22" t="str">
        <f>IFERROR(_xlfn.XLOOKUP(C22,Master_Employee[Emp_ID],Master_Employee[Name_EN],"",0),"")</f>
        <v/>
      </c>
      <c r="F22" t="str">
        <f>IFERROR(_xlfn.XLOOKUP(C22,Master_Employee[Emp_ID],Master_Employee[Department],"",0),"")</f>
        <v/>
      </c>
      <c r="H22" s="69"/>
      <c r="J22" t="str">
        <f>_xlfn.XLOOKUP(tbl_Transactions[[#This Row],[Type]],Type[Trans_Type],Type[Type_Code],"",0)</f>
        <v/>
      </c>
      <c r="O22" t="str">
        <v>O48</v>
      </c>
    </row>
    <row r="23" spans="1:15" ht="19.5" customHeight="1">
      <c r="A23" t="str">
        <f t="shared" si="0"/>
        <v/>
      </c>
      <c r="C23" s="17"/>
      <c r="D23" t="str">
        <f>IFERROR(_xlfn.XLOOKUP(C23,Master_Employee[Emp_ID],Master_Employee[Name_AR],"",0),"")</f>
        <v/>
      </c>
      <c r="E23" t="str">
        <f>IFERROR(_xlfn.XLOOKUP(C23,Master_Employee[Emp_ID],Master_Employee[Name_EN],"",0),"")</f>
        <v/>
      </c>
      <c r="F23" t="str">
        <f>IFERROR(_xlfn.XLOOKUP(C23,Master_Employee[Emp_ID],Master_Employee[Department],"",0),"")</f>
        <v/>
      </c>
      <c r="H23" s="69"/>
      <c r="J23" t="str">
        <f>_xlfn.XLOOKUP(tbl_Transactions[[#This Row],[Type]],Type[Trans_Type],Type[Type_Code],"",0)</f>
        <v/>
      </c>
      <c r="O23" t="str">
        <v>O187</v>
      </c>
    </row>
    <row r="24" spans="1:15" ht="19.5" customHeight="1">
      <c r="A24" t="str">
        <f t="shared" si="0"/>
        <v/>
      </c>
      <c r="C24" s="17"/>
      <c r="D24" t="str">
        <f>IFERROR(_xlfn.XLOOKUP(C24,Master_Employee[Emp_ID],Master_Employee[Name_AR],"",0),"")</f>
        <v/>
      </c>
      <c r="E24" t="str">
        <f>IFERROR(_xlfn.XLOOKUP(C24,Master_Employee[Emp_ID],Master_Employee[Name_EN],"",0),"")</f>
        <v/>
      </c>
      <c r="F24" t="str">
        <f>IFERROR(_xlfn.XLOOKUP(C24,Master_Employee[Emp_ID],Master_Employee[Department],"",0),"")</f>
        <v/>
      </c>
      <c r="H24" s="69"/>
      <c r="J24" t="str">
        <f>_xlfn.XLOOKUP(tbl_Transactions[[#This Row],[Type]],Type[Trans_Type],Type[Type_Code],"",0)</f>
        <v/>
      </c>
      <c r="O24">
        <v>146</v>
      </c>
    </row>
    <row r="25" spans="1:15" ht="19.5" customHeight="1">
      <c r="A25" t="str">
        <f t="shared" si="0"/>
        <v/>
      </c>
      <c r="C25" s="17"/>
      <c r="D25" t="str">
        <f>IFERROR(_xlfn.XLOOKUP(C25,Master_Employee[Emp_ID],Master_Employee[Name_AR],"",0),"")</f>
        <v/>
      </c>
      <c r="E25" t="str">
        <f>IFERROR(_xlfn.XLOOKUP(C25,Master_Employee[Emp_ID],Master_Employee[Name_EN],"",0),"")</f>
        <v/>
      </c>
      <c r="F25" t="str">
        <f>IFERROR(_xlfn.XLOOKUP(C25,Master_Employee[Emp_ID],Master_Employee[Department],"",0),"")</f>
        <v/>
      </c>
      <c r="H25" s="69"/>
      <c r="J25" t="str">
        <f>_xlfn.XLOOKUP(tbl_Transactions[[#This Row],[Type]],Type[Trans_Type],Type[Type_Code],"",0)</f>
        <v/>
      </c>
      <c r="O25" t="str">
        <v>O304</v>
      </c>
    </row>
    <row r="26" spans="1:15" ht="19.5" customHeight="1">
      <c r="A26" t="str">
        <f t="shared" si="0"/>
        <v/>
      </c>
      <c r="C26" s="17"/>
      <c r="D26" t="str">
        <f>IFERROR(_xlfn.XLOOKUP(C26,Master_Employee[Emp_ID],Master_Employee[Name_AR],"",0),"")</f>
        <v/>
      </c>
      <c r="E26" t="str">
        <f>IFERROR(_xlfn.XLOOKUP(C26,Master_Employee[Emp_ID],Master_Employee[Name_EN],"",0),"")</f>
        <v/>
      </c>
      <c r="F26" t="str">
        <f>IFERROR(_xlfn.XLOOKUP(C26,Master_Employee[Emp_ID],Master_Employee[Department],"",0),"")</f>
        <v/>
      </c>
      <c r="H26" s="69"/>
      <c r="J26" t="str">
        <f>_xlfn.XLOOKUP(tbl_Transactions[[#This Row],[Type]],Type[Trans_Type],Type[Type_Code],"",0)</f>
        <v/>
      </c>
      <c r="O26">
        <v>494</v>
      </c>
    </row>
    <row r="27" spans="1:15" ht="19.5" customHeight="1">
      <c r="A27" t="str">
        <f t="shared" si="0"/>
        <v/>
      </c>
      <c r="C27" s="17"/>
      <c r="D27" t="str">
        <f>IFERROR(_xlfn.XLOOKUP(C27,Master_Employee[Emp_ID],Master_Employee[Name_AR],"",0),"")</f>
        <v/>
      </c>
      <c r="E27" t="str">
        <f>IFERROR(_xlfn.XLOOKUP(C27,Master_Employee[Emp_ID],Master_Employee[Name_EN],"",0),"")</f>
        <v/>
      </c>
      <c r="F27" t="str">
        <f>IFERROR(_xlfn.XLOOKUP(C27,Master_Employee[Emp_ID],Master_Employee[Department],"",0),"")</f>
        <v/>
      </c>
      <c r="H27" s="69"/>
      <c r="J27" t="str">
        <f>_xlfn.XLOOKUP(tbl_Transactions[[#This Row],[Type]],Type[Trans_Type],Type[Type_Code],"",0)</f>
        <v/>
      </c>
      <c r="O27" t="str">
        <v>O246</v>
      </c>
    </row>
    <row r="28" spans="1:15" ht="19.5" customHeight="1">
      <c r="A28" t="str">
        <f t="shared" si="0"/>
        <v/>
      </c>
      <c r="C28" s="17"/>
      <c r="D28" t="str">
        <f>IFERROR(_xlfn.XLOOKUP(C28,Master_Employee[Emp_ID],Master_Employee[Name_AR],"",0),"")</f>
        <v/>
      </c>
      <c r="E28" t="str">
        <f>IFERROR(_xlfn.XLOOKUP(C28,Master_Employee[Emp_ID],Master_Employee[Name_EN],"",0),"")</f>
        <v/>
      </c>
      <c r="F28" t="str">
        <f>IFERROR(_xlfn.XLOOKUP(C28,Master_Employee[Emp_ID],Master_Employee[Department],"",0),"")</f>
        <v/>
      </c>
      <c r="H28" s="69"/>
      <c r="J28" t="str">
        <f>_xlfn.XLOOKUP(tbl_Transactions[[#This Row],[Type]],Type[Trans_Type],Type[Type_Code],"",0)</f>
        <v/>
      </c>
      <c r="O28" t="str">
        <v>O309</v>
      </c>
    </row>
    <row r="29" spans="1:15" ht="19.5" customHeight="1">
      <c r="A29" t="str">
        <f t="shared" si="0"/>
        <v/>
      </c>
      <c r="C29" s="17"/>
      <c r="D29" t="str">
        <f>IFERROR(_xlfn.XLOOKUP(C29,Master_Employee[Emp_ID],Master_Employee[Name_AR],"",0),"")</f>
        <v/>
      </c>
      <c r="E29" t="str">
        <f>IFERROR(_xlfn.XLOOKUP(C29,Master_Employee[Emp_ID],Master_Employee[Name_EN],"",0),"")</f>
        <v/>
      </c>
      <c r="F29" t="str">
        <f>IFERROR(_xlfn.XLOOKUP(C29,Master_Employee[Emp_ID],Master_Employee[Department],"",0),"")</f>
        <v/>
      </c>
      <c r="H29" s="69"/>
      <c r="J29" t="str">
        <f>_xlfn.XLOOKUP(tbl_Transactions[[#This Row],[Type]],Type[Trans_Type],Type[Type_Code],"",0)</f>
        <v/>
      </c>
      <c r="O29">
        <v>314</v>
      </c>
    </row>
    <row r="30" spans="1:15" ht="19.5" customHeight="1">
      <c r="A30" t="str">
        <f t="shared" si="0"/>
        <v/>
      </c>
      <c r="C30" s="17"/>
      <c r="D30" t="str">
        <f>IFERROR(_xlfn.XLOOKUP(C30,Master_Employee[Emp_ID],Master_Employee[Name_AR],"",0),"")</f>
        <v/>
      </c>
      <c r="E30" t="str">
        <f>IFERROR(_xlfn.XLOOKUP(C30,Master_Employee[Emp_ID],Master_Employee[Name_EN],"",0),"")</f>
        <v/>
      </c>
      <c r="F30" t="str">
        <f>IFERROR(_xlfn.XLOOKUP(C30,Master_Employee[Emp_ID],Master_Employee[Department],"",0),"")</f>
        <v/>
      </c>
      <c r="H30" s="69"/>
      <c r="J30" t="str">
        <f>_xlfn.XLOOKUP(tbl_Transactions[[#This Row],[Type]],Type[Trans_Type],Type[Type_Code],"",0)</f>
        <v/>
      </c>
    </row>
    <row r="31" spans="1:15" ht="19.5" customHeight="1">
      <c r="A31" t="str">
        <f t="shared" si="0"/>
        <v/>
      </c>
      <c r="C31" s="17"/>
      <c r="D31" t="str">
        <f>IFERROR(_xlfn.XLOOKUP(C31,Master_Employee[Emp_ID],Master_Employee[Name_AR],"",0),"")</f>
        <v/>
      </c>
      <c r="E31" t="str">
        <f>IFERROR(_xlfn.XLOOKUP(C31,Master_Employee[Emp_ID],Master_Employee[Name_EN],"",0),"")</f>
        <v/>
      </c>
      <c r="F31" t="str">
        <f>IFERROR(_xlfn.XLOOKUP(C31,Master_Employee[Emp_ID],Master_Employee[Department],"",0),"")</f>
        <v/>
      </c>
      <c r="H31" s="69"/>
      <c r="J31" t="str">
        <f>_xlfn.XLOOKUP(tbl_Transactions[[#This Row],[Type]],Type[Trans_Type],Type[Type_Code],"",0)</f>
        <v/>
      </c>
    </row>
    <row r="32" spans="1:15" ht="19.5" customHeight="1">
      <c r="A32" t="str">
        <f t="shared" si="0"/>
        <v/>
      </c>
      <c r="C32" s="17"/>
      <c r="D32" t="str">
        <f>IFERROR(_xlfn.XLOOKUP(C32,Master_Employee[Emp_ID],Master_Employee[Name_AR],"",0),"")</f>
        <v/>
      </c>
      <c r="E32" t="str">
        <f>IFERROR(_xlfn.XLOOKUP(C32,Master_Employee[Emp_ID],Master_Employee[Name_EN],"",0),"")</f>
        <v/>
      </c>
      <c r="F32" t="str">
        <f>IFERROR(_xlfn.XLOOKUP(C32,Master_Employee[Emp_ID],Master_Employee[Department],"",0),"")</f>
        <v/>
      </c>
      <c r="H32" s="69"/>
      <c r="J32" t="str">
        <f>_xlfn.XLOOKUP(tbl_Transactions[[#This Row],[Type]],Type[Trans_Type],Type[Type_Code],"",0)</f>
        <v/>
      </c>
    </row>
    <row r="33" spans="1:10" ht="19.5" customHeight="1">
      <c r="A33" t="str">
        <f t="shared" si="0"/>
        <v/>
      </c>
      <c r="C33" s="17"/>
      <c r="D33" t="str">
        <f>IFERROR(_xlfn.XLOOKUP(C33,Master_Employee[Emp_ID],Master_Employee[Name_AR],"",0),"")</f>
        <v/>
      </c>
      <c r="E33" t="str">
        <f>IFERROR(_xlfn.XLOOKUP(C33,Master_Employee[Emp_ID],Master_Employee[Name_EN],"",0),"")</f>
        <v/>
      </c>
      <c r="F33" t="str">
        <f>IFERROR(_xlfn.XLOOKUP(C33,Master_Employee[Emp_ID],Master_Employee[Department],"",0),"")</f>
        <v/>
      </c>
      <c r="H33" s="69"/>
      <c r="J33" t="str">
        <f>_xlfn.XLOOKUP(tbl_Transactions[[#This Row],[Type]],Type[Trans_Type],Type[Type_Code],"",0)</f>
        <v/>
      </c>
    </row>
    <row r="34" spans="1:10" ht="19.5" customHeight="1">
      <c r="A34" t="str">
        <f t="shared" si="0"/>
        <v/>
      </c>
      <c r="C34" s="17"/>
      <c r="D34" t="str">
        <f>IFERROR(_xlfn.XLOOKUP(C34,Master_Employee[Emp_ID],Master_Employee[Name_AR],"",0),"")</f>
        <v/>
      </c>
      <c r="E34" t="str">
        <f>IFERROR(_xlfn.XLOOKUP(C34,Master_Employee[Emp_ID],Master_Employee[Name_EN],"",0),"")</f>
        <v/>
      </c>
      <c r="F34" t="str">
        <f>IFERROR(_xlfn.XLOOKUP(C34,Master_Employee[Emp_ID],Master_Employee[Department],"",0),"")</f>
        <v/>
      </c>
      <c r="H34" s="69"/>
      <c r="J34" t="str">
        <f>_xlfn.XLOOKUP(tbl_Transactions[[#This Row],[Type]],Type[Trans_Type],Type[Type_Code],"",0)</f>
        <v/>
      </c>
    </row>
    <row r="35" spans="1:10" ht="19.5" customHeight="1">
      <c r="A35" t="str">
        <f t="shared" si="0"/>
        <v/>
      </c>
      <c r="C35" s="17"/>
      <c r="D35" t="str">
        <f>IFERROR(_xlfn.XLOOKUP(C35,Master_Employee[Emp_ID],Master_Employee[Name_AR],"",0),"")</f>
        <v/>
      </c>
      <c r="E35" t="str">
        <f>IFERROR(_xlfn.XLOOKUP(C35,Master_Employee[Emp_ID],Master_Employee[Name_EN],"",0),"")</f>
        <v/>
      </c>
      <c r="F35" t="str">
        <f>IFERROR(_xlfn.XLOOKUP(C35,Master_Employee[Emp_ID],Master_Employee[Department],"",0),"")</f>
        <v/>
      </c>
      <c r="H35" s="69"/>
      <c r="J35" t="str">
        <f>_xlfn.XLOOKUP(tbl_Transactions[[#This Row],[Type]],Type[Trans_Type],Type[Type_Code],"",0)</f>
        <v/>
      </c>
    </row>
    <row r="36" spans="1:10" ht="19.5" customHeight="1">
      <c r="A36" t="str">
        <f t="shared" si="0"/>
        <v/>
      </c>
      <c r="C36" s="17"/>
      <c r="D36" t="str">
        <f>IFERROR(_xlfn.XLOOKUP(C36,Master_Employee[Emp_ID],Master_Employee[Name_AR],"",0),"")</f>
        <v/>
      </c>
      <c r="E36" t="str">
        <f>IFERROR(_xlfn.XLOOKUP(C36,Master_Employee[Emp_ID],Master_Employee[Name_EN],"",0),"")</f>
        <v/>
      </c>
      <c r="F36" t="str">
        <f>IFERROR(_xlfn.XLOOKUP(C36,Master_Employee[Emp_ID],Master_Employee[Department],"",0),"")</f>
        <v/>
      </c>
      <c r="H36" s="69"/>
      <c r="J36" t="str">
        <f>_xlfn.XLOOKUP(tbl_Transactions[[#This Row],[Type]],Type[Trans_Type],Type[Type_Code],"",0)</f>
        <v/>
      </c>
    </row>
    <row r="37" spans="1:10" ht="19.5" customHeight="1">
      <c r="A37" t="str">
        <f t="shared" si="0"/>
        <v/>
      </c>
      <c r="C37" s="17"/>
      <c r="D37" t="str">
        <f>IFERROR(_xlfn.XLOOKUP(C37,Master_Employee[Emp_ID],Master_Employee[Name_AR],"",0),"")</f>
        <v/>
      </c>
      <c r="E37" t="str">
        <f>IFERROR(_xlfn.XLOOKUP(C37,Master_Employee[Emp_ID],Master_Employee[Name_EN],"",0),"")</f>
        <v/>
      </c>
      <c r="F37" t="str">
        <f>IFERROR(_xlfn.XLOOKUP(C37,Master_Employee[Emp_ID],Master_Employee[Department],"",0),"")</f>
        <v/>
      </c>
      <c r="H37" s="69"/>
      <c r="J37" t="str">
        <f>_xlfn.XLOOKUP(tbl_Transactions[[#This Row],[Type]],Type[Trans_Type],Type[Type_Code],"",0)</f>
        <v/>
      </c>
    </row>
    <row r="38" spans="1:10" ht="19.5" customHeight="1">
      <c r="A38" t="str">
        <f t="shared" si="0"/>
        <v/>
      </c>
      <c r="C38" s="17"/>
      <c r="D38" t="str">
        <f>IFERROR(_xlfn.XLOOKUP(C38,Master_Employee[Emp_ID],Master_Employee[Name_AR],"",0),"")</f>
        <v/>
      </c>
      <c r="E38" t="str">
        <f>IFERROR(_xlfn.XLOOKUP(C38,Master_Employee[Emp_ID],Master_Employee[Name_EN],"",0),"")</f>
        <v/>
      </c>
      <c r="F38" t="str">
        <f>IFERROR(_xlfn.XLOOKUP(C38,Master_Employee[Emp_ID],Master_Employee[Department],"",0),"")</f>
        <v/>
      </c>
      <c r="H38" s="69"/>
      <c r="J38" t="str">
        <f>_xlfn.XLOOKUP(tbl_Transactions[[#This Row],[Type]],Type[Trans_Type],Type[Type_Code],"",0)</f>
        <v/>
      </c>
    </row>
    <row r="39" spans="1:10" ht="19.5" customHeight="1">
      <c r="A39" t="str">
        <f t="shared" si="0"/>
        <v/>
      </c>
      <c r="C39" s="17"/>
      <c r="D39" t="str">
        <f>IFERROR(_xlfn.XLOOKUP(C39,Master_Employee[Emp_ID],Master_Employee[Name_AR],"",0),"")</f>
        <v/>
      </c>
      <c r="E39" t="str">
        <f>IFERROR(_xlfn.XLOOKUP(C39,Master_Employee[Emp_ID],Master_Employee[Name_EN],"",0),"")</f>
        <v/>
      </c>
      <c r="F39" t="str">
        <f>IFERROR(_xlfn.XLOOKUP(C39,Master_Employee[Emp_ID],Master_Employee[Department],"",0),"")</f>
        <v/>
      </c>
      <c r="H39" s="69"/>
      <c r="J39" t="str">
        <f>_xlfn.XLOOKUP(tbl_Transactions[[#This Row],[Type]],Type[Trans_Type],Type[Type_Code],"",0)</f>
        <v/>
      </c>
    </row>
    <row r="40" spans="1:10" ht="19.5" customHeight="1">
      <c r="A40" t="str">
        <f t="shared" si="0"/>
        <v/>
      </c>
      <c r="C40" s="17"/>
      <c r="D40" t="str">
        <f>IFERROR(_xlfn.XLOOKUP(C40,Master_Employee[Emp_ID],Master_Employee[Name_AR],"",0),"")</f>
        <v/>
      </c>
      <c r="E40" t="str">
        <f>IFERROR(_xlfn.XLOOKUP(C40,Master_Employee[Emp_ID],Master_Employee[Name_EN],"",0),"")</f>
        <v/>
      </c>
      <c r="F40" t="str">
        <f>IFERROR(_xlfn.XLOOKUP(C40,Master_Employee[Emp_ID],Master_Employee[Department],"",0),"")</f>
        <v/>
      </c>
      <c r="H40" s="69"/>
      <c r="J40" t="str">
        <f>_xlfn.XLOOKUP(tbl_Transactions[[#This Row],[Type]],Type[Trans_Type],Type[Type_Code],"",0)</f>
        <v/>
      </c>
    </row>
    <row r="41" spans="1:10" ht="19.5" customHeight="1">
      <c r="A41" t="str">
        <f t="shared" si="0"/>
        <v/>
      </c>
      <c r="C41" s="17"/>
      <c r="D41" t="str">
        <f>IFERROR(_xlfn.XLOOKUP(C41,Master_Employee[Emp_ID],Master_Employee[Name_AR],"",0),"")</f>
        <v/>
      </c>
      <c r="E41" t="str">
        <f>IFERROR(_xlfn.XLOOKUP(C41,Master_Employee[Emp_ID],Master_Employee[Name_EN],"",0),"")</f>
        <v/>
      </c>
      <c r="F41" t="str">
        <f>IFERROR(_xlfn.XLOOKUP(C41,Master_Employee[Emp_ID],Master_Employee[Department],"",0),"")</f>
        <v/>
      </c>
      <c r="H41" s="69"/>
      <c r="J41" t="str">
        <f>_xlfn.XLOOKUP(tbl_Transactions[[#This Row],[Type]],Type[Trans_Type],Type[Type_Code],"",0)</f>
        <v/>
      </c>
    </row>
    <row r="42" spans="1:10" ht="19.5" customHeight="1">
      <c r="A42" t="str">
        <f t="shared" si="0"/>
        <v/>
      </c>
      <c r="C42" s="17"/>
      <c r="D42" t="str">
        <f>IFERROR(_xlfn.XLOOKUP(C42,Master_Employee[Emp_ID],Master_Employee[Name_AR],"",0),"")</f>
        <v/>
      </c>
      <c r="E42" t="str">
        <f>IFERROR(_xlfn.XLOOKUP(C42,Master_Employee[Emp_ID],Master_Employee[Name_EN],"",0),"")</f>
        <v/>
      </c>
      <c r="F42" t="str">
        <f>IFERROR(_xlfn.XLOOKUP(C42,Master_Employee[Emp_ID],Master_Employee[Department],"",0),"")</f>
        <v/>
      </c>
      <c r="H42" s="69"/>
      <c r="J42" t="str">
        <f>_xlfn.XLOOKUP(tbl_Transactions[[#This Row],[Type]],Type[Trans_Type],Type[Type_Code],"",0)</f>
        <v/>
      </c>
    </row>
    <row r="43" spans="1:10" ht="19.5" customHeight="1">
      <c r="A43" t="str">
        <f t="shared" si="0"/>
        <v/>
      </c>
      <c r="C43" s="17"/>
      <c r="D43" t="str">
        <f>IFERROR(_xlfn.XLOOKUP(C43,Master_Employee[Emp_ID],Master_Employee[Name_AR],"",0),"")</f>
        <v/>
      </c>
      <c r="E43" t="str">
        <f>IFERROR(_xlfn.XLOOKUP(C43,Master_Employee[Emp_ID],Master_Employee[Name_EN],"",0),"")</f>
        <v/>
      </c>
      <c r="F43" t="str">
        <f>IFERROR(_xlfn.XLOOKUP(C43,Master_Employee[Emp_ID],Master_Employee[Department],"",0),"")</f>
        <v/>
      </c>
      <c r="H43" s="69"/>
      <c r="J43" t="str">
        <f>_xlfn.XLOOKUP(tbl_Transactions[[#This Row],[Type]],Type[Trans_Type],Type[Type_Code],"",0)</f>
        <v/>
      </c>
    </row>
    <row r="44" spans="1:10" ht="19.5" customHeight="1">
      <c r="A44" t="str">
        <f t="shared" si="0"/>
        <v/>
      </c>
      <c r="C44" s="17"/>
      <c r="D44" t="str">
        <f>IFERROR(_xlfn.XLOOKUP(C44,Master_Employee[Emp_ID],Master_Employee[Name_AR],"",0),"")</f>
        <v/>
      </c>
      <c r="E44" t="str">
        <f>IFERROR(_xlfn.XLOOKUP(C44,Master_Employee[Emp_ID],Master_Employee[Name_EN],"",0),"")</f>
        <v/>
      </c>
      <c r="F44" t="str">
        <f>IFERROR(_xlfn.XLOOKUP(C44,Master_Employee[Emp_ID],Master_Employee[Department],"",0),"")</f>
        <v/>
      </c>
      <c r="H44" s="69"/>
      <c r="J44" t="str">
        <f>_xlfn.XLOOKUP(tbl_Transactions[[#This Row],[Type]],Type[Trans_Type],Type[Type_Code],"",0)</f>
        <v/>
      </c>
    </row>
    <row r="45" spans="1:10" ht="19.5" customHeight="1">
      <c r="A45" t="str">
        <f t="shared" si="0"/>
        <v/>
      </c>
      <c r="C45" s="17"/>
      <c r="D45" t="str">
        <f>IFERROR(_xlfn.XLOOKUP(C45,Master_Employee[Emp_ID],Master_Employee[Name_AR],"",0),"")</f>
        <v/>
      </c>
      <c r="E45" t="str">
        <f>IFERROR(_xlfn.XLOOKUP(C45,Master_Employee[Emp_ID],Master_Employee[Name_EN],"",0),"")</f>
        <v/>
      </c>
      <c r="F45" t="str">
        <f>IFERROR(_xlfn.XLOOKUP(C45,Master_Employee[Emp_ID],Master_Employee[Department],"",0),"")</f>
        <v/>
      </c>
      <c r="H45" s="69"/>
      <c r="J45" t="str">
        <f>_xlfn.XLOOKUP(tbl_Transactions[[#This Row],[Type]],Type[Trans_Type],Type[Type_Code],"",0)</f>
        <v/>
      </c>
    </row>
    <row r="46" spans="1:10" ht="19.5" customHeight="1">
      <c r="A46" t="str">
        <f t="shared" si="0"/>
        <v/>
      </c>
      <c r="C46" s="17"/>
      <c r="D46" t="str">
        <f>IFERROR(_xlfn.XLOOKUP(C46,Master_Employee[Emp_ID],Master_Employee[Name_AR],"",0),"")</f>
        <v/>
      </c>
      <c r="E46" t="str">
        <f>IFERROR(_xlfn.XLOOKUP(C46,Master_Employee[Emp_ID],Master_Employee[Name_EN],"",0),"")</f>
        <v/>
      </c>
      <c r="F46" t="str">
        <f>IFERROR(_xlfn.XLOOKUP(C46,Master_Employee[Emp_ID],Master_Employee[Department],"",0),"")</f>
        <v/>
      </c>
      <c r="H46" s="69"/>
      <c r="J46" t="str">
        <f>_xlfn.XLOOKUP(tbl_Transactions[[#This Row],[Type]],Type[Trans_Type],Type[Type_Code],"",0)</f>
        <v/>
      </c>
    </row>
    <row r="47" spans="1:10" ht="19.5" customHeight="1">
      <c r="A47" t="str">
        <f t="shared" si="0"/>
        <v/>
      </c>
      <c r="C47" s="17"/>
      <c r="D47" t="str">
        <f>IFERROR(_xlfn.XLOOKUP(C47,Master_Employee[Emp_ID],Master_Employee[Name_AR],"",0),"")</f>
        <v/>
      </c>
      <c r="E47" t="str">
        <f>IFERROR(_xlfn.XLOOKUP(C47,Master_Employee[Emp_ID],Master_Employee[Name_EN],"",0),"")</f>
        <v/>
      </c>
      <c r="F47" t="str">
        <f>IFERROR(_xlfn.XLOOKUP(C47,Master_Employee[Emp_ID],Master_Employee[Department],"",0),"")</f>
        <v/>
      </c>
      <c r="H47" s="69"/>
      <c r="J47" t="str">
        <f>_xlfn.XLOOKUP(tbl_Transactions[[#This Row],[Type]],Type[Trans_Type],Type[Type_Code],"",0)</f>
        <v/>
      </c>
    </row>
    <row r="48" spans="1:10" ht="19.5" customHeight="1">
      <c r="A48" t="str">
        <f t="shared" si="0"/>
        <v/>
      </c>
      <c r="C48" s="17"/>
      <c r="D48" t="str">
        <f>IFERROR(_xlfn.XLOOKUP(C48,Master_Employee[Emp_ID],Master_Employee[Name_AR],"",0),"")</f>
        <v/>
      </c>
      <c r="E48" t="str">
        <f>IFERROR(_xlfn.XLOOKUP(C48,Master_Employee[Emp_ID],Master_Employee[Name_EN],"",0),"")</f>
        <v/>
      </c>
      <c r="F48" t="str">
        <f>IFERROR(_xlfn.XLOOKUP(C48,Master_Employee[Emp_ID],Master_Employee[Department],"",0),"")</f>
        <v/>
      </c>
      <c r="H48" s="69"/>
      <c r="J48" t="str">
        <f>_xlfn.XLOOKUP(tbl_Transactions[[#This Row],[Type]],Type[Trans_Type],Type[Type_Code],"",0)</f>
        <v/>
      </c>
    </row>
    <row r="49" spans="1:10" ht="19.5" customHeight="1">
      <c r="A49" t="str">
        <f t="shared" si="0"/>
        <v/>
      </c>
      <c r="C49" s="17"/>
      <c r="D49" t="str">
        <f>IFERROR(_xlfn.XLOOKUP(C49,Master_Employee[Emp_ID],Master_Employee[Name_AR],"",0),"")</f>
        <v/>
      </c>
      <c r="E49" t="str">
        <f>IFERROR(_xlfn.XLOOKUP(C49,Master_Employee[Emp_ID],Master_Employee[Name_EN],"",0),"")</f>
        <v/>
      </c>
      <c r="F49" t="str">
        <f>IFERROR(_xlfn.XLOOKUP(C49,Master_Employee[Emp_ID],Master_Employee[Department],"",0),"")</f>
        <v/>
      </c>
      <c r="H49" s="69"/>
      <c r="J49" t="str">
        <f>_xlfn.XLOOKUP(tbl_Transactions[[#This Row],[Type]],Type[Trans_Type],Type[Type_Code],"",0)</f>
        <v/>
      </c>
    </row>
    <row r="50" spans="1:10" ht="19.5" customHeight="1">
      <c r="A50" t="str">
        <f t="shared" si="0"/>
        <v/>
      </c>
      <c r="C50" s="17"/>
      <c r="D50" t="str">
        <f>IFERROR(_xlfn.XLOOKUP(C50,Master_Employee[Emp_ID],Master_Employee[Name_AR],"",0),"")</f>
        <v/>
      </c>
      <c r="E50" t="str">
        <f>IFERROR(_xlfn.XLOOKUP(C50,Master_Employee[Emp_ID],Master_Employee[Name_EN],"",0),"")</f>
        <v/>
      </c>
      <c r="F50" t="str">
        <f>IFERROR(_xlfn.XLOOKUP(C50,Master_Employee[Emp_ID],Master_Employee[Department],"",0),"")</f>
        <v/>
      </c>
      <c r="H50" s="69"/>
      <c r="J50" t="str">
        <f>_xlfn.XLOOKUP(tbl_Transactions[[#This Row],[Type]],Type[Trans_Type],Type[Type_Code],"",0)</f>
        <v/>
      </c>
    </row>
    <row r="51" spans="1:10" ht="19.5" customHeight="1">
      <c r="A51" t="str">
        <f t="shared" si="0"/>
        <v/>
      </c>
      <c r="C51" s="17"/>
      <c r="D51" t="str">
        <f>IFERROR(_xlfn.XLOOKUP(C51,Master_Employee[Emp_ID],Master_Employee[Name_AR],"",0),"")</f>
        <v/>
      </c>
      <c r="E51" t="str">
        <f>IFERROR(_xlfn.XLOOKUP(C51,Master_Employee[Emp_ID],Master_Employee[Name_EN],"",0),"")</f>
        <v/>
      </c>
      <c r="F51" t="str">
        <f>IFERROR(_xlfn.XLOOKUP(C51,Master_Employee[Emp_ID],Master_Employee[Department],"",0),"")</f>
        <v/>
      </c>
      <c r="H51" s="69"/>
      <c r="J51" t="str">
        <f>_xlfn.XLOOKUP(tbl_Transactions[[#This Row],[Type]],Type[Trans_Type],Type[Type_Code],"",0)</f>
        <v/>
      </c>
    </row>
    <row r="52" spans="1:10" ht="19.5" customHeight="1">
      <c r="A52" t="str">
        <f t="shared" si="0"/>
        <v/>
      </c>
      <c r="C52" s="17"/>
      <c r="D52" t="str">
        <f>IFERROR(_xlfn.XLOOKUP(C52,Master_Employee[Emp_ID],Master_Employee[Name_AR],"",0),"")</f>
        <v/>
      </c>
      <c r="E52" t="str">
        <f>IFERROR(_xlfn.XLOOKUP(C52,Master_Employee[Emp_ID],Master_Employee[Name_EN],"",0),"")</f>
        <v/>
      </c>
      <c r="F52" t="str">
        <f>IFERROR(_xlfn.XLOOKUP(C52,Master_Employee[Emp_ID],Master_Employee[Department],"",0),"")</f>
        <v/>
      </c>
      <c r="H52" s="69"/>
      <c r="J52" t="str">
        <f>_xlfn.XLOOKUP(tbl_Transactions[[#This Row],[Type]],Type[Trans_Type],Type[Type_Code],"",0)</f>
        <v/>
      </c>
    </row>
    <row r="53" spans="1:10" ht="19.5" customHeight="1">
      <c r="A53" t="str">
        <f t="shared" si="0"/>
        <v/>
      </c>
      <c r="C53" s="17"/>
      <c r="D53" t="str">
        <f>IFERROR(_xlfn.XLOOKUP(C53,Master_Employee[Emp_ID],Master_Employee[Name_AR],"",0),"")</f>
        <v/>
      </c>
      <c r="E53" t="str">
        <f>IFERROR(_xlfn.XLOOKUP(C53,Master_Employee[Emp_ID],Master_Employee[Name_EN],"",0),"")</f>
        <v/>
      </c>
      <c r="F53" t="str">
        <f>IFERROR(_xlfn.XLOOKUP(C53,Master_Employee[Emp_ID],Master_Employee[Department],"",0),"")</f>
        <v/>
      </c>
      <c r="H53" s="69"/>
      <c r="J53" t="str">
        <f>_xlfn.XLOOKUP(tbl_Transactions[[#This Row],[Type]],Type[Trans_Type],Type[Type_Code],"",0)</f>
        <v/>
      </c>
    </row>
    <row r="54" spans="1:10" ht="19.5" customHeight="1">
      <c r="A54" t="str">
        <f t="shared" si="0"/>
        <v/>
      </c>
      <c r="C54" s="17"/>
      <c r="D54" t="str">
        <f>IFERROR(_xlfn.XLOOKUP(C54,Master_Employee[Emp_ID],Master_Employee[Name_AR],"",0),"")</f>
        <v/>
      </c>
      <c r="E54" t="str">
        <f>IFERROR(_xlfn.XLOOKUP(C54,Master_Employee[Emp_ID],Master_Employee[Name_EN],"",0),"")</f>
        <v/>
      </c>
      <c r="F54" t="str">
        <f>IFERROR(_xlfn.XLOOKUP(C54,Master_Employee[Emp_ID],Master_Employee[Department],"",0),"")</f>
        <v/>
      </c>
      <c r="H54" s="69"/>
      <c r="J54" t="str">
        <f>_xlfn.XLOOKUP(tbl_Transactions[[#This Row],[Type]],Type[Trans_Type],Type[Type_Code],"",0)</f>
        <v/>
      </c>
    </row>
    <row r="55" spans="1:10" ht="19.5" customHeight="1">
      <c r="A55" t="str">
        <f t="shared" si="0"/>
        <v/>
      </c>
      <c r="C55" s="17"/>
      <c r="D55" t="str">
        <f>IFERROR(_xlfn.XLOOKUP(C55,Master_Employee[Emp_ID],Master_Employee[Name_AR],"",0),"")</f>
        <v/>
      </c>
      <c r="E55" t="str">
        <f>IFERROR(_xlfn.XLOOKUP(C55,Master_Employee[Emp_ID],Master_Employee[Name_EN],"",0),"")</f>
        <v/>
      </c>
      <c r="F55" t="str">
        <f>IFERROR(_xlfn.XLOOKUP(C55,Master_Employee[Emp_ID],Master_Employee[Department],"",0),"")</f>
        <v/>
      </c>
      <c r="H55" s="69"/>
      <c r="J55" t="str">
        <f>_xlfn.XLOOKUP(tbl_Transactions[[#This Row],[Type]],Type[Trans_Type],Type[Type_Code],"",0)</f>
        <v/>
      </c>
    </row>
    <row r="56" spans="1:10" ht="19.5" customHeight="1">
      <c r="A56" t="str">
        <f t="shared" si="0"/>
        <v/>
      </c>
      <c r="C56" s="17"/>
      <c r="D56" t="str">
        <f>IFERROR(_xlfn.XLOOKUP(C56,Master_Employee[Emp_ID],Master_Employee[Name_AR],"",0),"")</f>
        <v/>
      </c>
      <c r="E56" t="str">
        <f>IFERROR(_xlfn.XLOOKUP(C56,Master_Employee[Emp_ID],Master_Employee[Name_EN],"",0),"")</f>
        <v/>
      </c>
      <c r="F56" t="str">
        <f>IFERROR(_xlfn.XLOOKUP(C56,Master_Employee[Emp_ID],Master_Employee[Department],"",0),"")</f>
        <v/>
      </c>
      <c r="H56" s="69"/>
      <c r="J56" t="str">
        <f>_xlfn.XLOOKUP(tbl_Transactions[[#This Row],[Type]],Type[Trans_Type],Type[Type_Code],"",0)</f>
        <v/>
      </c>
    </row>
    <row r="57" spans="1:10" ht="19.5" customHeight="1">
      <c r="A57" t="str">
        <f t="shared" si="0"/>
        <v/>
      </c>
      <c r="C57" s="17"/>
      <c r="D57" t="str">
        <f>IFERROR(_xlfn.XLOOKUP(C57,Master_Employee[Emp_ID],Master_Employee[Name_AR],"",0),"")</f>
        <v/>
      </c>
      <c r="E57" t="str">
        <f>IFERROR(_xlfn.XLOOKUP(C57,Master_Employee[Emp_ID],Master_Employee[Name_EN],"",0),"")</f>
        <v/>
      </c>
      <c r="F57" t="str">
        <f>IFERROR(_xlfn.XLOOKUP(C57,Master_Employee[Emp_ID],Master_Employee[Department],"",0),"")</f>
        <v/>
      </c>
      <c r="H57" s="69"/>
      <c r="J57" t="str">
        <f>_xlfn.XLOOKUP(tbl_Transactions[[#This Row],[Type]],Type[Trans_Type],Type[Type_Code],"",0)</f>
        <v/>
      </c>
    </row>
    <row r="58" spans="1:10" ht="19.5" customHeight="1">
      <c r="A58" t="str">
        <f t="shared" si="0"/>
        <v/>
      </c>
      <c r="C58" s="17"/>
      <c r="D58" t="str">
        <f>IFERROR(_xlfn.XLOOKUP(C58,Master_Employee[Emp_ID],Master_Employee[Name_AR],"",0),"")</f>
        <v/>
      </c>
      <c r="E58" t="str">
        <f>IFERROR(_xlfn.XLOOKUP(C58,Master_Employee[Emp_ID],Master_Employee[Name_EN],"",0),"")</f>
        <v/>
      </c>
      <c r="F58" t="str">
        <f>IFERROR(_xlfn.XLOOKUP(C58,Master_Employee[Emp_ID],Master_Employee[Department],"",0),"")</f>
        <v/>
      </c>
      <c r="H58" s="69"/>
      <c r="J58" t="str">
        <f>_xlfn.XLOOKUP(tbl_Transactions[[#This Row],[Type]],Type[Trans_Type],Type[Type_Code],"",0)</f>
        <v/>
      </c>
    </row>
    <row r="59" spans="1:10" ht="19.5" customHeight="1">
      <c r="A59" t="str">
        <f t="shared" si="0"/>
        <v/>
      </c>
      <c r="C59" s="17"/>
      <c r="D59" t="str">
        <f>IFERROR(_xlfn.XLOOKUP(C59,Master_Employee[Emp_ID],Master_Employee[Name_AR],"",0),"")</f>
        <v/>
      </c>
      <c r="E59" t="str">
        <f>IFERROR(_xlfn.XLOOKUP(C59,Master_Employee[Emp_ID],Master_Employee[Name_EN],"",0),"")</f>
        <v/>
      </c>
      <c r="F59" t="str">
        <f>IFERROR(_xlfn.XLOOKUP(C59,Master_Employee[Emp_ID],Master_Employee[Department],"",0),"")</f>
        <v/>
      </c>
      <c r="H59" s="69"/>
      <c r="J59" t="str">
        <f>_xlfn.XLOOKUP(tbl_Transactions[[#This Row],[Type]],Type[Trans_Type],Type[Type_Code],"",0)</f>
        <v/>
      </c>
    </row>
    <row r="60" spans="1:10" ht="19.5" customHeight="1">
      <c r="A60" t="str">
        <f t="shared" si="0"/>
        <v/>
      </c>
      <c r="C60" s="17"/>
      <c r="D60" t="str">
        <f>IFERROR(_xlfn.XLOOKUP(C60,Master_Employee[Emp_ID],Master_Employee[Name_AR],"",0),"")</f>
        <v/>
      </c>
      <c r="E60" t="str">
        <f>IFERROR(_xlfn.XLOOKUP(C60,Master_Employee[Emp_ID],Master_Employee[Name_EN],"",0),"")</f>
        <v/>
      </c>
      <c r="F60" t="str">
        <f>IFERROR(_xlfn.XLOOKUP(C60,Master_Employee[Emp_ID],Master_Employee[Department],"",0),"")</f>
        <v/>
      </c>
      <c r="H60" s="69"/>
      <c r="J60" t="str">
        <f>_xlfn.XLOOKUP(tbl_Transactions[[#This Row],[Type]],Type[Trans_Type],Type[Type_Code],"",0)</f>
        <v/>
      </c>
    </row>
    <row r="61" spans="1:10" ht="19.5" customHeight="1">
      <c r="A61" t="str">
        <f t="shared" si="0"/>
        <v/>
      </c>
      <c r="C61" s="17"/>
      <c r="D61" t="str">
        <f>IFERROR(_xlfn.XLOOKUP(C61,Master_Employee[Emp_ID],Master_Employee[Name_AR],"",0),"")</f>
        <v/>
      </c>
      <c r="E61" t="str">
        <f>IFERROR(_xlfn.XLOOKUP(C61,Master_Employee[Emp_ID],Master_Employee[Name_EN],"",0),"")</f>
        <v/>
      </c>
      <c r="F61" t="str">
        <f>IFERROR(_xlfn.XLOOKUP(C61,Master_Employee[Emp_ID],Master_Employee[Department],"",0),"")</f>
        <v/>
      </c>
      <c r="H61" s="69"/>
      <c r="J61" t="str">
        <f>_xlfn.XLOOKUP(tbl_Transactions[[#This Row],[Type]],Type[Trans_Type],Type[Type_Code],"",0)</f>
        <v/>
      </c>
    </row>
    <row r="62" spans="1:10" ht="19.5" customHeight="1">
      <c r="A62" t="str">
        <f t="shared" si="0"/>
        <v/>
      </c>
      <c r="C62" s="17"/>
      <c r="D62" t="str">
        <f>IFERROR(_xlfn.XLOOKUP(C62,Master_Employee[Emp_ID],Master_Employee[Name_AR],"",0),"")</f>
        <v/>
      </c>
      <c r="E62" t="str">
        <f>IFERROR(_xlfn.XLOOKUP(C62,Master_Employee[Emp_ID],Master_Employee[Name_EN],"",0),"")</f>
        <v/>
      </c>
      <c r="F62" t="str">
        <f>IFERROR(_xlfn.XLOOKUP(C62,Master_Employee[Emp_ID],Master_Employee[Department],"",0),"")</f>
        <v/>
      </c>
      <c r="H62" s="69"/>
      <c r="J62" t="str">
        <f>_xlfn.XLOOKUP(tbl_Transactions[[#This Row],[Type]],Type[Trans_Type],Type[Type_Code],"",0)</f>
        <v/>
      </c>
    </row>
    <row r="63" spans="1:10" ht="19.5" customHeight="1">
      <c r="A63" t="str">
        <f t="shared" si="0"/>
        <v/>
      </c>
      <c r="C63" s="17"/>
      <c r="D63" t="str">
        <f>IFERROR(_xlfn.XLOOKUP(C63,Master_Employee[Emp_ID],Master_Employee[Name_AR],"",0),"")</f>
        <v/>
      </c>
      <c r="E63" t="str">
        <f>IFERROR(_xlfn.XLOOKUP(C63,Master_Employee[Emp_ID],Master_Employee[Name_EN],"",0),"")</f>
        <v/>
      </c>
      <c r="F63" t="str">
        <f>IFERROR(_xlfn.XLOOKUP(C63,Master_Employee[Emp_ID],Master_Employee[Department],"",0),"")</f>
        <v/>
      </c>
      <c r="H63" s="69"/>
      <c r="J63" t="str">
        <f>_xlfn.XLOOKUP(tbl_Transactions[[#This Row],[Type]],Type[Trans_Type],Type[Type_Code],"",0)</f>
        <v/>
      </c>
    </row>
    <row r="64" spans="1:10" ht="19.5" customHeight="1">
      <c r="A64" t="str">
        <f t="shared" si="0"/>
        <v/>
      </c>
      <c r="C64" s="17"/>
      <c r="D64" t="str">
        <f>IFERROR(_xlfn.XLOOKUP(C64,Master_Employee[Emp_ID],Master_Employee[Name_AR],"",0),"")</f>
        <v/>
      </c>
      <c r="E64" t="str">
        <f>IFERROR(_xlfn.XLOOKUP(C64,Master_Employee[Emp_ID],Master_Employee[Name_EN],"",0),"")</f>
        <v/>
      </c>
      <c r="F64" t="str">
        <f>IFERROR(_xlfn.XLOOKUP(C64,Master_Employee[Emp_ID],Master_Employee[Department],"",0),"")</f>
        <v/>
      </c>
      <c r="H64" s="69"/>
      <c r="J64" t="str">
        <f>_xlfn.XLOOKUP(tbl_Transactions[[#This Row],[Type]],Type[Trans_Type],Type[Type_Code],"",0)</f>
        <v/>
      </c>
    </row>
    <row r="65" spans="1:10" ht="19.5" customHeight="1">
      <c r="A65" t="str">
        <f t="shared" si="0"/>
        <v/>
      </c>
      <c r="C65" s="17"/>
      <c r="D65" t="str">
        <f>IFERROR(_xlfn.XLOOKUP(C65,Master_Employee[Emp_ID],Master_Employee[Name_AR],"",0),"")</f>
        <v/>
      </c>
      <c r="E65" t="str">
        <f>IFERROR(_xlfn.XLOOKUP(C65,Master_Employee[Emp_ID],Master_Employee[Name_EN],"",0),"")</f>
        <v/>
      </c>
      <c r="F65" t="str">
        <f>IFERROR(_xlfn.XLOOKUP(C65,Master_Employee[Emp_ID],Master_Employee[Department],"",0),"")</f>
        <v/>
      </c>
      <c r="H65" s="69"/>
      <c r="J65" t="str">
        <f>_xlfn.XLOOKUP(tbl_Transactions[[#This Row],[Type]],Type[Trans_Type],Type[Type_Code],"",0)</f>
        <v/>
      </c>
    </row>
    <row r="66" spans="1:10" ht="19.5" customHeight="1">
      <c r="A66" t="str">
        <f t="shared" si="0"/>
        <v/>
      </c>
      <c r="C66" s="17"/>
      <c r="D66" t="str">
        <f>IFERROR(_xlfn.XLOOKUP(C66,Master_Employee[Emp_ID],Master_Employee[Name_AR],"",0),"")</f>
        <v/>
      </c>
      <c r="E66" t="str">
        <f>IFERROR(_xlfn.XLOOKUP(C66,Master_Employee[Emp_ID],Master_Employee[Name_EN],"",0),"")</f>
        <v/>
      </c>
      <c r="F66" t="str">
        <f>IFERROR(_xlfn.XLOOKUP(C66,Master_Employee[Emp_ID],Master_Employee[Department],"",0),"")</f>
        <v/>
      </c>
      <c r="H66" s="69"/>
      <c r="J66" t="str">
        <f>_xlfn.XLOOKUP(tbl_Transactions[[#This Row],[Type]],Type[Trans_Type],Type[Type_Code],"",0)</f>
        <v/>
      </c>
    </row>
    <row r="67" spans="1:10" ht="19.5" customHeight="1">
      <c r="A67" t="str">
        <f t="shared" si="0"/>
        <v/>
      </c>
      <c r="C67" s="17"/>
      <c r="D67" t="str">
        <f>IFERROR(_xlfn.XLOOKUP(C67,Master_Employee[Emp_ID],Master_Employee[Name_AR],"",0),"")</f>
        <v/>
      </c>
      <c r="E67" t="str">
        <f>IFERROR(_xlfn.XLOOKUP(C67,Master_Employee[Emp_ID],Master_Employee[Name_EN],"",0),"")</f>
        <v/>
      </c>
      <c r="F67" t="str">
        <f>IFERROR(_xlfn.XLOOKUP(C67,Master_Employee[Emp_ID],Master_Employee[Department],"",0),"")</f>
        <v/>
      </c>
      <c r="H67" s="69"/>
      <c r="J67" t="str">
        <f>_xlfn.XLOOKUP(tbl_Transactions[[#This Row],[Type]],Type[Trans_Type],Type[Type_Code],"",0)</f>
        <v/>
      </c>
    </row>
    <row r="68" spans="1:10" ht="19.5" customHeight="1">
      <c r="A68" t="str">
        <f t="shared" si="0"/>
        <v/>
      </c>
      <c r="C68" s="17"/>
      <c r="D68" t="str">
        <f>IFERROR(_xlfn.XLOOKUP(C68,Master_Employee[Emp_ID],Master_Employee[Name_AR],"",0),"")</f>
        <v/>
      </c>
      <c r="E68" t="str">
        <f>IFERROR(_xlfn.XLOOKUP(C68,Master_Employee[Emp_ID],Master_Employee[Name_EN],"",0),"")</f>
        <v/>
      </c>
      <c r="F68" t="str">
        <f>IFERROR(_xlfn.XLOOKUP(C68,Master_Employee[Emp_ID],Master_Employee[Department],"",0),"")</f>
        <v/>
      </c>
      <c r="H68" s="69"/>
      <c r="J68" t="str">
        <f>_xlfn.XLOOKUP(tbl_Transactions[[#This Row],[Type]],Type[Trans_Type],Type[Type_Code],"",0)</f>
        <v/>
      </c>
    </row>
    <row r="69" spans="1:10" ht="19.5" customHeight="1">
      <c r="A69" t="str">
        <f t="shared" si="0"/>
        <v/>
      </c>
      <c r="C69" s="17"/>
      <c r="D69" t="str">
        <f>IFERROR(_xlfn.XLOOKUP(C69,Master_Employee[Emp_ID],Master_Employee[Name_AR],"",0),"")</f>
        <v/>
      </c>
      <c r="E69" t="str">
        <f>IFERROR(_xlfn.XLOOKUP(C69,Master_Employee[Emp_ID],Master_Employee[Name_EN],"",0),"")</f>
        <v/>
      </c>
      <c r="F69" t="str">
        <f>IFERROR(_xlfn.XLOOKUP(C69,Master_Employee[Emp_ID],Master_Employee[Department],"",0),"")</f>
        <v/>
      </c>
      <c r="H69" s="69"/>
      <c r="J69" t="str">
        <f>_xlfn.XLOOKUP(tbl_Transactions[[#This Row],[Type]],Type[Trans_Type],Type[Type_Code],"",0)</f>
        <v/>
      </c>
    </row>
    <row r="70" spans="1:10" ht="19.5" customHeight="1">
      <c r="A70" t="str">
        <f t="shared" si="0"/>
        <v/>
      </c>
      <c r="C70" s="17"/>
      <c r="D70" t="str">
        <f>IFERROR(_xlfn.XLOOKUP(C70,Master_Employee[Emp_ID],Master_Employee[Name_AR],"",0),"")</f>
        <v/>
      </c>
      <c r="E70" t="str">
        <f>IFERROR(_xlfn.XLOOKUP(C70,Master_Employee[Emp_ID],Master_Employee[Name_EN],"",0),"")</f>
        <v/>
      </c>
      <c r="F70" t="str">
        <f>IFERROR(_xlfn.XLOOKUP(C70,Master_Employee[Emp_ID],Master_Employee[Department],"",0),"")</f>
        <v/>
      </c>
      <c r="H70" s="69"/>
      <c r="J70" t="str">
        <f>_xlfn.XLOOKUP(tbl_Transactions[[#This Row],[Type]],Type[Trans_Type],Type[Type_Code],"",0)</f>
        <v/>
      </c>
    </row>
    <row r="71" spans="1:10" ht="19.5" customHeight="1">
      <c r="A71" t="str">
        <f t="shared" ref="A71:A134" si="1">IFERROR(IF(C71="","",ROW()-2),"")</f>
        <v/>
      </c>
      <c r="C71" s="17"/>
      <c r="D71" t="str">
        <f>IFERROR(_xlfn.XLOOKUP(C71,Master_Employee[Emp_ID],Master_Employee[Name_AR],"",0),"")</f>
        <v/>
      </c>
      <c r="E71" t="str">
        <f>IFERROR(_xlfn.XLOOKUP(C71,Master_Employee[Emp_ID],Master_Employee[Name_EN],"",0),"")</f>
        <v/>
      </c>
      <c r="F71" t="str">
        <f>IFERROR(_xlfn.XLOOKUP(C71,Master_Employee[Emp_ID],Master_Employee[Department],"",0),"")</f>
        <v/>
      </c>
      <c r="H71" s="69"/>
      <c r="J71" t="str">
        <f>_xlfn.XLOOKUP(tbl_Transactions[[#This Row],[Type]],Type[Trans_Type],Type[Type_Code],"",0)</f>
        <v/>
      </c>
    </row>
    <row r="72" spans="1:10" ht="19.5" customHeight="1">
      <c r="A72" t="str">
        <f t="shared" si="1"/>
        <v/>
      </c>
      <c r="C72" s="17"/>
      <c r="D72" t="str">
        <f>IFERROR(_xlfn.XLOOKUP(C72,Master_Employee[Emp_ID],Master_Employee[Name_AR],"",0),"")</f>
        <v/>
      </c>
      <c r="E72" t="str">
        <f>IFERROR(_xlfn.XLOOKUP(C72,Master_Employee[Emp_ID],Master_Employee[Name_EN],"",0),"")</f>
        <v/>
      </c>
      <c r="F72" t="str">
        <f>IFERROR(_xlfn.XLOOKUP(C72,Master_Employee[Emp_ID],Master_Employee[Department],"",0),"")</f>
        <v/>
      </c>
      <c r="H72" s="69"/>
      <c r="J72" t="str">
        <f>_xlfn.XLOOKUP(tbl_Transactions[[#This Row],[Type]],Type[Trans_Type],Type[Type_Code],"",0)</f>
        <v/>
      </c>
    </row>
    <row r="73" spans="1:10" ht="19.5" customHeight="1">
      <c r="A73" t="str">
        <f t="shared" si="1"/>
        <v/>
      </c>
      <c r="C73" s="17"/>
      <c r="D73" t="str">
        <f>IFERROR(_xlfn.XLOOKUP(C73,Master_Employee[Emp_ID],Master_Employee[Name_AR],"",0),"")</f>
        <v/>
      </c>
      <c r="E73" t="str">
        <f>IFERROR(_xlfn.XLOOKUP(C73,Master_Employee[Emp_ID],Master_Employee[Name_EN],"",0),"")</f>
        <v/>
      </c>
      <c r="F73" t="str">
        <f>IFERROR(_xlfn.XLOOKUP(C73,Master_Employee[Emp_ID],Master_Employee[Department],"",0),"")</f>
        <v/>
      </c>
      <c r="H73" s="69"/>
      <c r="J73" t="str">
        <f>_xlfn.XLOOKUP(tbl_Transactions[[#This Row],[Type]],Type[Trans_Type],Type[Type_Code],"",0)</f>
        <v/>
      </c>
    </row>
    <row r="74" spans="1:10" ht="19.5" customHeight="1">
      <c r="A74" t="str">
        <f t="shared" si="1"/>
        <v/>
      </c>
      <c r="C74" s="17"/>
      <c r="D74" t="str">
        <f>IFERROR(_xlfn.XLOOKUP(C74,Master_Employee[Emp_ID],Master_Employee[Name_AR],"",0),"")</f>
        <v/>
      </c>
      <c r="E74" t="str">
        <f>IFERROR(_xlfn.XLOOKUP(C74,Master_Employee[Emp_ID],Master_Employee[Name_EN],"",0),"")</f>
        <v/>
      </c>
      <c r="F74" t="str">
        <f>IFERROR(_xlfn.XLOOKUP(C74,Master_Employee[Emp_ID],Master_Employee[Department],"",0),"")</f>
        <v/>
      </c>
      <c r="H74" s="69"/>
      <c r="J74" t="str">
        <f>_xlfn.XLOOKUP(tbl_Transactions[[#This Row],[Type]],Type[Trans_Type],Type[Type_Code],"",0)</f>
        <v/>
      </c>
    </row>
    <row r="75" spans="1:10" ht="19.5" customHeight="1">
      <c r="A75" t="str">
        <f t="shared" si="1"/>
        <v/>
      </c>
      <c r="C75" s="17"/>
      <c r="D75" t="str">
        <f>IFERROR(_xlfn.XLOOKUP(C75,Master_Employee[Emp_ID],Master_Employee[Name_AR],"",0),"")</f>
        <v/>
      </c>
      <c r="E75" t="str">
        <f>IFERROR(_xlfn.XLOOKUP(C75,Master_Employee[Emp_ID],Master_Employee[Name_EN],"",0),"")</f>
        <v/>
      </c>
      <c r="F75" t="str">
        <f>IFERROR(_xlfn.XLOOKUP(C75,Master_Employee[Emp_ID],Master_Employee[Department],"",0),"")</f>
        <v/>
      </c>
      <c r="H75" s="69"/>
      <c r="J75" t="str">
        <f>_xlfn.XLOOKUP(tbl_Transactions[[#This Row],[Type]],Type[Trans_Type],Type[Type_Code],"",0)</f>
        <v/>
      </c>
    </row>
    <row r="76" spans="1:10" ht="19.5" customHeight="1">
      <c r="A76" t="str">
        <f t="shared" si="1"/>
        <v/>
      </c>
      <c r="C76" s="17"/>
      <c r="D76" t="str">
        <f>IFERROR(_xlfn.XLOOKUP(C76,Master_Employee[Emp_ID],Master_Employee[Name_AR],"",0),"")</f>
        <v/>
      </c>
      <c r="E76" t="str">
        <f>IFERROR(_xlfn.XLOOKUP(C76,Master_Employee[Emp_ID],Master_Employee[Name_EN],"",0),"")</f>
        <v/>
      </c>
      <c r="F76" t="str">
        <f>IFERROR(_xlfn.XLOOKUP(C76,Master_Employee[Emp_ID],Master_Employee[Department],"",0),"")</f>
        <v/>
      </c>
      <c r="H76" s="69"/>
      <c r="J76" t="str">
        <f>_xlfn.XLOOKUP(tbl_Transactions[[#This Row],[Type]],Type[Trans_Type],Type[Type_Code],"",0)</f>
        <v/>
      </c>
    </row>
    <row r="77" spans="1:10" ht="19.5" customHeight="1">
      <c r="A77" t="str">
        <f t="shared" si="1"/>
        <v/>
      </c>
      <c r="C77" s="17"/>
      <c r="D77" t="str">
        <f>IFERROR(_xlfn.XLOOKUP(C77,Master_Employee[Emp_ID],Master_Employee[Name_AR],"",0),"")</f>
        <v/>
      </c>
      <c r="E77" t="str">
        <f>IFERROR(_xlfn.XLOOKUP(C77,Master_Employee[Emp_ID],Master_Employee[Name_EN],"",0),"")</f>
        <v/>
      </c>
      <c r="F77" t="str">
        <f>IFERROR(_xlfn.XLOOKUP(C77,Master_Employee[Emp_ID],Master_Employee[Department],"",0),"")</f>
        <v/>
      </c>
      <c r="H77" s="69"/>
      <c r="J77" t="str">
        <f>_xlfn.XLOOKUP(tbl_Transactions[[#This Row],[Type]],Type[Trans_Type],Type[Type_Code],"",0)</f>
        <v/>
      </c>
    </row>
    <row r="78" spans="1:10" ht="19.5" customHeight="1">
      <c r="A78" t="str">
        <f t="shared" si="1"/>
        <v/>
      </c>
      <c r="C78" s="17"/>
      <c r="D78" t="str">
        <f>IFERROR(_xlfn.XLOOKUP(C78,Master_Employee[Emp_ID],Master_Employee[Name_AR],"",0),"")</f>
        <v/>
      </c>
      <c r="E78" t="str">
        <f>IFERROR(_xlfn.XLOOKUP(C78,Master_Employee[Emp_ID],Master_Employee[Name_EN],"",0),"")</f>
        <v/>
      </c>
      <c r="F78" t="str">
        <f>IFERROR(_xlfn.XLOOKUP(C78,Master_Employee[Emp_ID],Master_Employee[Department],"",0),"")</f>
        <v/>
      </c>
      <c r="H78" s="69"/>
      <c r="J78" t="str">
        <f>_xlfn.XLOOKUP(tbl_Transactions[[#This Row],[Type]],Type[Trans_Type],Type[Type_Code],"",0)</f>
        <v/>
      </c>
    </row>
    <row r="79" spans="1:10" ht="19.5" customHeight="1">
      <c r="A79" t="str">
        <f t="shared" si="1"/>
        <v/>
      </c>
      <c r="C79" s="17"/>
      <c r="D79" t="str">
        <f>IFERROR(_xlfn.XLOOKUP(C79,Master_Employee[Emp_ID],Master_Employee[Name_AR],"",0),"")</f>
        <v/>
      </c>
      <c r="E79" t="str">
        <f>IFERROR(_xlfn.XLOOKUP(C79,Master_Employee[Emp_ID],Master_Employee[Name_EN],"",0),"")</f>
        <v/>
      </c>
      <c r="F79" t="str">
        <f>IFERROR(_xlfn.XLOOKUP(C79,Master_Employee[Emp_ID],Master_Employee[Department],"",0),"")</f>
        <v/>
      </c>
      <c r="H79" s="69"/>
      <c r="J79" t="str">
        <f>_xlfn.XLOOKUP(tbl_Transactions[[#This Row],[Type]],Type[Trans_Type],Type[Type_Code],"",0)</f>
        <v/>
      </c>
    </row>
    <row r="80" spans="1:10" ht="19.5" customHeight="1">
      <c r="A80" t="str">
        <f t="shared" si="1"/>
        <v/>
      </c>
      <c r="C80" s="17"/>
      <c r="D80" t="str">
        <f>IFERROR(_xlfn.XLOOKUP(C80,Master_Employee[Emp_ID],Master_Employee[Name_AR],"",0),"")</f>
        <v/>
      </c>
      <c r="E80" t="str">
        <f>IFERROR(_xlfn.XLOOKUP(C80,Master_Employee[Emp_ID],Master_Employee[Name_EN],"",0),"")</f>
        <v/>
      </c>
      <c r="F80" t="str">
        <f>IFERROR(_xlfn.XLOOKUP(C80,Master_Employee[Emp_ID],Master_Employee[Department],"",0),"")</f>
        <v/>
      </c>
      <c r="H80" s="69"/>
      <c r="J80" t="str">
        <f>_xlfn.XLOOKUP(tbl_Transactions[[#This Row],[Type]],Type[Trans_Type],Type[Type_Code],"",0)</f>
        <v/>
      </c>
    </row>
    <row r="81" spans="1:10" ht="19.5" customHeight="1">
      <c r="A81" t="str">
        <f t="shared" si="1"/>
        <v/>
      </c>
      <c r="C81" s="17"/>
      <c r="D81" t="str">
        <f>IFERROR(_xlfn.XLOOKUP(C81,Master_Employee[Emp_ID],Master_Employee[Name_AR],"",0),"")</f>
        <v/>
      </c>
      <c r="E81" t="str">
        <f>IFERROR(_xlfn.XLOOKUP(C81,Master_Employee[Emp_ID],Master_Employee[Name_EN],"",0),"")</f>
        <v/>
      </c>
      <c r="F81" t="str">
        <f>IFERROR(_xlfn.XLOOKUP(C81,Master_Employee[Emp_ID],Master_Employee[Department],"",0),"")</f>
        <v/>
      </c>
      <c r="H81" s="69"/>
      <c r="J81" t="str">
        <f>_xlfn.XLOOKUP(tbl_Transactions[[#This Row],[Type]],Type[Trans_Type],Type[Type_Code],"",0)</f>
        <v/>
      </c>
    </row>
    <row r="82" spans="1:10" ht="19.5" customHeight="1">
      <c r="A82" t="str">
        <f t="shared" si="1"/>
        <v/>
      </c>
      <c r="C82" s="17"/>
      <c r="D82" t="str">
        <f>IFERROR(_xlfn.XLOOKUP(C82,Master_Employee[Emp_ID],Master_Employee[Name_AR],"",0),"")</f>
        <v/>
      </c>
      <c r="E82" t="str">
        <f>IFERROR(_xlfn.XLOOKUP(C82,Master_Employee[Emp_ID],Master_Employee[Name_EN],"",0),"")</f>
        <v/>
      </c>
      <c r="F82" t="str">
        <f>IFERROR(_xlfn.XLOOKUP(C82,Master_Employee[Emp_ID],Master_Employee[Department],"",0),"")</f>
        <v/>
      </c>
      <c r="H82" s="69"/>
      <c r="J82" t="str">
        <f>_xlfn.XLOOKUP(tbl_Transactions[[#This Row],[Type]],Type[Trans_Type],Type[Type_Code],"",0)</f>
        <v/>
      </c>
    </row>
    <row r="83" spans="1:10" ht="19.5" customHeight="1">
      <c r="A83" t="str">
        <f t="shared" si="1"/>
        <v/>
      </c>
      <c r="C83" s="17"/>
      <c r="D83" t="str">
        <f>IFERROR(_xlfn.XLOOKUP(C83,Master_Employee[Emp_ID],Master_Employee[Name_AR],"",0),"")</f>
        <v/>
      </c>
      <c r="E83" t="str">
        <f>IFERROR(_xlfn.XLOOKUP(C83,Master_Employee[Emp_ID],Master_Employee[Name_EN],"",0),"")</f>
        <v/>
      </c>
      <c r="F83" t="str">
        <f>IFERROR(_xlfn.XLOOKUP(C83,Master_Employee[Emp_ID],Master_Employee[Department],"",0),"")</f>
        <v/>
      </c>
      <c r="H83" s="69"/>
      <c r="J83" t="str">
        <f>_xlfn.XLOOKUP(tbl_Transactions[[#This Row],[Type]],Type[Trans_Type],Type[Type_Code],"",0)</f>
        <v/>
      </c>
    </row>
    <row r="84" spans="1:10" ht="19.5" customHeight="1">
      <c r="A84" t="str">
        <f t="shared" si="1"/>
        <v/>
      </c>
      <c r="C84" s="17"/>
      <c r="D84" t="str">
        <f>IFERROR(_xlfn.XLOOKUP(C84,Master_Employee[Emp_ID],Master_Employee[Name_AR],"",0),"")</f>
        <v/>
      </c>
      <c r="E84" t="str">
        <f>IFERROR(_xlfn.XLOOKUP(C84,Master_Employee[Emp_ID],Master_Employee[Name_EN],"",0),"")</f>
        <v/>
      </c>
      <c r="F84" t="str">
        <f>IFERROR(_xlfn.XLOOKUP(C84,Master_Employee[Emp_ID],Master_Employee[Department],"",0),"")</f>
        <v/>
      </c>
      <c r="H84" s="69"/>
      <c r="J84" t="str">
        <f>_xlfn.XLOOKUP(tbl_Transactions[[#This Row],[Type]],Type[Trans_Type],Type[Type_Code],"",0)</f>
        <v/>
      </c>
    </row>
    <row r="85" spans="1:10" ht="19.5" customHeight="1">
      <c r="A85" t="str">
        <f t="shared" si="1"/>
        <v/>
      </c>
      <c r="C85" s="17"/>
      <c r="D85" t="str">
        <f>IFERROR(_xlfn.XLOOKUP(C85,Master_Employee[Emp_ID],Master_Employee[Name_AR],"",0),"")</f>
        <v/>
      </c>
      <c r="E85" t="str">
        <f>IFERROR(_xlfn.XLOOKUP(C85,Master_Employee[Emp_ID],Master_Employee[Name_EN],"",0),"")</f>
        <v/>
      </c>
      <c r="F85" t="str">
        <f>IFERROR(_xlfn.XLOOKUP(C85,Master_Employee[Emp_ID],Master_Employee[Department],"",0),"")</f>
        <v/>
      </c>
      <c r="H85" s="69"/>
      <c r="J85" t="str">
        <f>_xlfn.XLOOKUP(tbl_Transactions[[#This Row],[Type]],Type[Trans_Type],Type[Type_Code],"",0)</f>
        <v/>
      </c>
    </row>
    <row r="86" spans="1:10" ht="19.5" customHeight="1">
      <c r="A86" t="str">
        <f t="shared" si="1"/>
        <v/>
      </c>
      <c r="C86" s="17"/>
      <c r="D86" t="str">
        <f>IFERROR(_xlfn.XLOOKUP(C86,Master_Employee[Emp_ID],Master_Employee[Name_AR],"",0),"")</f>
        <v/>
      </c>
      <c r="E86" t="str">
        <f>IFERROR(_xlfn.XLOOKUP(C86,Master_Employee[Emp_ID],Master_Employee[Name_EN],"",0),"")</f>
        <v/>
      </c>
      <c r="F86" t="str">
        <f>IFERROR(_xlfn.XLOOKUP(C86,Master_Employee[Emp_ID],Master_Employee[Department],"",0),"")</f>
        <v/>
      </c>
      <c r="H86" s="69"/>
      <c r="J86" t="str">
        <f>_xlfn.XLOOKUP(tbl_Transactions[[#This Row],[Type]],Type[Trans_Type],Type[Type_Code],"",0)</f>
        <v/>
      </c>
    </row>
    <row r="87" spans="1:10" ht="19.5" customHeight="1">
      <c r="A87" t="str">
        <f t="shared" si="1"/>
        <v/>
      </c>
      <c r="C87" s="17"/>
      <c r="D87" t="str">
        <f>IFERROR(_xlfn.XLOOKUP(C87,Master_Employee[Emp_ID],Master_Employee[Name_AR],"",0),"")</f>
        <v/>
      </c>
      <c r="E87" t="str">
        <f>IFERROR(_xlfn.XLOOKUP(C87,Master_Employee[Emp_ID],Master_Employee[Name_EN],"",0),"")</f>
        <v/>
      </c>
      <c r="F87" t="str">
        <f>IFERROR(_xlfn.XLOOKUP(C87,Master_Employee[Emp_ID],Master_Employee[Department],"",0),"")</f>
        <v/>
      </c>
      <c r="H87" s="69"/>
      <c r="J87" t="str">
        <f>_xlfn.XLOOKUP(tbl_Transactions[[#This Row],[Type]],Type[Trans_Type],Type[Type_Code],"",0)</f>
        <v/>
      </c>
    </row>
    <row r="88" spans="1:10" ht="19.5" customHeight="1">
      <c r="A88" t="str">
        <f t="shared" si="1"/>
        <v/>
      </c>
      <c r="C88" s="17"/>
      <c r="D88" t="str">
        <f>IFERROR(_xlfn.XLOOKUP(C88,Master_Employee[Emp_ID],Master_Employee[Name_AR],"",0),"")</f>
        <v/>
      </c>
      <c r="E88" t="str">
        <f>IFERROR(_xlfn.XLOOKUP(C88,Master_Employee[Emp_ID],Master_Employee[Name_EN],"",0),"")</f>
        <v/>
      </c>
      <c r="F88" t="str">
        <f>IFERROR(_xlfn.XLOOKUP(C88,Master_Employee[Emp_ID],Master_Employee[Department],"",0),"")</f>
        <v/>
      </c>
      <c r="H88" s="69"/>
      <c r="J88" t="str">
        <f>_xlfn.XLOOKUP(tbl_Transactions[[#This Row],[Type]],Type[Trans_Type],Type[Type_Code],"",0)</f>
        <v/>
      </c>
    </row>
    <row r="89" spans="1:10" ht="19.5" customHeight="1">
      <c r="A89" t="str">
        <f t="shared" si="1"/>
        <v/>
      </c>
      <c r="C89" s="17"/>
      <c r="D89" t="str">
        <f>IFERROR(_xlfn.XLOOKUP(C89,Master_Employee[Emp_ID],Master_Employee[Name_AR],"",0),"")</f>
        <v/>
      </c>
      <c r="E89" t="str">
        <f>IFERROR(_xlfn.XLOOKUP(C89,Master_Employee[Emp_ID],Master_Employee[Name_EN],"",0),"")</f>
        <v/>
      </c>
      <c r="F89" t="str">
        <f>IFERROR(_xlfn.XLOOKUP(C89,Master_Employee[Emp_ID],Master_Employee[Department],"",0),"")</f>
        <v/>
      </c>
      <c r="H89" s="69"/>
      <c r="J89" t="str">
        <f>_xlfn.XLOOKUP(tbl_Transactions[[#This Row],[Type]],Type[Trans_Type],Type[Type_Code],"",0)</f>
        <v/>
      </c>
    </row>
    <row r="90" spans="1:10" ht="19.5" customHeight="1">
      <c r="A90" t="str">
        <f t="shared" si="1"/>
        <v/>
      </c>
      <c r="C90" s="17"/>
      <c r="D90" t="str">
        <f>IFERROR(_xlfn.XLOOKUP(C90,Master_Employee[Emp_ID],Master_Employee[Name_AR],"",0),"")</f>
        <v/>
      </c>
      <c r="E90" t="str">
        <f>IFERROR(_xlfn.XLOOKUP(C90,Master_Employee[Emp_ID],Master_Employee[Name_EN],"",0),"")</f>
        <v/>
      </c>
      <c r="F90" t="str">
        <f>IFERROR(_xlfn.XLOOKUP(C90,Master_Employee[Emp_ID],Master_Employee[Department],"",0),"")</f>
        <v/>
      </c>
      <c r="H90" s="69"/>
      <c r="J90" t="str">
        <f>_xlfn.XLOOKUP(tbl_Transactions[[#This Row],[Type]],Type[Trans_Type],Type[Type_Code],"",0)</f>
        <v/>
      </c>
    </row>
    <row r="91" spans="1:10" ht="19.5" customHeight="1">
      <c r="A91" t="str">
        <f t="shared" si="1"/>
        <v/>
      </c>
      <c r="C91" s="17"/>
      <c r="D91" t="str">
        <f>IFERROR(_xlfn.XLOOKUP(C91,Master_Employee[Emp_ID],Master_Employee[Name_AR],"",0),"")</f>
        <v/>
      </c>
      <c r="E91" t="str">
        <f>IFERROR(_xlfn.XLOOKUP(C91,Master_Employee[Emp_ID],Master_Employee[Name_EN],"",0),"")</f>
        <v/>
      </c>
      <c r="F91" t="str">
        <f>IFERROR(_xlfn.XLOOKUP(C91,Master_Employee[Emp_ID],Master_Employee[Department],"",0),"")</f>
        <v/>
      </c>
      <c r="H91" s="69"/>
      <c r="J91" t="str">
        <f>_xlfn.XLOOKUP(tbl_Transactions[[#This Row],[Type]],Type[Trans_Type],Type[Type_Code],"",0)</f>
        <v/>
      </c>
    </row>
    <row r="92" spans="1:10" ht="19.5" customHeight="1">
      <c r="A92" t="str">
        <f t="shared" si="1"/>
        <v/>
      </c>
      <c r="C92" s="17"/>
      <c r="D92" t="str">
        <f>IFERROR(_xlfn.XLOOKUP(C92,Master_Employee[Emp_ID],Master_Employee[Name_AR],"",0),"")</f>
        <v/>
      </c>
      <c r="E92" t="str">
        <f>IFERROR(_xlfn.XLOOKUP(C92,Master_Employee[Emp_ID],Master_Employee[Name_EN],"",0),"")</f>
        <v/>
      </c>
      <c r="F92" t="str">
        <f>IFERROR(_xlfn.XLOOKUP(C92,Master_Employee[Emp_ID],Master_Employee[Department],"",0),"")</f>
        <v/>
      </c>
      <c r="H92" s="69"/>
      <c r="J92" t="str">
        <f>_xlfn.XLOOKUP(tbl_Transactions[[#This Row],[Type]],Type[Trans_Type],Type[Type_Code],"",0)</f>
        <v/>
      </c>
    </row>
    <row r="93" spans="1:10" ht="19.5" customHeight="1">
      <c r="A93" t="str">
        <f t="shared" si="1"/>
        <v/>
      </c>
      <c r="C93" s="17"/>
      <c r="D93" t="str">
        <f>IFERROR(_xlfn.XLOOKUP(C93,Master_Employee[Emp_ID],Master_Employee[Name_AR],"",0),"")</f>
        <v/>
      </c>
      <c r="E93" t="str">
        <f>IFERROR(_xlfn.XLOOKUP(C93,Master_Employee[Emp_ID],Master_Employee[Name_EN],"",0),"")</f>
        <v/>
      </c>
      <c r="F93" t="str">
        <f>IFERROR(_xlfn.XLOOKUP(C93,Master_Employee[Emp_ID],Master_Employee[Department],"",0),"")</f>
        <v/>
      </c>
      <c r="H93" s="69"/>
      <c r="J93" t="str">
        <f>_xlfn.XLOOKUP(tbl_Transactions[[#This Row],[Type]],Type[Trans_Type],Type[Type_Code],"",0)</f>
        <v/>
      </c>
    </row>
    <row r="94" spans="1:10" ht="19.5" customHeight="1">
      <c r="A94" t="str">
        <f t="shared" si="1"/>
        <v/>
      </c>
      <c r="C94" s="17"/>
      <c r="D94" t="str">
        <f>IFERROR(_xlfn.XLOOKUP(C94,Master_Employee[Emp_ID],Master_Employee[Name_AR],"",0),"")</f>
        <v/>
      </c>
      <c r="E94" t="str">
        <f>IFERROR(_xlfn.XLOOKUP(C94,Master_Employee[Emp_ID],Master_Employee[Name_EN],"",0),"")</f>
        <v/>
      </c>
      <c r="F94" t="str">
        <f>IFERROR(_xlfn.XLOOKUP(C94,Master_Employee[Emp_ID],Master_Employee[Department],"",0),"")</f>
        <v/>
      </c>
      <c r="H94" s="69"/>
      <c r="J94" t="str">
        <f>_xlfn.XLOOKUP(tbl_Transactions[[#This Row],[Type]],Type[Trans_Type],Type[Type_Code],"",0)</f>
        <v/>
      </c>
    </row>
    <row r="95" spans="1:10" ht="19.5" customHeight="1">
      <c r="A95" t="str">
        <f t="shared" si="1"/>
        <v/>
      </c>
      <c r="C95" s="17"/>
      <c r="D95" t="str">
        <f>IFERROR(_xlfn.XLOOKUP(C95,Master_Employee[Emp_ID],Master_Employee[Name_AR],"",0),"")</f>
        <v/>
      </c>
      <c r="E95" t="str">
        <f>IFERROR(_xlfn.XLOOKUP(C95,Master_Employee[Emp_ID],Master_Employee[Name_EN],"",0),"")</f>
        <v/>
      </c>
      <c r="F95" t="str">
        <f>IFERROR(_xlfn.XLOOKUP(C95,Master_Employee[Emp_ID],Master_Employee[Department],"",0),"")</f>
        <v/>
      </c>
      <c r="H95" s="69"/>
      <c r="J95" t="str">
        <f>_xlfn.XLOOKUP(tbl_Transactions[[#This Row],[Type]],Type[Trans_Type],Type[Type_Code],"",0)</f>
        <v/>
      </c>
    </row>
    <row r="96" spans="1:10" ht="19.5" customHeight="1">
      <c r="A96" t="str">
        <f t="shared" si="1"/>
        <v/>
      </c>
      <c r="C96" s="17"/>
      <c r="D96" t="str">
        <f>IFERROR(_xlfn.XLOOKUP(C96,Master_Employee[Emp_ID],Master_Employee[Name_AR],"",0),"")</f>
        <v/>
      </c>
      <c r="E96" t="str">
        <f>IFERROR(_xlfn.XLOOKUP(C96,Master_Employee[Emp_ID],Master_Employee[Name_EN],"",0),"")</f>
        <v/>
      </c>
      <c r="F96" t="str">
        <f>IFERROR(_xlfn.XLOOKUP(C96,Master_Employee[Emp_ID],Master_Employee[Department],"",0),"")</f>
        <v/>
      </c>
      <c r="H96" s="69"/>
      <c r="J96" t="str">
        <f>_xlfn.XLOOKUP(tbl_Transactions[[#This Row],[Type]],Type[Trans_Type],Type[Type_Code],"",0)</f>
        <v/>
      </c>
    </row>
    <row r="97" spans="1:10" ht="19.5" customHeight="1">
      <c r="A97" t="str">
        <f t="shared" si="1"/>
        <v/>
      </c>
      <c r="C97" s="17"/>
      <c r="D97" t="str">
        <f>IFERROR(_xlfn.XLOOKUP(C97,Master_Employee[Emp_ID],Master_Employee[Name_AR],"",0),"")</f>
        <v/>
      </c>
      <c r="E97" t="str">
        <f>IFERROR(_xlfn.XLOOKUP(C97,Master_Employee[Emp_ID],Master_Employee[Name_EN],"",0),"")</f>
        <v/>
      </c>
      <c r="F97" t="str">
        <f>IFERROR(_xlfn.XLOOKUP(C97,Master_Employee[Emp_ID],Master_Employee[Department],"",0),"")</f>
        <v/>
      </c>
      <c r="H97" s="69"/>
      <c r="J97" t="str">
        <f>_xlfn.XLOOKUP(tbl_Transactions[[#This Row],[Type]],Type[Trans_Type],Type[Type_Code],"",0)</f>
        <v/>
      </c>
    </row>
    <row r="98" spans="1:10" ht="19.5" customHeight="1">
      <c r="A98" t="str">
        <f t="shared" si="1"/>
        <v/>
      </c>
      <c r="C98" s="17"/>
      <c r="D98" t="str">
        <f>IFERROR(_xlfn.XLOOKUP(C98,Master_Employee[Emp_ID],Master_Employee[Name_AR],"",0),"")</f>
        <v/>
      </c>
      <c r="E98" t="str">
        <f>IFERROR(_xlfn.XLOOKUP(C98,Master_Employee[Emp_ID],Master_Employee[Name_EN],"",0),"")</f>
        <v/>
      </c>
      <c r="F98" t="str">
        <f>IFERROR(_xlfn.XLOOKUP(C98,Master_Employee[Emp_ID],Master_Employee[Department],"",0),"")</f>
        <v/>
      </c>
      <c r="H98" s="69"/>
      <c r="J98" t="str">
        <f>_xlfn.XLOOKUP(tbl_Transactions[[#This Row],[Type]],Type[Trans_Type],Type[Type_Code],"",0)</f>
        <v/>
      </c>
    </row>
    <row r="99" spans="1:10" ht="19.5" customHeight="1">
      <c r="A99" t="str">
        <f t="shared" si="1"/>
        <v/>
      </c>
      <c r="C99" s="17"/>
      <c r="D99" t="str">
        <f>IFERROR(_xlfn.XLOOKUP(C99,Master_Employee[Emp_ID],Master_Employee[Name_AR],"",0),"")</f>
        <v/>
      </c>
      <c r="E99" t="str">
        <f>IFERROR(_xlfn.XLOOKUP(C99,Master_Employee[Emp_ID],Master_Employee[Name_EN],"",0),"")</f>
        <v/>
      </c>
      <c r="F99" t="str">
        <f>IFERROR(_xlfn.XLOOKUP(C99,Master_Employee[Emp_ID],Master_Employee[Department],"",0),"")</f>
        <v/>
      </c>
      <c r="H99" s="69"/>
      <c r="J99" t="str">
        <f>_xlfn.XLOOKUP(tbl_Transactions[[#This Row],[Type]],Type[Trans_Type],Type[Type_Code],"",0)</f>
        <v/>
      </c>
    </row>
    <row r="100" spans="1:10" ht="19.5" customHeight="1">
      <c r="A100" t="str">
        <f t="shared" si="1"/>
        <v/>
      </c>
      <c r="C100" s="17"/>
      <c r="D100" t="str">
        <f>IFERROR(_xlfn.XLOOKUP(C100,Master_Employee[Emp_ID],Master_Employee[Name_AR],"",0),"")</f>
        <v/>
      </c>
      <c r="E100" t="str">
        <f>IFERROR(_xlfn.XLOOKUP(C100,Master_Employee[Emp_ID],Master_Employee[Name_EN],"",0),"")</f>
        <v/>
      </c>
      <c r="F100" t="str">
        <f>IFERROR(_xlfn.XLOOKUP(C100,Master_Employee[Emp_ID],Master_Employee[Department],"",0),"")</f>
        <v/>
      </c>
      <c r="H100" s="69"/>
      <c r="J100" t="str">
        <f>_xlfn.XLOOKUP(tbl_Transactions[[#This Row],[Type]],Type[Trans_Type],Type[Type_Code],"",0)</f>
        <v/>
      </c>
    </row>
    <row r="101" spans="1:10" ht="19.5" customHeight="1">
      <c r="A101" t="str">
        <f t="shared" si="1"/>
        <v/>
      </c>
      <c r="C101" s="17"/>
      <c r="D101" t="str">
        <f>IFERROR(_xlfn.XLOOKUP(C101,Master_Employee[Emp_ID],Master_Employee[Name_AR],"",0),"")</f>
        <v/>
      </c>
      <c r="E101" t="str">
        <f>IFERROR(_xlfn.XLOOKUP(C101,Master_Employee[Emp_ID],Master_Employee[Name_EN],"",0),"")</f>
        <v/>
      </c>
      <c r="F101" t="str">
        <f>IFERROR(_xlfn.XLOOKUP(C101,Master_Employee[Emp_ID],Master_Employee[Department],"",0),"")</f>
        <v/>
      </c>
      <c r="H101" s="69"/>
      <c r="J101" t="str">
        <f>_xlfn.XLOOKUP(tbl_Transactions[[#This Row],[Type]],Type[Trans_Type],Type[Type_Code],"",0)</f>
        <v/>
      </c>
    </row>
    <row r="102" spans="1:10" ht="19.5" customHeight="1">
      <c r="A102" t="str">
        <f t="shared" si="1"/>
        <v/>
      </c>
      <c r="C102" s="17"/>
      <c r="D102" t="str">
        <f>IFERROR(_xlfn.XLOOKUP(C102,Master_Employee[Emp_ID],Master_Employee[Name_AR],"",0),"")</f>
        <v/>
      </c>
      <c r="E102" t="str">
        <f>IFERROR(_xlfn.XLOOKUP(C102,Master_Employee[Emp_ID],Master_Employee[Name_EN],"",0),"")</f>
        <v/>
      </c>
      <c r="F102" t="str">
        <f>IFERROR(_xlfn.XLOOKUP(C102,Master_Employee[Emp_ID],Master_Employee[Department],"",0),"")</f>
        <v/>
      </c>
      <c r="H102" s="69"/>
      <c r="J102" t="str">
        <f>_xlfn.XLOOKUP(tbl_Transactions[[#This Row],[Type]],Type[Trans_Type],Type[Type_Code],"",0)</f>
        <v/>
      </c>
    </row>
    <row r="103" spans="1:10" ht="19.5" customHeight="1">
      <c r="A103" t="str">
        <f t="shared" si="1"/>
        <v/>
      </c>
      <c r="C103" s="17"/>
      <c r="D103" t="str">
        <f>IFERROR(_xlfn.XLOOKUP(C103,Master_Employee[Emp_ID],Master_Employee[Name_AR],"",0),"")</f>
        <v/>
      </c>
      <c r="E103" t="str">
        <f>IFERROR(_xlfn.XLOOKUP(C103,Master_Employee[Emp_ID],Master_Employee[Name_EN],"",0),"")</f>
        <v/>
      </c>
      <c r="F103" t="str">
        <f>IFERROR(_xlfn.XLOOKUP(C103,Master_Employee[Emp_ID],Master_Employee[Department],"",0),"")</f>
        <v/>
      </c>
      <c r="H103" s="69"/>
      <c r="J103" t="str">
        <f>_xlfn.XLOOKUP(tbl_Transactions[[#This Row],[Type]],Type[Trans_Type],Type[Type_Code],"",0)</f>
        <v/>
      </c>
    </row>
    <row r="104" spans="1:10" ht="19.5" customHeight="1">
      <c r="A104" t="str">
        <f t="shared" si="1"/>
        <v/>
      </c>
      <c r="C104" s="17"/>
      <c r="D104" t="str">
        <f>IFERROR(_xlfn.XLOOKUP(C104,Master_Employee[Emp_ID],Master_Employee[Name_AR],"",0),"")</f>
        <v/>
      </c>
      <c r="E104" t="str">
        <f>IFERROR(_xlfn.XLOOKUP(C104,Master_Employee[Emp_ID],Master_Employee[Name_EN],"",0),"")</f>
        <v/>
      </c>
      <c r="F104" t="str">
        <f>IFERROR(_xlfn.XLOOKUP(C104,Master_Employee[Emp_ID],Master_Employee[Department],"",0),"")</f>
        <v/>
      </c>
      <c r="H104" s="69"/>
      <c r="J104" t="str">
        <f>_xlfn.XLOOKUP(tbl_Transactions[[#This Row],[Type]],Type[Trans_Type],Type[Type_Code],"",0)</f>
        <v/>
      </c>
    </row>
    <row r="105" spans="1:10" ht="19.5" customHeight="1">
      <c r="A105" t="str">
        <f t="shared" si="1"/>
        <v/>
      </c>
      <c r="C105" s="17"/>
      <c r="D105" t="str">
        <f>IFERROR(_xlfn.XLOOKUP(C105,Master_Employee[Emp_ID],Master_Employee[Name_AR],"",0),"")</f>
        <v/>
      </c>
      <c r="E105" t="str">
        <f>IFERROR(_xlfn.XLOOKUP(C105,Master_Employee[Emp_ID],Master_Employee[Name_EN],"",0),"")</f>
        <v/>
      </c>
      <c r="F105" t="str">
        <f>IFERROR(_xlfn.XLOOKUP(C105,Master_Employee[Emp_ID],Master_Employee[Department],"",0),"")</f>
        <v/>
      </c>
      <c r="H105" s="69"/>
      <c r="J105" t="str">
        <f>_xlfn.XLOOKUP(tbl_Transactions[[#This Row],[Type]],Type[Trans_Type],Type[Type_Code],"",0)</f>
        <v/>
      </c>
    </row>
    <row r="106" spans="1:10" ht="19.5" customHeight="1">
      <c r="A106" t="str">
        <f t="shared" si="1"/>
        <v/>
      </c>
      <c r="C106" s="17"/>
      <c r="D106" t="str">
        <f>IFERROR(_xlfn.XLOOKUP(C106,Master_Employee[Emp_ID],Master_Employee[Name_AR],"",0),"")</f>
        <v/>
      </c>
      <c r="E106" t="str">
        <f>IFERROR(_xlfn.XLOOKUP(C106,Master_Employee[Emp_ID],Master_Employee[Name_EN],"",0),"")</f>
        <v/>
      </c>
      <c r="F106" t="str">
        <f>IFERROR(_xlfn.XLOOKUP(C106,Master_Employee[Emp_ID],Master_Employee[Department],"",0),"")</f>
        <v/>
      </c>
      <c r="H106" s="69"/>
      <c r="J106" t="str">
        <f>_xlfn.XLOOKUP(tbl_Transactions[[#This Row],[Type]],Type[Trans_Type],Type[Type_Code],"",0)</f>
        <v/>
      </c>
    </row>
    <row r="107" spans="1:10" ht="19.5" customHeight="1">
      <c r="A107" t="str">
        <f t="shared" si="1"/>
        <v/>
      </c>
      <c r="C107" s="17"/>
      <c r="D107" t="str">
        <f>IFERROR(_xlfn.XLOOKUP(C107,Master_Employee[Emp_ID],Master_Employee[Name_AR],"",0),"")</f>
        <v/>
      </c>
      <c r="E107" t="str">
        <f>IFERROR(_xlfn.XLOOKUP(C107,Master_Employee[Emp_ID],Master_Employee[Name_EN],"",0),"")</f>
        <v/>
      </c>
      <c r="F107" t="str">
        <f>IFERROR(_xlfn.XLOOKUP(C107,Master_Employee[Emp_ID],Master_Employee[Department],"",0),"")</f>
        <v/>
      </c>
      <c r="H107" s="69"/>
      <c r="J107" t="str">
        <f>_xlfn.XLOOKUP(tbl_Transactions[[#This Row],[Type]],Type[Trans_Type],Type[Type_Code],"",0)</f>
        <v/>
      </c>
    </row>
    <row r="108" spans="1:10" ht="19.5" customHeight="1">
      <c r="A108" t="str">
        <f t="shared" si="1"/>
        <v/>
      </c>
      <c r="C108" s="17"/>
      <c r="D108" t="str">
        <f>IFERROR(_xlfn.XLOOKUP(C108,Master_Employee[Emp_ID],Master_Employee[Name_AR],"",0),"")</f>
        <v/>
      </c>
      <c r="E108" t="str">
        <f>IFERROR(_xlfn.XLOOKUP(C108,Master_Employee[Emp_ID],Master_Employee[Name_EN],"",0),"")</f>
        <v/>
      </c>
      <c r="F108" t="str">
        <f>IFERROR(_xlfn.XLOOKUP(C108,Master_Employee[Emp_ID],Master_Employee[Department],"",0),"")</f>
        <v/>
      </c>
      <c r="H108" s="69"/>
      <c r="J108" t="str">
        <f>_xlfn.XLOOKUP(tbl_Transactions[[#This Row],[Type]],Type[Trans_Type],Type[Type_Code],"",0)</f>
        <v/>
      </c>
    </row>
    <row r="109" spans="1:10" ht="19.5" customHeight="1">
      <c r="A109" t="str">
        <f t="shared" si="1"/>
        <v/>
      </c>
      <c r="C109" s="17"/>
      <c r="D109" t="str">
        <f>IFERROR(_xlfn.XLOOKUP(C109,Master_Employee[Emp_ID],Master_Employee[Name_AR],"",0),"")</f>
        <v/>
      </c>
      <c r="E109" t="str">
        <f>IFERROR(_xlfn.XLOOKUP(C109,Master_Employee[Emp_ID],Master_Employee[Name_EN],"",0),"")</f>
        <v/>
      </c>
      <c r="F109" t="str">
        <f>IFERROR(_xlfn.XLOOKUP(C109,Master_Employee[Emp_ID],Master_Employee[Department],"",0),"")</f>
        <v/>
      </c>
      <c r="H109" s="69"/>
      <c r="J109" t="str">
        <f>_xlfn.XLOOKUP(tbl_Transactions[[#This Row],[Type]],Type[Trans_Type],Type[Type_Code],"",0)</f>
        <v/>
      </c>
    </row>
    <row r="110" spans="1:10" ht="19.5" customHeight="1">
      <c r="A110" t="str">
        <f t="shared" si="1"/>
        <v/>
      </c>
      <c r="C110" s="17"/>
      <c r="D110" t="str">
        <f>IFERROR(_xlfn.XLOOKUP(C110,Master_Employee[Emp_ID],Master_Employee[Name_AR],"",0),"")</f>
        <v/>
      </c>
      <c r="E110" t="str">
        <f>IFERROR(_xlfn.XLOOKUP(C110,Master_Employee[Emp_ID],Master_Employee[Name_EN],"",0),"")</f>
        <v/>
      </c>
      <c r="F110" t="str">
        <f>IFERROR(_xlfn.XLOOKUP(C110,Master_Employee[Emp_ID],Master_Employee[Department],"",0),"")</f>
        <v/>
      </c>
      <c r="H110" s="69"/>
      <c r="J110" t="str">
        <f>_xlfn.XLOOKUP(tbl_Transactions[[#This Row],[Type]],Type[Trans_Type],Type[Type_Code],"",0)</f>
        <v/>
      </c>
    </row>
    <row r="111" spans="1:10" ht="19.5" customHeight="1">
      <c r="A111" t="str">
        <f t="shared" si="1"/>
        <v/>
      </c>
      <c r="C111" s="17"/>
      <c r="D111" t="str">
        <f>IFERROR(_xlfn.XLOOKUP(C111,Master_Employee[Emp_ID],Master_Employee[Name_AR],"",0),"")</f>
        <v/>
      </c>
      <c r="E111" t="str">
        <f>IFERROR(_xlfn.XLOOKUP(C111,Master_Employee[Emp_ID],Master_Employee[Name_EN],"",0),"")</f>
        <v/>
      </c>
      <c r="F111" t="str">
        <f>IFERROR(_xlfn.XLOOKUP(C111,Master_Employee[Emp_ID],Master_Employee[Department],"",0),"")</f>
        <v/>
      </c>
      <c r="H111" s="69"/>
      <c r="J111" t="str">
        <f>_xlfn.XLOOKUP(tbl_Transactions[[#This Row],[Type]],Type[Trans_Type],Type[Type_Code],"",0)</f>
        <v/>
      </c>
    </row>
    <row r="112" spans="1:10" ht="19.5" customHeight="1">
      <c r="A112" t="str">
        <f t="shared" si="1"/>
        <v/>
      </c>
      <c r="C112" s="17"/>
      <c r="D112" t="str">
        <f>IFERROR(_xlfn.XLOOKUP(C112,Master_Employee[Emp_ID],Master_Employee[Name_AR],"",0),"")</f>
        <v/>
      </c>
      <c r="E112" t="str">
        <f>IFERROR(_xlfn.XLOOKUP(C112,Master_Employee[Emp_ID],Master_Employee[Name_EN],"",0),"")</f>
        <v/>
      </c>
      <c r="F112" t="str">
        <f>IFERROR(_xlfn.XLOOKUP(C112,Master_Employee[Emp_ID],Master_Employee[Department],"",0),"")</f>
        <v/>
      </c>
      <c r="H112" s="69"/>
      <c r="J112" t="str">
        <f>_xlfn.XLOOKUP(tbl_Transactions[[#This Row],[Type]],Type[Trans_Type],Type[Type_Code],"",0)</f>
        <v/>
      </c>
    </row>
    <row r="113" spans="1:10" ht="19.5" customHeight="1">
      <c r="A113" t="str">
        <f t="shared" si="1"/>
        <v/>
      </c>
      <c r="C113" s="17"/>
      <c r="D113" t="str">
        <f>IFERROR(_xlfn.XLOOKUP(C113,Master_Employee[Emp_ID],Master_Employee[Name_AR],"",0),"")</f>
        <v/>
      </c>
      <c r="E113" t="str">
        <f>IFERROR(_xlfn.XLOOKUP(C113,Master_Employee[Emp_ID],Master_Employee[Name_EN],"",0),"")</f>
        <v/>
      </c>
      <c r="F113" t="str">
        <f>IFERROR(_xlfn.XLOOKUP(C113,Master_Employee[Emp_ID],Master_Employee[Department],"",0),"")</f>
        <v/>
      </c>
      <c r="H113" s="69"/>
      <c r="J113" t="str">
        <f>_xlfn.XLOOKUP(tbl_Transactions[[#This Row],[Type]],Type[Trans_Type],Type[Type_Code],"",0)</f>
        <v/>
      </c>
    </row>
    <row r="114" spans="1:10" ht="19.5" customHeight="1">
      <c r="A114" t="str">
        <f t="shared" si="1"/>
        <v/>
      </c>
      <c r="C114" s="17"/>
      <c r="D114" t="str">
        <f>IFERROR(_xlfn.XLOOKUP(C114,Master_Employee[Emp_ID],Master_Employee[Name_AR],"",0),"")</f>
        <v/>
      </c>
      <c r="E114" t="str">
        <f>IFERROR(_xlfn.XLOOKUP(C114,Master_Employee[Emp_ID],Master_Employee[Name_EN],"",0),"")</f>
        <v/>
      </c>
      <c r="F114" t="str">
        <f>IFERROR(_xlfn.XLOOKUP(C114,Master_Employee[Emp_ID],Master_Employee[Department],"",0),"")</f>
        <v/>
      </c>
      <c r="H114" s="69"/>
      <c r="J114" t="str">
        <f>_xlfn.XLOOKUP(tbl_Transactions[[#This Row],[Type]],Type[Trans_Type],Type[Type_Code],"",0)</f>
        <v/>
      </c>
    </row>
    <row r="115" spans="1:10" ht="19.5" customHeight="1">
      <c r="A115" t="str">
        <f t="shared" si="1"/>
        <v/>
      </c>
      <c r="C115" s="17"/>
      <c r="D115" t="str">
        <f>IFERROR(_xlfn.XLOOKUP(C115,Master_Employee[Emp_ID],Master_Employee[Name_AR],"",0),"")</f>
        <v/>
      </c>
      <c r="E115" t="str">
        <f>IFERROR(_xlfn.XLOOKUP(C115,Master_Employee[Emp_ID],Master_Employee[Name_EN],"",0),"")</f>
        <v/>
      </c>
      <c r="F115" t="str">
        <f>IFERROR(_xlfn.XLOOKUP(C115,Master_Employee[Emp_ID],Master_Employee[Department],"",0),"")</f>
        <v/>
      </c>
      <c r="H115" s="69"/>
      <c r="J115" t="str">
        <f>_xlfn.XLOOKUP(tbl_Transactions[[#This Row],[Type]],Type[Trans_Type],Type[Type_Code],"",0)</f>
        <v/>
      </c>
    </row>
    <row r="116" spans="1:10" ht="19.5" customHeight="1">
      <c r="A116" t="str">
        <f t="shared" si="1"/>
        <v/>
      </c>
      <c r="C116" s="17"/>
      <c r="D116" t="str">
        <f>IFERROR(_xlfn.XLOOKUP(C116,Master_Employee[Emp_ID],Master_Employee[Name_AR],"",0),"")</f>
        <v/>
      </c>
      <c r="E116" t="str">
        <f>IFERROR(_xlfn.XLOOKUP(C116,Master_Employee[Emp_ID],Master_Employee[Name_EN],"",0),"")</f>
        <v/>
      </c>
      <c r="F116" t="str">
        <f>IFERROR(_xlfn.XLOOKUP(C116,Master_Employee[Emp_ID],Master_Employee[Department],"",0),"")</f>
        <v/>
      </c>
      <c r="H116" s="69"/>
      <c r="J116" t="str">
        <f>_xlfn.XLOOKUP(tbl_Transactions[[#This Row],[Type]],Type[Trans_Type],Type[Type_Code],"",0)</f>
        <v/>
      </c>
    </row>
    <row r="117" spans="1:10" ht="19.5" customHeight="1">
      <c r="A117" t="str">
        <f t="shared" si="1"/>
        <v/>
      </c>
      <c r="C117" s="17"/>
      <c r="D117" t="str">
        <f>IFERROR(_xlfn.XLOOKUP(C117,Master_Employee[Emp_ID],Master_Employee[Name_AR],"",0),"")</f>
        <v/>
      </c>
      <c r="E117" t="str">
        <f>IFERROR(_xlfn.XLOOKUP(C117,Master_Employee[Emp_ID],Master_Employee[Name_EN],"",0),"")</f>
        <v/>
      </c>
      <c r="F117" t="str">
        <f>IFERROR(_xlfn.XLOOKUP(C117,Master_Employee[Emp_ID],Master_Employee[Department],"",0),"")</f>
        <v/>
      </c>
      <c r="H117" s="69"/>
      <c r="J117" t="str">
        <f>_xlfn.XLOOKUP(tbl_Transactions[[#This Row],[Type]],Type[Trans_Type],Type[Type_Code],"",0)</f>
        <v/>
      </c>
    </row>
    <row r="118" spans="1:10" ht="19.5" customHeight="1">
      <c r="A118" t="str">
        <f t="shared" si="1"/>
        <v/>
      </c>
      <c r="C118" s="17"/>
      <c r="D118" t="str">
        <f>IFERROR(_xlfn.XLOOKUP(C118,Master_Employee[Emp_ID],Master_Employee[Name_AR],"",0),"")</f>
        <v/>
      </c>
      <c r="E118" t="str">
        <f>IFERROR(_xlfn.XLOOKUP(C118,Master_Employee[Emp_ID],Master_Employee[Name_EN],"",0),"")</f>
        <v/>
      </c>
      <c r="F118" t="str">
        <f>IFERROR(_xlfn.XLOOKUP(C118,Master_Employee[Emp_ID],Master_Employee[Department],"",0),"")</f>
        <v/>
      </c>
      <c r="H118" s="69"/>
      <c r="J118" t="str">
        <f>_xlfn.XLOOKUP(tbl_Transactions[[#This Row],[Type]],Type[Trans_Type],Type[Type_Code],"",0)</f>
        <v/>
      </c>
    </row>
    <row r="119" spans="1:10" ht="19.5" customHeight="1">
      <c r="A119" t="str">
        <f t="shared" si="1"/>
        <v/>
      </c>
      <c r="C119" s="17"/>
      <c r="D119" t="str">
        <f>IFERROR(_xlfn.XLOOKUP(C119,Master_Employee[Emp_ID],Master_Employee[Name_AR],"",0),"")</f>
        <v/>
      </c>
      <c r="E119" t="str">
        <f>IFERROR(_xlfn.XLOOKUP(C119,Master_Employee[Emp_ID],Master_Employee[Name_EN],"",0),"")</f>
        <v/>
      </c>
      <c r="F119" t="str">
        <f>IFERROR(_xlfn.XLOOKUP(C119,Master_Employee[Emp_ID],Master_Employee[Department],"",0),"")</f>
        <v/>
      </c>
      <c r="H119" s="69"/>
      <c r="J119" t="str">
        <f>_xlfn.XLOOKUP(tbl_Transactions[[#This Row],[Type]],Type[Trans_Type],Type[Type_Code],"",0)</f>
        <v/>
      </c>
    </row>
    <row r="120" spans="1:10" ht="19.5" customHeight="1">
      <c r="A120" t="str">
        <f t="shared" si="1"/>
        <v/>
      </c>
      <c r="C120" s="17"/>
      <c r="D120" t="str">
        <f>IFERROR(_xlfn.XLOOKUP(C120,Master_Employee[Emp_ID],Master_Employee[Name_AR],"",0),"")</f>
        <v/>
      </c>
      <c r="E120" t="str">
        <f>IFERROR(_xlfn.XLOOKUP(C120,Master_Employee[Emp_ID],Master_Employee[Name_EN],"",0),"")</f>
        <v/>
      </c>
      <c r="F120" t="str">
        <f>IFERROR(_xlfn.XLOOKUP(C120,Master_Employee[Emp_ID],Master_Employee[Department],"",0),"")</f>
        <v/>
      </c>
      <c r="H120" s="69"/>
      <c r="J120" t="str">
        <f>_xlfn.XLOOKUP(tbl_Transactions[[#This Row],[Type]],Type[Trans_Type],Type[Type_Code],"",0)</f>
        <v/>
      </c>
    </row>
    <row r="121" spans="1:10" ht="19.5" customHeight="1">
      <c r="A121" t="str">
        <f t="shared" si="1"/>
        <v/>
      </c>
      <c r="C121" s="17"/>
      <c r="D121" t="str">
        <f>IFERROR(_xlfn.XLOOKUP(C121,Master_Employee[Emp_ID],Master_Employee[Name_AR],"",0),"")</f>
        <v/>
      </c>
      <c r="E121" t="str">
        <f>IFERROR(_xlfn.XLOOKUP(C121,Master_Employee[Emp_ID],Master_Employee[Name_EN],"",0),"")</f>
        <v/>
      </c>
      <c r="F121" t="str">
        <f>IFERROR(_xlfn.XLOOKUP(C121,Master_Employee[Emp_ID],Master_Employee[Department],"",0),"")</f>
        <v/>
      </c>
      <c r="H121" s="69"/>
      <c r="J121" t="str">
        <f>_xlfn.XLOOKUP(tbl_Transactions[[#This Row],[Type]],Type[Trans_Type],Type[Type_Code],"",0)</f>
        <v/>
      </c>
    </row>
    <row r="122" spans="1:10" ht="19.5" customHeight="1">
      <c r="A122" t="str">
        <f t="shared" si="1"/>
        <v/>
      </c>
      <c r="C122" s="17"/>
      <c r="D122" t="str">
        <f>IFERROR(_xlfn.XLOOKUP(C122,Master_Employee[Emp_ID],Master_Employee[Name_AR],"",0),"")</f>
        <v/>
      </c>
      <c r="E122" t="str">
        <f>IFERROR(_xlfn.XLOOKUP(C122,Master_Employee[Emp_ID],Master_Employee[Name_EN],"",0),"")</f>
        <v/>
      </c>
      <c r="F122" t="str">
        <f>IFERROR(_xlfn.XLOOKUP(C122,Master_Employee[Emp_ID],Master_Employee[Department],"",0),"")</f>
        <v/>
      </c>
      <c r="H122" s="69"/>
      <c r="J122" t="str">
        <f>_xlfn.XLOOKUP(tbl_Transactions[[#This Row],[Type]],Type[Trans_Type],Type[Type_Code],"",0)</f>
        <v/>
      </c>
    </row>
    <row r="123" spans="1:10" ht="19.5" customHeight="1">
      <c r="A123" t="str">
        <f t="shared" si="1"/>
        <v/>
      </c>
      <c r="C123" s="17"/>
      <c r="D123" t="str">
        <f>IFERROR(_xlfn.XLOOKUP(C123,Master_Employee[Emp_ID],Master_Employee[Name_AR],"",0),"")</f>
        <v/>
      </c>
      <c r="E123" t="str">
        <f>IFERROR(_xlfn.XLOOKUP(C123,Master_Employee[Emp_ID],Master_Employee[Name_EN],"",0),"")</f>
        <v/>
      </c>
      <c r="F123" t="str">
        <f>IFERROR(_xlfn.XLOOKUP(C123,Master_Employee[Emp_ID],Master_Employee[Department],"",0),"")</f>
        <v/>
      </c>
      <c r="H123" s="69"/>
      <c r="J123" t="str">
        <f>_xlfn.XLOOKUP(tbl_Transactions[[#This Row],[Type]],Type[Trans_Type],Type[Type_Code],"",0)</f>
        <v/>
      </c>
    </row>
    <row r="124" spans="1:10" ht="19.5" customHeight="1">
      <c r="A124" t="str">
        <f t="shared" si="1"/>
        <v/>
      </c>
      <c r="C124" s="17"/>
      <c r="D124" t="str">
        <f>IFERROR(_xlfn.XLOOKUP(C124,Master_Employee[Emp_ID],Master_Employee[Name_AR],"",0),"")</f>
        <v/>
      </c>
      <c r="E124" t="str">
        <f>IFERROR(_xlfn.XLOOKUP(C124,Master_Employee[Emp_ID],Master_Employee[Name_EN],"",0),"")</f>
        <v/>
      </c>
      <c r="F124" t="str">
        <f>IFERROR(_xlfn.XLOOKUP(C124,Master_Employee[Emp_ID],Master_Employee[Department],"",0),"")</f>
        <v/>
      </c>
      <c r="H124" s="69"/>
      <c r="J124" t="str">
        <f>_xlfn.XLOOKUP(tbl_Transactions[[#This Row],[Type]],Type[Trans_Type],Type[Type_Code],"",0)</f>
        <v/>
      </c>
    </row>
    <row r="125" spans="1:10" ht="19.5" customHeight="1">
      <c r="A125" t="str">
        <f t="shared" si="1"/>
        <v/>
      </c>
      <c r="C125" s="17"/>
      <c r="D125" t="str">
        <f>IFERROR(_xlfn.XLOOKUP(C125,Master_Employee[Emp_ID],Master_Employee[Name_AR],"",0),"")</f>
        <v/>
      </c>
      <c r="E125" t="str">
        <f>IFERROR(_xlfn.XLOOKUP(C125,Master_Employee[Emp_ID],Master_Employee[Name_EN],"",0),"")</f>
        <v/>
      </c>
      <c r="F125" t="str">
        <f>IFERROR(_xlfn.XLOOKUP(C125,Master_Employee[Emp_ID],Master_Employee[Department],"",0),"")</f>
        <v/>
      </c>
      <c r="H125" s="69"/>
      <c r="J125" t="str">
        <f>_xlfn.XLOOKUP(tbl_Transactions[[#This Row],[Type]],Type[Trans_Type],Type[Type_Code],"",0)</f>
        <v/>
      </c>
    </row>
    <row r="126" spans="1:10" ht="19.5" customHeight="1">
      <c r="A126" t="str">
        <f t="shared" si="1"/>
        <v/>
      </c>
      <c r="C126" s="17"/>
      <c r="D126" t="str">
        <f>IFERROR(_xlfn.XLOOKUP(C126,Master_Employee[Emp_ID],Master_Employee[Name_AR],"",0),"")</f>
        <v/>
      </c>
      <c r="E126" t="str">
        <f>IFERROR(_xlfn.XLOOKUP(C126,Master_Employee[Emp_ID],Master_Employee[Name_EN],"",0),"")</f>
        <v/>
      </c>
      <c r="F126" t="str">
        <f>IFERROR(_xlfn.XLOOKUP(C126,Master_Employee[Emp_ID],Master_Employee[Department],"",0),"")</f>
        <v/>
      </c>
      <c r="H126" s="69"/>
      <c r="J126" t="str">
        <f>_xlfn.XLOOKUP(tbl_Transactions[[#This Row],[Type]],Type[Trans_Type],Type[Type_Code],"",0)</f>
        <v/>
      </c>
    </row>
    <row r="127" spans="1:10" ht="19.5" customHeight="1">
      <c r="A127" t="str">
        <f t="shared" si="1"/>
        <v/>
      </c>
      <c r="C127" s="17"/>
      <c r="D127" t="str">
        <f>IFERROR(_xlfn.XLOOKUP(C127,Master_Employee[Emp_ID],Master_Employee[Name_AR],"",0),"")</f>
        <v/>
      </c>
      <c r="E127" t="str">
        <f>IFERROR(_xlfn.XLOOKUP(C127,Master_Employee[Emp_ID],Master_Employee[Name_EN],"",0),"")</f>
        <v/>
      </c>
      <c r="F127" t="str">
        <f>IFERROR(_xlfn.XLOOKUP(C127,Master_Employee[Emp_ID],Master_Employee[Department],"",0),"")</f>
        <v/>
      </c>
      <c r="H127" s="69"/>
      <c r="J127" t="str">
        <f>_xlfn.XLOOKUP(tbl_Transactions[[#This Row],[Type]],Type[Trans_Type],Type[Type_Code],"",0)</f>
        <v/>
      </c>
    </row>
    <row r="128" spans="1:10" ht="19.5" customHeight="1">
      <c r="A128" t="str">
        <f t="shared" si="1"/>
        <v/>
      </c>
      <c r="C128" s="17"/>
      <c r="D128" t="str">
        <f>IFERROR(_xlfn.XLOOKUP(C128,Master_Employee[Emp_ID],Master_Employee[Name_AR],"",0),"")</f>
        <v/>
      </c>
      <c r="E128" t="str">
        <f>IFERROR(_xlfn.XLOOKUP(C128,Master_Employee[Emp_ID],Master_Employee[Name_EN],"",0),"")</f>
        <v/>
      </c>
      <c r="F128" t="str">
        <f>IFERROR(_xlfn.XLOOKUP(C128,Master_Employee[Emp_ID],Master_Employee[Department],"",0),"")</f>
        <v/>
      </c>
      <c r="H128" s="69"/>
      <c r="J128" t="str">
        <f>_xlfn.XLOOKUP(tbl_Transactions[[#This Row],[Type]],Type[Trans_Type],Type[Type_Code],"",0)</f>
        <v/>
      </c>
    </row>
    <row r="129" spans="1:10" ht="19.5" customHeight="1">
      <c r="A129" t="str">
        <f t="shared" si="1"/>
        <v/>
      </c>
      <c r="C129" s="17"/>
      <c r="D129" t="str">
        <f>IFERROR(_xlfn.XLOOKUP(C129,Master_Employee[Emp_ID],Master_Employee[Name_AR],"",0),"")</f>
        <v/>
      </c>
      <c r="E129" t="str">
        <f>IFERROR(_xlfn.XLOOKUP(C129,Master_Employee[Emp_ID],Master_Employee[Name_EN],"",0),"")</f>
        <v/>
      </c>
      <c r="F129" t="str">
        <f>IFERROR(_xlfn.XLOOKUP(C129,Master_Employee[Emp_ID],Master_Employee[Department],"",0),"")</f>
        <v/>
      </c>
      <c r="H129" s="69"/>
      <c r="J129" t="str">
        <f>_xlfn.XLOOKUP(tbl_Transactions[[#This Row],[Type]],Type[Trans_Type],Type[Type_Code],"",0)</f>
        <v/>
      </c>
    </row>
    <row r="130" spans="1:10" ht="19.5" customHeight="1">
      <c r="A130" t="str">
        <f t="shared" si="1"/>
        <v/>
      </c>
      <c r="C130" s="17"/>
      <c r="D130" t="str">
        <f>IFERROR(_xlfn.XLOOKUP(C130,Master_Employee[Emp_ID],Master_Employee[Name_AR],"",0),"")</f>
        <v/>
      </c>
      <c r="E130" t="str">
        <f>IFERROR(_xlfn.XLOOKUP(C130,Master_Employee[Emp_ID],Master_Employee[Name_EN],"",0),"")</f>
        <v/>
      </c>
      <c r="F130" t="str">
        <f>IFERROR(_xlfn.XLOOKUP(C130,Master_Employee[Emp_ID],Master_Employee[Department],"",0),"")</f>
        <v/>
      </c>
      <c r="H130" s="69"/>
      <c r="J130" t="str">
        <f>_xlfn.XLOOKUP(tbl_Transactions[[#This Row],[Type]],Type[Trans_Type],Type[Type_Code],"",0)</f>
        <v/>
      </c>
    </row>
    <row r="131" spans="1:10" ht="19.5" customHeight="1">
      <c r="A131" t="str">
        <f t="shared" si="1"/>
        <v/>
      </c>
      <c r="C131" s="17"/>
      <c r="D131" t="str">
        <f>IFERROR(_xlfn.XLOOKUP(C131,Master_Employee[Emp_ID],Master_Employee[Name_AR],"",0),"")</f>
        <v/>
      </c>
      <c r="E131" t="str">
        <f>IFERROR(_xlfn.XLOOKUP(C131,Master_Employee[Emp_ID],Master_Employee[Name_EN],"",0),"")</f>
        <v/>
      </c>
      <c r="F131" t="str">
        <f>IFERROR(_xlfn.XLOOKUP(C131,Master_Employee[Emp_ID],Master_Employee[Department],"",0),"")</f>
        <v/>
      </c>
      <c r="H131" s="69"/>
      <c r="J131" t="str">
        <f>_xlfn.XLOOKUP(tbl_Transactions[[#This Row],[Type]],Type[Trans_Type],Type[Type_Code],"",0)</f>
        <v/>
      </c>
    </row>
    <row r="132" spans="1:10" ht="19.5" customHeight="1">
      <c r="A132" t="str">
        <f t="shared" si="1"/>
        <v/>
      </c>
      <c r="C132" s="17"/>
      <c r="D132" t="str">
        <f>IFERROR(_xlfn.XLOOKUP(C132,Master_Employee[Emp_ID],Master_Employee[Name_AR],"",0),"")</f>
        <v/>
      </c>
      <c r="E132" t="str">
        <f>IFERROR(_xlfn.XLOOKUP(C132,Master_Employee[Emp_ID],Master_Employee[Name_EN],"",0),"")</f>
        <v/>
      </c>
      <c r="F132" t="str">
        <f>IFERROR(_xlfn.XLOOKUP(C132,Master_Employee[Emp_ID],Master_Employee[Department],"",0),"")</f>
        <v/>
      </c>
      <c r="H132" s="69"/>
      <c r="J132" t="str">
        <f>_xlfn.XLOOKUP(tbl_Transactions[[#This Row],[Type]],Type[Trans_Type],Type[Type_Code],"",0)</f>
        <v/>
      </c>
    </row>
    <row r="133" spans="1:10" ht="19.5" customHeight="1">
      <c r="A133" t="str">
        <f t="shared" si="1"/>
        <v/>
      </c>
      <c r="C133" s="17"/>
      <c r="D133" t="str">
        <f>IFERROR(_xlfn.XLOOKUP(C133,Master_Employee[Emp_ID],Master_Employee[Name_AR],"",0),"")</f>
        <v/>
      </c>
      <c r="E133" t="str">
        <f>IFERROR(_xlfn.XLOOKUP(C133,Master_Employee[Emp_ID],Master_Employee[Name_EN],"",0),"")</f>
        <v/>
      </c>
      <c r="F133" t="str">
        <f>IFERROR(_xlfn.XLOOKUP(C133,Master_Employee[Emp_ID],Master_Employee[Department],"",0),"")</f>
        <v/>
      </c>
      <c r="H133" s="69"/>
      <c r="J133" t="str">
        <f>_xlfn.XLOOKUP(tbl_Transactions[[#This Row],[Type]],Type[Trans_Type],Type[Type_Code],"",0)</f>
        <v/>
      </c>
    </row>
    <row r="134" spans="1:10" ht="19.5" customHeight="1">
      <c r="A134" t="str">
        <f t="shared" si="1"/>
        <v/>
      </c>
      <c r="C134" s="17"/>
      <c r="D134" t="str">
        <f>IFERROR(_xlfn.XLOOKUP(C134,Master_Employee[Emp_ID],Master_Employee[Name_AR],"",0),"")</f>
        <v/>
      </c>
      <c r="E134" t="str">
        <f>IFERROR(_xlfn.XLOOKUP(C134,Master_Employee[Emp_ID],Master_Employee[Name_EN],"",0),"")</f>
        <v/>
      </c>
      <c r="F134" t="str">
        <f>IFERROR(_xlfn.XLOOKUP(C134,Master_Employee[Emp_ID],Master_Employee[Department],"",0),"")</f>
        <v/>
      </c>
      <c r="H134" s="69"/>
      <c r="J134" t="str">
        <f>_xlfn.XLOOKUP(tbl_Transactions[[#This Row],[Type]],Type[Trans_Type],Type[Type_Code],"",0)</f>
        <v/>
      </c>
    </row>
    <row r="135" spans="1:10" ht="19.5" customHeight="1">
      <c r="A135" t="str">
        <f t="shared" ref="A135:A198" si="2">IFERROR(IF(C135="","",ROW()-2),"")</f>
        <v/>
      </c>
      <c r="C135" s="17"/>
      <c r="D135" t="str">
        <f>IFERROR(_xlfn.XLOOKUP(C135,Master_Employee[Emp_ID],Master_Employee[Name_AR],"",0),"")</f>
        <v/>
      </c>
      <c r="E135" t="str">
        <f>IFERROR(_xlfn.XLOOKUP(C135,Master_Employee[Emp_ID],Master_Employee[Name_EN],"",0),"")</f>
        <v/>
      </c>
      <c r="F135" t="str">
        <f>IFERROR(_xlfn.XLOOKUP(C135,Master_Employee[Emp_ID],Master_Employee[Department],"",0),"")</f>
        <v/>
      </c>
      <c r="H135" s="69"/>
      <c r="J135" t="str">
        <f>_xlfn.XLOOKUP(tbl_Transactions[[#This Row],[Type]],Type[Trans_Type],Type[Type_Code],"",0)</f>
        <v/>
      </c>
    </row>
    <row r="136" spans="1:10" ht="19.5" customHeight="1">
      <c r="A136" t="str">
        <f t="shared" si="2"/>
        <v/>
      </c>
      <c r="C136" s="17"/>
      <c r="D136" t="str">
        <f>IFERROR(_xlfn.XLOOKUP(C136,Master_Employee[Emp_ID],Master_Employee[Name_AR],"",0),"")</f>
        <v/>
      </c>
      <c r="E136" t="str">
        <f>IFERROR(_xlfn.XLOOKUP(C136,Master_Employee[Emp_ID],Master_Employee[Name_EN],"",0),"")</f>
        <v/>
      </c>
      <c r="F136" t="str">
        <f>IFERROR(_xlfn.XLOOKUP(C136,Master_Employee[Emp_ID],Master_Employee[Department],"",0),"")</f>
        <v/>
      </c>
      <c r="H136" s="69"/>
      <c r="J136" t="str">
        <f>_xlfn.XLOOKUP(tbl_Transactions[[#This Row],[Type]],Type[Trans_Type],Type[Type_Code],"",0)</f>
        <v/>
      </c>
    </row>
    <row r="137" spans="1:10" ht="19.5" customHeight="1">
      <c r="A137" t="str">
        <f t="shared" si="2"/>
        <v/>
      </c>
      <c r="C137" s="17"/>
      <c r="D137" t="str">
        <f>IFERROR(_xlfn.XLOOKUP(C137,Master_Employee[Emp_ID],Master_Employee[Name_AR],"",0),"")</f>
        <v/>
      </c>
      <c r="E137" t="str">
        <f>IFERROR(_xlfn.XLOOKUP(C137,Master_Employee[Emp_ID],Master_Employee[Name_EN],"",0),"")</f>
        <v/>
      </c>
      <c r="F137" t="str">
        <f>IFERROR(_xlfn.XLOOKUP(C137,Master_Employee[Emp_ID],Master_Employee[Department],"",0),"")</f>
        <v/>
      </c>
      <c r="H137" s="69"/>
      <c r="J137" t="str">
        <f>_xlfn.XLOOKUP(tbl_Transactions[[#This Row],[Type]],Type[Trans_Type],Type[Type_Code],"",0)</f>
        <v/>
      </c>
    </row>
    <row r="138" spans="1:10" ht="19.5" customHeight="1">
      <c r="A138" t="str">
        <f t="shared" si="2"/>
        <v/>
      </c>
      <c r="C138" s="17"/>
      <c r="D138" t="str">
        <f>IFERROR(_xlfn.XLOOKUP(C138,Master_Employee[Emp_ID],Master_Employee[Name_AR],"",0),"")</f>
        <v/>
      </c>
      <c r="E138" t="str">
        <f>IFERROR(_xlfn.XLOOKUP(C138,Master_Employee[Emp_ID],Master_Employee[Name_EN],"",0),"")</f>
        <v/>
      </c>
      <c r="F138" t="str">
        <f>IFERROR(_xlfn.XLOOKUP(C138,Master_Employee[Emp_ID],Master_Employee[Department],"",0),"")</f>
        <v/>
      </c>
      <c r="H138" s="69"/>
      <c r="J138" t="str">
        <f>_xlfn.XLOOKUP(tbl_Transactions[[#This Row],[Type]],Type[Trans_Type],Type[Type_Code],"",0)</f>
        <v/>
      </c>
    </row>
    <row r="139" spans="1:10" ht="19.5" customHeight="1">
      <c r="A139" t="str">
        <f t="shared" si="2"/>
        <v/>
      </c>
      <c r="C139" s="17"/>
      <c r="D139" t="str">
        <f>IFERROR(_xlfn.XLOOKUP(C139,Master_Employee[Emp_ID],Master_Employee[Name_AR],"",0),"")</f>
        <v/>
      </c>
      <c r="E139" t="str">
        <f>IFERROR(_xlfn.XLOOKUP(C139,Master_Employee[Emp_ID],Master_Employee[Name_EN],"",0),"")</f>
        <v/>
      </c>
      <c r="F139" t="str">
        <f>IFERROR(_xlfn.XLOOKUP(C139,Master_Employee[Emp_ID],Master_Employee[Department],"",0),"")</f>
        <v/>
      </c>
      <c r="H139" s="69"/>
      <c r="J139" t="str">
        <f>_xlfn.XLOOKUP(tbl_Transactions[[#This Row],[Type]],Type[Trans_Type],Type[Type_Code],"",0)</f>
        <v/>
      </c>
    </row>
    <row r="140" spans="1:10" ht="19.5" customHeight="1">
      <c r="A140" t="str">
        <f t="shared" si="2"/>
        <v/>
      </c>
      <c r="C140" s="17"/>
      <c r="D140" t="str">
        <f>IFERROR(_xlfn.XLOOKUP(C140,Master_Employee[Emp_ID],Master_Employee[Name_AR],"",0),"")</f>
        <v/>
      </c>
      <c r="E140" t="str">
        <f>IFERROR(_xlfn.XLOOKUP(C140,Master_Employee[Emp_ID],Master_Employee[Name_EN],"",0),"")</f>
        <v/>
      </c>
      <c r="F140" t="str">
        <f>IFERROR(_xlfn.XLOOKUP(C140,Master_Employee[Emp_ID],Master_Employee[Department],"",0),"")</f>
        <v/>
      </c>
      <c r="H140" s="69"/>
      <c r="J140" t="str">
        <f>_xlfn.XLOOKUP(tbl_Transactions[[#This Row],[Type]],Type[Trans_Type],Type[Type_Code],"",0)</f>
        <v/>
      </c>
    </row>
    <row r="141" spans="1:10" ht="19.5" customHeight="1">
      <c r="A141" t="str">
        <f t="shared" si="2"/>
        <v/>
      </c>
      <c r="C141" s="17"/>
      <c r="D141" t="str">
        <f>IFERROR(_xlfn.XLOOKUP(C141,Master_Employee[Emp_ID],Master_Employee[Name_AR],"",0),"")</f>
        <v/>
      </c>
      <c r="E141" t="str">
        <f>IFERROR(_xlfn.XLOOKUP(C141,Master_Employee[Emp_ID],Master_Employee[Name_EN],"",0),"")</f>
        <v/>
      </c>
      <c r="F141" t="str">
        <f>IFERROR(_xlfn.XLOOKUP(C141,Master_Employee[Emp_ID],Master_Employee[Department],"",0),"")</f>
        <v/>
      </c>
      <c r="H141" s="69"/>
      <c r="J141" t="str">
        <f>_xlfn.XLOOKUP(tbl_Transactions[[#This Row],[Type]],Type[Trans_Type],Type[Type_Code],"",0)</f>
        <v/>
      </c>
    </row>
    <row r="142" spans="1:10" ht="19.5" customHeight="1">
      <c r="A142" t="str">
        <f t="shared" si="2"/>
        <v/>
      </c>
      <c r="C142" s="17"/>
      <c r="D142" t="str">
        <f>IFERROR(_xlfn.XLOOKUP(C142,Master_Employee[Emp_ID],Master_Employee[Name_AR],"",0),"")</f>
        <v/>
      </c>
      <c r="E142" t="str">
        <f>IFERROR(_xlfn.XLOOKUP(C142,Master_Employee[Emp_ID],Master_Employee[Name_EN],"",0),"")</f>
        <v/>
      </c>
      <c r="F142" t="str">
        <f>IFERROR(_xlfn.XLOOKUP(C142,Master_Employee[Emp_ID],Master_Employee[Department],"",0),"")</f>
        <v/>
      </c>
      <c r="H142" s="69"/>
      <c r="J142" t="str">
        <f>_xlfn.XLOOKUP(tbl_Transactions[[#This Row],[Type]],Type[Trans_Type],Type[Type_Code],"",0)</f>
        <v/>
      </c>
    </row>
    <row r="143" spans="1:10" ht="19.5" customHeight="1">
      <c r="A143" t="str">
        <f t="shared" si="2"/>
        <v/>
      </c>
      <c r="C143" s="17"/>
      <c r="D143" t="str">
        <f>IFERROR(_xlfn.XLOOKUP(C143,Master_Employee[Emp_ID],Master_Employee[Name_AR],"",0),"")</f>
        <v/>
      </c>
      <c r="E143" t="str">
        <f>IFERROR(_xlfn.XLOOKUP(C143,Master_Employee[Emp_ID],Master_Employee[Name_EN],"",0),"")</f>
        <v/>
      </c>
      <c r="F143" t="str">
        <f>IFERROR(_xlfn.XLOOKUP(C143,Master_Employee[Emp_ID],Master_Employee[Department],"",0),"")</f>
        <v/>
      </c>
      <c r="H143" s="69"/>
      <c r="J143" t="str">
        <f>_xlfn.XLOOKUP(tbl_Transactions[[#This Row],[Type]],Type[Trans_Type],Type[Type_Code],"",0)</f>
        <v/>
      </c>
    </row>
    <row r="144" spans="1:10" ht="19.5" customHeight="1">
      <c r="A144" t="str">
        <f t="shared" si="2"/>
        <v/>
      </c>
      <c r="C144" s="17"/>
      <c r="D144" t="str">
        <f>IFERROR(_xlfn.XLOOKUP(C144,Master_Employee[Emp_ID],Master_Employee[Name_AR],"",0),"")</f>
        <v/>
      </c>
      <c r="E144" t="str">
        <f>IFERROR(_xlfn.XLOOKUP(C144,Master_Employee[Emp_ID],Master_Employee[Name_EN],"",0),"")</f>
        <v/>
      </c>
      <c r="F144" t="str">
        <f>IFERROR(_xlfn.XLOOKUP(C144,Master_Employee[Emp_ID],Master_Employee[Department],"",0),"")</f>
        <v/>
      </c>
      <c r="H144" s="69"/>
      <c r="J144" t="str">
        <f>_xlfn.XLOOKUP(tbl_Transactions[[#This Row],[Type]],Type[Trans_Type],Type[Type_Code],"",0)</f>
        <v/>
      </c>
    </row>
    <row r="145" spans="1:10" ht="19.5" customHeight="1">
      <c r="A145" t="str">
        <f t="shared" si="2"/>
        <v/>
      </c>
      <c r="C145" s="17"/>
      <c r="D145" t="str">
        <f>IFERROR(_xlfn.XLOOKUP(C145,Master_Employee[Emp_ID],Master_Employee[Name_AR],"",0),"")</f>
        <v/>
      </c>
      <c r="E145" t="str">
        <f>IFERROR(_xlfn.XLOOKUP(C145,Master_Employee[Emp_ID],Master_Employee[Name_EN],"",0),"")</f>
        <v/>
      </c>
      <c r="F145" t="str">
        <f>IFERROR(_xlfn.XLOOKUP(C145,Master_Employee[Emp_ID],Master_Employee[Department],"",0),"")</f>
        <v/>
      </c>
      <c r="H145" s="69"/>
      <c r="J145" t="str">
        <f>_xlfn.XLOOKUP(tbl_Transactions[[#This Row],[Type]],Type[Trans_Type],Type[Type_Code],"",0)</f>
        <v/>
      </c>
    </row>
    <row r="146" spans="1:10" ht="19.5" customHeight="1">
      <c r="A146" t="str">
        <f t="shared" si="2"/>
        <v/>
      </c>
      <c r="C146" s="17"/>
      <c r="D146" t="str">
        <f>IFERROR(_xlfn.XLOOKUP(C146,Master_Employee[Emp_ID],Master_Employee[Name_AR],"",0),"")</f>
        <v/>
      </c>
      <c r="E146" t="str">
        <f>IFERROR(_xlfn.XLOOKUP(C146,Master_Employee[Emp_ID],Master_Employee[Name_EN],"",0),"")</f>
        <v/>
      </c>
      <c r="F146" t="str">
        <f>IFERROR(_xlfn.XLOOKUP(C146,Master_Employee[Emp_ID],Master_Employee[Department],"",0),"")</f>
        <v/>
      </c>
      <c r="H146" s="69"/>
      <c r="J146" t="str">
        <f>_xlfn.XLOOKUP(tbl_Transactions[[#This Row],[Type]],Type[Trans_Type],Type[Type_Code],"",0)</f>
        <v/>
      </c>
    </row>
    <row r="147" spans="1:10" ht="19.5" customHeight="1">
      <c r="A147" t="str">
        <f t="shared" si="2"/>
        <v/>
      </c>
      <c r="C147" s="17"/>
      <c r="D147" t="str">
        <f>IFERROR(_xlfn.XLOOKUP(C147,Master_Employee[Emp_ID],Master_Employee[Name_AR],"",0),"")</f>
        <v/>
      </c>
      <c r="E147" t="str">
        <f>IFERROR(_xlfn.XLOOKUP(C147,Master_Employee[Emp_ID],Master_Employee[Name_EN],"",0),"")</f>
        <v/>
      </c>
      <c r="F147" t="str">
        <f>IFERROR(_xlfn.XLOOKUP(C147,Master_Employee[Emp_ID],Master_Employee[Department],"",0),"")</f>
        <v/>
      </c>
      <c r="H147" s="69"/>
      <c r="J147" t="str">
        <f>_xlfn.XLOOKUP(tbl_Transactions[[#This Row],[Type]],Type[Trans_Type],Type[Type_Code],"",0)</f>
        <v/>
      </c>
    </row>
    <row r="148" spans="1:10" ht="19.5" customHeight="1">
      <c r="A148" t="str">
        <f t="shared" si="2"/>
        <v/>
      </c>
      <c r="C148" s="17"/>
      <c r="D148" t="str">
        <f>IFERROR(_xlfn.XLOOKUP(C148,Master_Employee[Emp_ID],Master_Employee[Name_AR],"",0),"")</f>
        <v/>
      </c>
      <c r="E148" t="str">
        <f>IFERROR(_xlfn.XLOOKUP(C148,Master_Employee[Emp_ID],Master_Employee[Name_EN],"",0),"")</f>
        <v/>
      </c>
      <c r="F148" t="str">
        <f>IFERROR(_xlfn.XLOOKUP(C148,Master_Employee[Emp_ID],Master_Employee[Department],"",0),"")</f>
        <v/>
      </c>
      <c r="H148" s="69"/>
      <c r="J148" t="str">
        <f>_xlfn.XLOOKUP(tbl_Transactions[[#This Row],[Type]],Type[Trans_Type],Type[Type_Code],"",0)</f>
        <v/>
      </c>
    </row>
    <row r="149" spans="1:10" ht="19.5" customHeight="1">
      <c r="A149" t="str">
        <f t="shared" si="2"/>
        <v/>
      </c>
      <c r="C149" s="17"/>
      <c r="D149" t="str">
        <f>IFERROR(_xlfn.XLOOKUP(C149,Master_Employee[Emp_ID],Master_Employee[Name_AR],"",0),"")</f>
        <v/>
      </c>
      <c r="E149" t="str">
        <f>IFERROR(_xlfn.XLOOKUP(C149,Master_Employee[Emp_ID],Master_Employee[Name_EN],"",0),"")</f>
        <v/>
      </c>
      <c r="F149" t="str">
        <f>IFERROR(_xlfn.XLOOKUP(C149,Master_Employee[Emp_ID],Master_Employee[Department],"",0),"")</f>
        <v/>
      </c>
      <c r="H149" s="69"/>
      <c r="J149" t="str">
        <f>_xlfn.XLOOKUP(tbl_Transactions[[#This Row],[Type]],Type[Trans_Type],Type[Type_Code],"",0)</f>
        <v/>
      </c>
    </row>
    <row r="150" spans="1:10" ht="19.5" customHeight="1">
      <c r="A150" t="str">
        <f t="shared" si="2"/>
        <v/>
      </c>
      <c r="C150" s="17"/>
      <c r="D150" t="str">
        <f>IFERROR(_xlfn.XLOOKUP(C150,Master_Employee[Emp_ID],Master_Employee[Name_AR],"",0),"")</f>
        <v/>
      </c>
      <c r="E150" t="str">
        <f>IFERROR(_xlfn.XLOOKUP(C150,Master_Employee[Emp_ID],Master_Employee[Name_EN],"",0),"")</f>
        <v/>
      </c>
      <c r="F150" t="str">
        <f>IFERROR(_xlfn.XLOOKUP(C150,Master_Employee[Emp_ID],Master_Employee[Department],"",0),"")</f>
        <v/>
      </c>
      <c r="H150" s="69"/>
      <c r="J150" t="str">
        <f>_xlfn.XLOOKUP(tbl_Transactions[[#This Row],[Type]],Type[Trans_Type],Type[Type_Code],"",0)</f>
        <v/>
      </c>
    </row>
    <row r="151" spans="1:10" ht="19.5" customHeight="1">
      <c r="A151" t="str">
        <f t="shared" si="2"/>
        <v/>
      </c>
      <c r="C151" s="17"/>
      <c r="D151" t="str">
        <f>IFERROR(_xlfn.XLOOKUP(C151,Master_Employee[Emp_ID],Master_Employee[Name_AR],"",0),"")</f>
        <v/>
      </c>
      <c r="E151" t="str">
        <f>IFERROR(_xlfn.XLOOKUP(C151,Master_Employee[Emp_ID],Master_Employee[Name_EN],"",0),"")</f>
        <v/>
      </c>
      <c r="F151" t="str">
        <f>IFERROR(_xlfn.XLOOKUP(C151,Master_Employee[Emp_ID],Master_Employee[Department],"",0),"")</f>
        <v/>
      </c>
      <c r="H151" s="69"/>
      <c r="J151" t="str">
        <f>_xlfn.XLOOKUP(tbl_Transactions[[#This Row],[Type]],Type[Trans_Type],Type[Type_Code],"",0)</f>
        <v/>
      </c>
    </row>
    <row r="152" spans="1:10" ht="19.5" customHeight="1">
      <c r="A152" t="str">
        <f t="shared" si="2"/>
        <v/>
      </c>
      <c r="C152" s="17"/>
      <c r="D152" t="str">
        <f>IFERROR(_xlfn.XLOOKUP(C152,Master_Employee[Emp_ID],Master_Employee[Name_AR],"",0),"")</f>
        <v/>
      </c>
      <c r="E152" t="str">
        <f>IFERROR(_xlfn.XLOOKUP(C152,Master_Employee[Emp_ID],Master_Employee[Name_EN],"",0),"")</f>
        <v/>
      </c>
      <c r="F152" t="str">
        <f>IFERROR(_xlfn.XLOOKUP(C152,Master_Employee[Emp_ID],Master_Employee[Department],"",0),"")</f>
        <v/>
      </c>
      <c r="H152" s="69"/>
      <c r="J152" t="str">
        <f>_xlfn.XLOOKUP(tbl_Transactions[[#This Row],[Type]],Type[Trans_Type],Type[Type_Code],"",0)</f>
        <v/>
      </c>
    </row>
    <row r="153" spans="1:10" ht="19.5" customHeight="1">
      <c r="A153" t="str">
        <f t="shared" si="2"/>
        <v/>
      </c>
      <c r="C153" s="17"/>
      <c r="D153" t="str">
        <f>IFERROR(_xlfn.XLOOKUP(C153,Master_Employee[Emp_ID],Master_Employee[Name_AR],"",0),"")</f>
        <v/>
      </c>
      <c r="E153" t="str">
        <f>IFERROR(_xlfn.XLOOKUP(C153,Master_Employee[Emp_ID],Master_Employee[Name_EN],"",0),"")</f>
        <v/>
      </c>
      <c r="F153" t="str">
        <f>IFERROR(_xlfn.XLOOKUP(C153,Master_Employee[Emp_ID],Master_Employee[Department],"",0),"")</f>
        <v/>
      </c>
      <c r="H153" s="69"/>
      <c r="J153" t="str">
        <f>_xlfn.XLOOKUP(tbl_Transactions[[#This Row],[Type]],Type[Trans_Type],Type[Type_Code],"",0)</f>
        <v/>
      </c>
    </row>
    <row r="154" spans="1:10" ht="19.5" customHeight="1">
      <c r="A154" t="str">
        <f t="shared" si="2"/>
        <v/>
      </c>
      <c r="C154" s="17"/>
      <c r="D154" t="str">
        <f>IFERROR(_xlfn.XLOOKUP(C154,Master_Employee[Emp_ID],Master_Employee[Name_AR],"",0),"")</f>
        <v/>
      </c>
      <c r="E154" t="str">
        <f>IFERROR(_xlfn.XLOOKUP(C154,Master_Employee[Emp_ID],Master_Employee[Name_EN],"",0),"")</f>
        <v/>
      </c>
      <c r="F154" t="str">
        <f>IFERROR(_xlfn.XLOOKUP(C154,Master_Employee[Emp_ID],Master_Employee[Department],"",0),"")</f>
        <v/>
      </c>
      <c r="H154" s="69"/>
      <c r="J154" t="str">
        <f>_xlfn.XLOOKUP(tbl_Transactions[[#This Row],[Type]],Type[Trans_Type],Type[Type_Code],"",0)</f>
        <v/>
      </c>
    </row>
    <row r="155" spans="1:10" ht="19.5" customHeight="1">
      <c r="A155" t="str">
        <f t="shared" si="2"/>
        <v/>
      </c>
      <c r="C155" s="17"/>
      <c r="D155" t="str">
        <f>IFERROR(_xlfn.XLOOKUP(C155,Master_Employee[Emp_ID],Master_Employee[Name_AR],"",0),"")</f>
        <v/>
      </c>
      <c r="E155" t="str">
        <f>IFERROR(_xlfn.XLOOKUP(C155,Master_Employee[Emp_ID],Master_Employee[Name_EN],"",0),"")</f>
        <v/>
      </c>
      <c r="F155" t="str">
        <f>IFERROR(_xlfn.XLOOKUP(C155,Master_Employee[Emp_ID],Master_Employee[Department],"",0),"")</f>
        <v/>
      </c>
      <c r="H155" s="69"/>
      <c r="J155" t="str">
        <f>_xlfn.XLOOKUP(tbl_Transactions[[#This Row],[Type]],Type[Trans_Type],Type[Type_Code],"",0)</f>
        <v/>
      </c>
    </row>
    <row r="156" spans="1:10" ht="19.5" customHeight="1">
      <c r="A156" t="str">
        <f t="shared" si="2"/>
        <v/>
      </c>
      <c r="C156" s="17"/>
      <c r="D156" t="str">
        <f>IFERROR(_xlfn.XLOOKUP(C156,Master_Employee[Emp_ID],Master_Employee[Name_AR],"",0),"")</f>
        <v/>
      </c>
      <c r="E156" t="str">
        <f>IFERROR(_xlfn.XLOOKUP(C156,Master_Employee[Emp_ID],Master_Employee[Name_EN],"",0),"")</f>
        <v/>
      </c>
      <c r="F156" t="str">
        <f>IFERROR(_xlfn.XLOOKUP(C156,Master_Employee[Emp_ID],Master_Employee[Department],"",0),"")</f>
        <v/>
      </c>
      <c r="H156" s="69"/>
      <c r="J156" t="str">
        <f>_xlfn.XLOOKUP(tbl_Transactions[[#This Row],[Type]],Type[Trans_Type],Type[Type_Code],"",0)</f>
        <v/>
      </c>
    </row>
    <row r="157" spans="1:10" ht="19.5" customHeight="1">
      <c r="A157" t="str">
        <f t="shared" si="2"/>
        <v/>
      </c>
      <c r="C157" s="17"/>
      <c r="D157" t="str">
        <f>IFERROR(_xlfn.XLOOKUP(C157,Master_Employee[Emp_ID],Master_Employee[Name_AR],"",0),"")</f>
        <v/>
      </c>
      <c r="E157" t="str">
        <f>IFERROR(_xlfn.XLOOKUP(C157,Master_Employee[Emp_ID],Master_Employee[Name_EN],"",0),"")</f>
        <v/>
      </c>
      <c r="F157" t="str">
        <f>IFERROR(_xlfn.XLOOKUP(C157,Master_Employee[Emp_ID],Master_Employee[Department],"",0),"")</f>
        <v/>
      </c>
      <c r="H157" s="69"/>
      <c r="J157" t="str">
        <f>_xlfn.XLOOKUP(tbl_Transactions[[#This Row],[Type]],Type[Trans_Type],Type[Type_Code],"",0)</f>
        <v/>
      </c>
    </row>
    <row r="158" spans="1:10" ht="19.5" customHeight="1">
      <c r="A158" t="str">
        <f t="shared" si="2"/>
        <v/>
      </c>
      <c r="C158" s="17"/>
      <c r="D158" t="str">
        <f>IFERROR(_xlfn.XLOOKUP(C158,Master_Employee[Emp_ID],Master_Employee[Name_AR],"",0),"")</f>
        <v/>
      </c>
      <c r="E158" t="str">
        <f>IFERROR(_xlfn.XLOOKUP(C158,Master_Employee[Emp_ID],Master_Employee[Name_EN],"",0),"")</f>
        <v/>
      </c>
      <c r="F158" t="str">
        <f>IFERROR(_xlfn.XLOOKUP(C158,Master_Employee[Emp_ID],Master_Employee[Department],"",0),"")</f>
        <v/>
      </c>
      <c r="H158" s="69"/>
      <c r="J158" t="str">
        <f>_xlfn.XLOOKUP(tbl_Transactions[[#This Row],[Type]],Type[Trans_Type],Type[Type_Code],"",0)</f>
        <v/>
      </c>
    </row>
    <row r="159" spans="1:10" ht="19.5" customHeight="1">
      <c r="A159" t="str">
        <f t="shared" si="2"/>
        <v/>
      </c>
      <c r="C159" s="17"/>
      <c r="D159" t="str">
        <f>IFERROR(_xlfn.XLOOKUP(C159,Master_Employee[Emp_ID],Master_Employee[Name_AR],"",0),"")</f>
        <v/>
      </c>
      <c r="E159" t="str">
        <f>IFERROR(_xlfn.XLOOKUP(C159,Master_Employee[Emp_ID],Master_Employee[Name_EN],"",0),"")</f>
        <v/>
      </c>
      <c r="F159" t="str">
        <f>IFERROR(_xlfn.XLOOKUP(C159,Master_Employee[Emp_ID],Master_Employee[Department],"",0),"")</f>
        <v/>
      </c>
      <c r="H159" s="69"/>
      <c r="J159" t="str">
        <f>_xlfn.XLOOKUP(tbl_Transactions[[#This Row],[Type]],Type[Trans_Type],Type[Type_Code],"",0)</f>
        <v/>
      </c>
    </row>
    <row r="160" spans="1:10" ht="19.5" customHeight="1">
      <c r="A160" t="str">
        <f t="shared" si="2"/>
        <v/>
      </c>
      <c r="C160" s="17"/>
      <c r="D160" t="str">
        <f>IFERROR(_xlfn.XLOOKUP(C160,Master_Employee[Emp_ID],Master_Employee[Name_AR],"",0),"")</f>
        <v/>
      </c>
      <c r="E160" t="str">
        <f>IFERROR(_xlfn.XLOOKUP(C160,Master_Employee[Emp_ID],Master_Employee[Name_EN],"",0),"")</f>
        <v/>
      </c>
      <c r="F160" t="str">
        <f>IFERROR(_xlfn.XLOOKUP(C160,Master_Employee[Emp_ID],Master_Employee[Department],"",0),"")</f>
        <v/>
      </c>
      <c r="H160" s="69"/>
      <c r="J160" t="str">
        <f>_xlfn.XLOOKUP(tbl_Transactions[[#This Row],[Type]],Type[Trans_Type],Type[Type_Code],"",0)</f>
        <v/>
      </c>
    </row>
    <row r="161" spans="1:10" ht="19.5" customHeight="1">
      <c r="A161" t="str">
        <f t="shared" si="2"/>
        <v/>
      </c>
      <c r="C161" s="17"/>
      <c r="D161" t="str">
        <f>IFERROR(_xlfn.XLOOKUP(C161,Master_Employee[Emp_ID],Master_Employee[Name_AR],"",0),"")</f>
        <v/>
      </c>
      <c r="E161" t="str">
        <f>IFERROR(_xlfn.XLOOKUP(C161,Master_Employee[Emp_ID],Master_Employee[Name_EN],"",0),"")</f>
        <v/>
      </c>
      <c r="F161" t="str">
        <f>IFERROR(_xlfn.XLOOKUP(C161,Master_Employee[Emp_ID],Master_Employee[Department],"",0),"")</f>
        <v/>
      </c>
      <c r="H161" s="69"/>
      <c r="J161" t="str">
        <f>_xlfn.XLOOKUP(tbl_Transactions[[#This Row],[Type]],Type[Trans_Type],Type[Type_Code],"",0)</f>
        <v/>
      </c>
    </row>
    <row r="162" spans="1:10" ht="19.5" customHeight="1">
      <c r="A162" t="str">
        <f t="shared" si="2"/>
        <v/>
      </c>
      <c r="C162" s="17"/>
      <c r="D162" t="str">
        <f>IFERROR(_xlfn.XLOOKUP(C162,Master_Employee[Emp_ID],Master_Employee[Name_AR],"",0),"")</f>
        <v/>
      </c>
      <c r="E162" t="str">
        <f>IFERROR(_xlfn.XLOOKUP(C162,Master_Employee[Emp_ID],Master_Employee[Name_EN],"",0),"")</f>
        <v/>
      </c>
      <c r="F162" t="str">
        <f>IFERROR(_xlfn.XLOOKUP(C162,Master_Employee[Emp_ID],Master_Employee[Department],"",0),"")</f>
        <v/>
      </c>
      <c r="H162" s="69"/>
      <c r="J162" t="str">
        <f>_xlfn.XLOOKUP(tbl_Transactions[[#This Row],[Type]],Type[Trans_Type],Type[Type_Code],"",0)</f>
        <v/>
      </c>
    </row>
    <row r="163" spans="1:10" ht="19.5" customHeight="1">
      <c r="A163" t="str">
        <f t="shared" si="2"/>
        <v/>
      </c>
      <c r="C163" s="17"/>
      <c r="D163" t="str">
        <f>IFERROR(_xlfn.XLOOKUP(C163,Master_Employee[Emp_ID],Master_Employee[Name_AR],"",0),"")</f>
        <v/>
      </c>
      <c r="E163" t="str">
        <f>IFERROR(_xlfn.XLOOKUP(C163,Master_Employee[Emp_ID],Master_Employee[Name_EN],"",0),"")</f>
        <v/>
      </c>
      <c r="F163" t="str">
        <f>IFERROR(_xlfn.XLOOKUP(C163,Master_Employee[Emp_ID],Master_Employee[Department],"",0),"")</f>
        <v/>
      </c>
      <c r="H163" s="69"/>
      <c r="J163" t="str">
        <f>_xlfn.XLOOKUP(tbl_Transactions[[#This Row],[Type]],Type[Trans_Type],Type[Type_Code],"",0)</f>
        <v/>
      </c>
    </row>
    <row r="164" spans="1:10" ht="19.5" customHeight="1">
      <c r="A164" t="str">
        <f t="shared" si="2"/>
        <v/>
      </c>
      <c r="C164" s="17"/>
      <c r="D164" t="str">
        <f>IFERROR(_xlfn.XLOOKUP(C164,Master_Employee[Emp_ID],Master_Employee[Name_AR],"",0),"")</f>
        <v/>
      </c>
      <c r="E164" t="str">
        <f>IFERROR(_xlfn.XLOOKUP(C164,Master_Employee[Emp_ID],Master_Employee[Name_EN],"",0),"")</f>
        <v/>
      </c>
      <c r="F164" t="str">
        <f>IFERROR(_xlfn.XLOOKUP(C164,Master_Employee[Emp_ID],Master_Employee[Department],"",0),"")</f>
        <v/>
      </c>
      <c r="H164" s="69"/>
      <c r="J164" t="str">
        <f>_xlfn.XLOOKUP(tbl_Transactions[[#This Row],[Type]],Type[Trans_Type],Type[Type_Code],"",0)</f>
        <v/>
      </c>
    </row>
    <row r="165" spans="1:10" ht="19.5" customHeight="1">
      <c r="A165" t="str">
        <f t="shared" si="2"/>
        <v/>
      </c>
      <c r="C165" s="17"/>
      <c r="D165" t="str">
        <f>IFERROR(_xlfn.XLOOKUP(C165,Master_Employee[Emp_ID],Master_Employee[Name_AR],"",0),"")</f>
        <v/>
      </c>
      <c r="E165" t="str">
        <f>IFERROR(_xlfn.XLOOKUP(C165,Master_Employee[Emp_ID],Master_Employee[Name_EN],"",0),"")</f>
        <v/>
      </c>
      <c r="F165" t="str">
        <f>IFERROR(_xlfn.XLOOKUP(C165,Master_Employee[Emp_ID],Master_Employee[Department],"",0),"")</f>
        <v/>
      </c>
      <c r="H165" s="69"/>
      <c r="J165" t="str">
        <f>_xlfn.XLOOKUP(tbl_Transactions[[#This Row],[Type]],Type[Trans_Type],Type[Type_Code],"",0)</f>
        <v/>
      </c>
    </row>
    <row r="166" spans="1:10" ht="19.5" customHeight="1">
      <c r="A166" t="str">
        <f t="shared" si="2"/>
        <v/>
      </c>
      <c r="C166" s="17"/>
      <c r="D166" t="str">
        <f>IFERROR(_xlfn.XLOOKUP(C166,Master_Employee[Emp_ID],Master_Employee[Name_AR],"",0),"")</f>
        <v/>
      </c>
      <c r="E166" t="str">
        <f>IFERROR(_xlfn.XLOOKUP(C166,Master_Employee[Emp_ID],Master_Employee[Name_EN],"",0),"")</f>
        <v/>
      </c>
      <c r="F166" t="str">
        <f>IFERROR(_xlfn.XLOOKUP(C166,Master_Employee[Emp_ID],Master_Employee[Department],"",0),"")</f>
        <v/>
      </c>
      <c r="H166" s="69"/>
      <c r="J166" t="str">
        <f>_xlfn.XLOOKUP(tbl_Transactions[[#This Row],[Type]],Type[Trans_Type],Type[Type_Code],"",0)</f>
        <v/>
      </c>
    </row>
    <row r="167" spans="1:10" ht="19.5" customHeight="1">
      <c r="A167" t="str">
        <f t="shared" si="2"/>
        <v/>
      </c>
      <c r="C167" s="17"/>
      <c r="D167" t="str">
        <f>IFERROR(_xlfn.XLOOKUP(C167,Master_Employee[Emp_ID],Master_Employee[Name_AR],"",0),"")</f>
        <v/>
      </c>
      <c r="E167" t="str">
        <f>IFERROR(_xlfn.XLOOKUP(C167,Master_Employee[Emp_ID],Master_Employee[Name_EN],"",0),"")</f>
        <v/>
      </c>
      <c r="F167" t="str">
        <f>IFERROR(_xlfn.XLOOKUP(C167,Master_Employee[Emp_ID],Master_Employee[Department],"",0),"")</f>
        <v/>
      </c>
      <c r="H167" s="69"/>
      <c r="J167" t="str">
        <f>_xlfn.XLOOKUP(tbl_Transactions[[#This Row],[Type]],Type[Trans_Type],Type[Type_Code],"",0)</f>
        <v/>
      </c>
    </row>
    <row r="168" spans="1:10" ht="19.5" customHeight="1">
      <c r="A168" t="str">
        <f t="shared" si="2"/>
        <v/>
      </c>
      <c r="C168" s="17"/>
      <c r="D168" t="str">
        <f>IFERROR(_xlfn.XLOOKUP(C168,Master_Employee[Emp_ID],Master_Employee[Name_AR],"",0),"")</f>
        <v/>
      </c>
      <c r="E168" t="str">
        <f>IFERROR(_xlfn.XLOOKUP(C168,Master_Employee[Emp_ID],Master_Employee[Name_EN],"",0),"")</f>
        <v/>
      </c>
      <c r="F168" t="str">
        <f>IFERROR(_xlfn.XLOOKUP(C168,Master_Employee[Emp_ID],Master_Employee[Department],"",0),"")</f>
        <v/>
      </c>
      <c r="H168" s="69"/>
      <c r="J168" t="str">
        <f>_xlfn.XLOOKUP(tbl_Transactions[[#This Row],[Type]],Type[Trans_Type],Type[Type_Code],"",0)</f>
        <v/>
      </c>
    </row>
    <row r="169" spans="1:10" ht="19.5" customHeight="1">
      <c r="A169" t="str">
        <f t="shared" si="2"/>
        <v/>
      </c>
      <c r="C169" s="17"/>
      <c r="D169" t="str">
        <f>IFERROR(_xlfn.XLOOKUP(C169,Master_Employee[Emp_ID],Master_Employee[Name_AR],"",0),"")</f>
        <v/>
      </c>
      <c r="E169" t="str">
        <f>IFERROR(_xlfn.XLOOKUP(C169,Master_Employee[Emp_ID],Master_Employee[Name_EN],"",0),"")</f>
        <v/>
      </c>
      <c r="F169" t="str">
        <f>IFERROR(_xlfn.XLOOKUP(C169,Master_Employee[Emp_ID],Master_Employee[Department],"",0),"")</f>
        <v/>
      </c>
      <c r="H169" s="69"/>
      <c r="J169" t="str">
        <f>_xlfn.XLOOKUP(tbl_Transactions[[#This Row],[Type]],Type[Trans_Type],Type[Type_Code],"",0)</f>
        <v/>
      </c>
    </row>
    <row r="170" spans="1:10" ht="19.5" customHeight="1">
      <c r="A170" t="str">
        <f t="shared" si="2"/>
        <v/>
      </c>
      <c r="C170" s="17"/>
      <c r="D170" t="str">
        <f>IFERROR(_xlfn.XLOOKUP(C170,Master_Employee[Emp_ID],Master_Employee[Name_AR],"",0),"")</f>
        <v/>
      </c>
      <c r="E170" t="str">
        <f>IFERROR(_xlfn.XLOOKUP(C170,Master_Employee[Emp_ID],Master_Employee[Name_EN],"",0),"")</f>
        <v/>
      </c>
      <c r="F170" t="str">
        <f>IFERROR(_xlfn.XLOOKUP(C170,Master_Employee[Emp_ID],Master_Employee[Department],"",0),"")</f>
        <v/>
      </c>
      <c r="H170" s="69"/>
      <c r="J170" t="str">
        <f>_xlfn.XLOOKUP(tbl_Transactions[[#This Row],[Type]],Type[Trans_Type],Type[Type_Code],"",0)</f>
        <v/>
      </c>
    </row>
    <row r="171" spans="1:10" ht="19.5" customHeight="1">
      <c r="A171" t="str">
        <f t="shared" si="2"/>
        <v/>
      </c>
      <c r="C171" s="17"/>
      <c r="D171" t="str">
        <f>IFERROR(_xlfn.XLOOKUP(C171,Master_Employee[Emp_ID],Master_Employee[Name_AR],"",0),"")</f>
        <v/>
      </c>
      <c r="E171" t="str">
        <f>IFERROR(_xlfn.XLOOKUP(C171,Master_Employee[Emp_ID],Master_Employee[Name_EN],"",0),"")</f>
        <v/>
      </c>
      <c r="F171" t="str">
        <f>IFERROR(_xlfn.XLOOKUP(C171,Master_Employee[Emp_ID],Master_Employee[Department],"",0),"")</f>
        <v/>
      </c>
      <c r="H171" s="69"/>
      <c r="J171" t="str">
        <f>_xlfn.XLOOKUP(tbl_Transactions[[#This Row],[Type]],Type[Trans_Type],Type[Type_Code],"",0)</f>
        <v/>
      </c>
    </row>
    <row r="172" spans="1:10" ht="19.5" customHeight="1">
      <c r="A172" t="str">
        <f t="shared" si="2"/>
        <v/>
      </c>
      <c r="C172" s="17"/>
      <c r="D172" t="str">
        <f>IFERROR(_xlfn.XLOOKUP(C172,Master_Employee[Emp_ID],Master_Employee[Name_AR],"",0),"")</f>
        <v/>
      </c>
      <c r="E172" t="str">
        <f>IFERROR(_xlfn.XLOOKUP(C172,Master_Employee[Emp_ID],Master_Employee[Name_EN],"",0),"")</f>
        <v/>
      </c>
      <c r="F172" t="str">
        <f>IFERROR(_xlfn.XLOOKUP(C172,Master_Employee[Emp_ID],Master_Employee[Department],"",0),"")</f>
        <v/>
      </c>
      <c r="H172" s="69"/>
      <c r="J172" t="str">
        <f>_xlfn.XLOOKUP(tbl_Transactions[[#This Row],[Type]],Type[Trans_Type],Type[Type_Code],"",0)</f>
        <v/>
      </c>
    </row>
    <row r="173" spans="1:10" ht="19.5" customHeight="1">
      <c r="A173" t="str">
        <f t="shared" si="2"/>
        <v/>
      </c>
      <c r="C173" s="17"/>
      <c r="D173" t="str">
        <f>IFERROR(_xlfn.XLOOKUP(C173,Master_Employee[Emp_ID],Master_Employee[Name_AR],"",0),"")</f>
        <v/>
      </c>
      <c r="E173" t="str">
        <f>IFERROR(_xlfn.XLOOKUP(C173,Master_Employee[Emp_ID],Master_Employee[Name_EN],"",0),"")</f>
        <v/>
      </c>
      <c r="F173" t="str">
        <f>IFERROR(_xlfn.XLOOKUP(C173,Master_Employee[Emp_ID],Master_Employee[Department],"",0),"")</f>
        <v/>
      </c>
      <c r="H173" s="69"/>
      <c r="J173" t="str">
        <f>_xlfn.XLOOKUP(tbl_Transactions[[#This Row],[Type]],Type[Trans_Type],Type[Type_Code],"",0)</f>
        <v/>
      </c>
    </row>
    <row r="174" spans="1:10" ht="19.5" customHeight="1">
      <c r="A174" t="str">
        <f t="shared" si="2"/>
        <v/>
      </c>
      <c r="C174" s="17"/>
      <c r="D174" t="str">
        <f>IFERROR(_xlfn.XLOOKUP(C174,Master_Employee[Emp_ID],Master_Employee[Name_AR],"",0),"")</f>
        <v/>
      </c>
      <c r="E174" t="str">
        <f>IFERROR(_xlfn.XLOOKUP(C174,Master_Employee[Emp_ID],Master_Employee[Name_EN],"",0),"")</f>
        <v/>
      </c>
      <c r="F174" t="str">
        <f>IFERROR(_xlfn.XLOOKUP(C174,Master_Employee[Emp_ID],Master_Employee[Department],"",0),"")</f>
        <v/>
      </c>
      <c r="H174" s="69"/>
      <c r="J174" t="str">
        <f>_xlfn.XLOOKUP(tbl_Transactions[[#This Row],[Type]],Type[Trans_Type],Type[Type_Code],"",0)</f>
        <v/>
      </c>
    </row>
    <row r="175" spans="1:10" ht="19.5" customHeight="1">
      <c r="A175" t="str">
        <f t="shared" si="2"/>
        <v/>
      </c>
      <c r="C175" s="17"/>
      <c r="D175" t="str">
        <f>IFERROR(_xlfn.XLOOKUP(C175,Master_Employee[Emp_ID],Master_Employee[Name_AR],"",0),"")</f>
        <v/>
      </c>
      <c r="E175" t="str">
        <f>IFERROR(_xlfn.XLOOKUP(C175,Master_Employee[Emp_ID],Master_Employee[Name_EN],"",0),"")</f>
        <v/>
      </c>
      <c r="F175" t="str">
        <f>IFERROR(_xlfn.XLOOKUP(C175,Master_Employee[Emp_ID],Master_Employee[Department],"",0),"")</f>
        <v/>
      </c>
      <c r="H175" s="69"/>
      <c r="J175" t="str">
        <f>_xlfn.XLOOKUP(tbl_Transactions[[#This Row],[Type]],Type[Trans_Type],Type[Type_Code],"",0)</f>
        <v/>
      </c>
    </row>
    <row r="176" spans="1:10" ht="19.5" customHeight="1">
      <c r="A176" t="str">
        <f t="shared" si="2"/>
        <v/>
      </c>
      <c r="C176" s="17"/>
      <c r="D176" t="str">
        <f>IFERROR(_xlfn.XLOOKUP(C176,Master_Employee[Emp_ID],Master_Employee[Name_AR],"",0),"")</f>
        <v/>
      </c>
      <c r="E176" t="str">
        <f>IFERROR(_xlfn.XLOOKUP(C176,Master_Employee[Emp_ID],Master_Employee[Name_EN],"",0),"")</f>
        <v/>
      </c>
      <c r="F176" t="str">
        <f>IFERROR(_xlfn.XLOOKUP(C176,Master_Employee[Emp_ID],Master_Employee[Department],"",0),"")</f>
        <v/>
      </c>
      <c r="H176" s="69"/>
      <c r="J176" t="str">
        <f>_xlfn.XLOOKUP(tbl_Transactions[[#This Row],[Type]],Type[Trans_Type],Type[Type_Code],"",0)</f>
        <v/>
      </c>
    </row>
    <row r="177" spans="1:10" ht="19.5" customHeight="1">
      <c r="A177" t="str">
        <f t="shared" si="2"/>
        <v/>
      </c>
      <c r="C177" s="17"/>
      <c r="D177" t="str">
        <f>IFERROR(_xlfn.XLOOKUP(C177,Master_Employee[Emp_ID],Master_Employee[Name_AR],"",0),"")</f>
        <v/>
      </c>
      <c r="E177" t="str">
        <f>IFERROR(_xlfn.XLOOKUP(C177,Master_Employee[Emp_ID],Master_Employee[Name_EN],"",0),"")</f>
        <v/>
      </c>
      <c r="F177" t="str">
        <f>IFERROR(_xlfn.XLOOKUP(C177,Master_Employee[Emp_ID],Master_Employee[Department],"",0),"")</f>
        <v/>
      </c>
      <c r="H177" s="69"/>
      <c r="J177" t="str">
        <f>_xlfn.XLOOKUP(tbl_Transactions[[#This Row],[Type]],Type[Trans_Type],Type[Type_Code],"",0)</f>
        <v/>
      </c>
    </row>
    <row r="178" spans="1:10" ht="19.5" customHeight="1">
      <c r="A178" t="str">
        <f t="shared" si="2"/>
        <v/>
      </c>
      <c r="C178" s="17"/>
      <c r="D178" t="str">
        <f>IFERROR(_xlfn.XLOOKUP(C178,Master_Employee[Emp_ID],Master_Employee[Name_AR],"",0),"")</f>
        <v/>
      </c>
      <c r="E178" t="str">
        <f>IFERROR(_xlfn.XLOOKUP(C178,Master_Employee[Emp_ID],Master_Employee[Name_EN],"",0),"")</f>
        <v/>
      </c>
      <c r="F178" t="str">
        <f>IFERROR(_xlfn.XLOOKUP(C178,Master_Employee[Emp_ID],Master_Employee[Department],"",0),"")</f>
        <v/>
      </c>
      <c r="H178" s="69"/>
      <c r="J178" t="str">
        <f>_xlfn.XLOOKUP(tbl_Transactions[[#This Row],[Type]],Type[Trans_Type],Type[Type_Code],"",0)</f>
        <v/>
      </c>
    </row>
    <row r="179" spans="1:10" ht="19.5" customHeight="1">
      <c r="A179" t="str">
        <f t="shared" si="2"/>
        <v/>
      </c>
      <c r="C179" s="17"/>
      <c r="D179" t="str">
        <f>IFERROR(_xlfn.XLOOKUP(C179,Master_Employee[Emp_ID],Master_Employee[Name_AR],"",0),"")</f>
        <v/>
      </c>
      <c r="E179" t="str">
        <f>IFERROR(_xlfn.XLOOKUP(C179,Master_Employee[Emp_ID],Master_Employee[Name_EN],"",0),"")</f>
        <v/>
      </c>
      <c r="F179" t="str">
        <f>IFERROR(_xlfn.XLOOKUP(C179,Master_Employee[Emp_ID],Master_Employee[Department],"",0),"")</f>
        <v/>
      </c>
      <c r="H179" s="69"/>
      <c r="J179" t="str">
        <f>_xlfn.XLOOKUP(tbl_Transactions[[#This Row],[Type]],Type[Trans_Type],Type[Type_Code],"",0)</f>
        <v/>
      </c>
    </row>
    <row r="180" spans="1:10" ht="19.5" customHeight="1">
      <c r="A180" t="str">
        <f t="shared" si="2"/>
        <v/>
      </c>
      <c r="C180" s="17"/>
      <c r="D180" t="str">
        <f>IFERROR(_xlfn.XLOOKUP(C180,Master_Employee[Emp_ID],Master_Employee[Name_AR],"",0),"")</f>
        <v/>
      </c>
      <c r="E180" t="str">
        <f>IFERROR(_xlfn.XLOOKUP(C180,Master_Employee[Emp_ID],Master_Employee[Name_EN],"",0),"")</f>
        <v/>
      </c>
      <c r="F180" t="str">
        <f>IFERROR(_xlfn.XLOOKUP(C180,Master_Employee[Emp_ID],Master_Employee[Department],"",0),"")</f>
        <v/>
      </c>
      <c r="H180" s="69"/>
      <c r="J180" t="str">
        <f>_xlfn.XLOOKUP(tbl_Transactions[[#This Row],[Type]],Type[Trans_Type],Type[Type_Code],"",0)</f>
        <v/>
      </c>
    </row>
    <row r="181" spans="1:10" ht="19.5" customHeight="1">
      <c r="A181" t="str">
        <f t="shared" si="2"/>
        <v/>
      </c>
      <c r="C181" s="17"/>
      <c r="D181" t="str">
        <f>IFERROR(_xlfn.XLOOKUP(C181,Master_Employee[Emp_ID],Master_Employee[Name_AR],"",0),"")</f>
        <v/>
      </c>
      <c r="E181" t="str">
        <f>IFERROR(_xlfn.XLOOKUP(C181,Master_Employee[Emp_ID],Master_Employee[Name_EN],"",0),"")</f>
        <v/>
      </c>
      <c r="F181" t="str">
        <f>IFERROR(_xlfn.XLOOKUP(C181,Master_Employee[Emp_ID],Master_Employee[Department],"",0),"")</f>
        <v/>
      </c>
      <c r="H181" s="69"/>
      <c r="J181" t="str">
        <f>_xlfn.XLOOKUP(tbl_Transactions[[#This Row],[Type]],Type[Trans_Type],Type[Type_Code],"",0)</f>
        <v/>
      </c>
    </row>
    <row r="182" spans="1:10" ht="19.5" customHeight="1">
      <c r="A182" t="str">
        <f t="shared" si="2"/>
        <v/>
      </c>
      <c r="C182" s="17"/>
      <c r="D182" t="str">
        <f>IFERROR(_xlfn.XLOOKUP(C182,Master_Employee[Emp_ID],Master_Employee[Name_AR],"",0),"")</f>
        <v/>
      </c>
      <c r="E182" t="str">
        <f>IFERROR(_xlfn.XLOOKUP(C182,Master_Employee[Emp_ID],Master_Employee[Name_EN],"",0),"")</f>
        <v/>
      </c>
      <c r="F182" t="str">
        <f>IFERROR(_xlfn.XLOOKUP(C182,Master_Employee[Emp_ID],Master_Employee[Department],"",0),"")</f>
        <v/>
      </c>
      <c r="H182" s="69"/>
      <c r="J182" t="str">
        <f>_xlfn.XLOOKUP(tbl_Transactions[[#This Row],[Type]],Type[Trans_Type],Type[Type_Code],"",0)</f>
        <v/>
      </c>
    </row>
    <row r="183" spans="1:10" ht="19.5" customHeight="1">
      <c r="A183" t="str">
        <f t="shared" si="2"/>
        <v/>
      </c>
      <c r="C183" s="17"/>
      <c r="D183" t="str">
        <f>IFERROR(_xlfn.XLOOKUP(C183,Master_Employee[Emp_ID],Master_Employee[Name_AR],"",0),"")</f>
        <v/>
      </c>
      <c r="E183" t="str">
        <f>IFERROR(_xlfn.XLOOKUP(C183,Master_Employee[Emp_ID],Master_Employee[Name_EN],"",0),"")</f>
        <v/>
      </c>
      <c r="F183" t="str">
        <f>IFERROR(_xlfn.XLOOKUP(C183,Master_Employee[Emp_ID],Master_Employee[Department],"",0),"")</f>
        <v/>
      </c>
      <c r="H183" s="69"/>
      <c r="J183" t="str">
        <f>_xlfn.XLOOKUP(tbl_Transactions[[#This Row],[Type]],Type[Trans_Type],Type[Type_Code],"",0)</f>
        <v/>
      </c>
    </row>
    <row r="184" spans="1:10" ht="19.5" customHeight="1">
      <c r="A184" t="str">
        <f t="shared" si="2"/>
        <v/>
      </c>
      <c r="C184" s="17"/>
      <c r="D184" t="str">
        <f>IFERROR(_xlfn.XLOOKUP(C184,Master_Employee[Emp_ID],Master_Employee[Name_AR],"",0),"")</f>
        <v/>
      </c>
      <c r="E184" t="str">
        <f>IFERROR(_xlfn.XLOOKUP(C184,Master_Employee[Emp_ID],Master_Employee[Name_EN],"",0),"")</f>
        <v/>
      </c>
      <c r="F184" t="str">
        <f>IFERROR(_xlfn.XLOOKUP(C184,Master_Employee[Emp_ID],Master_Employee[Department],"",0),"")</f>
        <v/>
      </c>
      <c r="H184" s="69"/>
      <c r="J184" t="str">
        <f>_xlfn.XLOOKUP(tbl_Transactions[[#This Row],[Type]],Type[Trans_Type],Type[Type_Code],"",0)</f>
        <v/>
      </c>
    </row>
    <row r="185" spans="1:10" ht="19.5" customHeight="1">
      <c r="A185" t="str">
        <f t="shared" si="2"/>
        <v/>
      </c>
      <c r="C185" s="17"/>
      <c r="D185" t="str">
        <f>IFERROR(_xlfn.XLOOKUP(C185,Master_Employee[Emp_ID],Master_Employee[Name_AR],"",0),"")</f>
        <v/>
      </c>
      <c r="E185" t="str">
        <f>IFERROR(_xlfn.XLOOKUP(C185,Master_Employee[Emp_ID],Master_Employee[Name_EN],"",0),"")</f>
        <v/>
      </c>
      <c r="F185" t="str">
        <f>IFERROR(_xlfn.XLOOKUP(C185,Master_Employee[Emp_ID],Master_Employee[Department],"",0),"")</f>
        <v/>
      </c>
      <c r="H185" s="69"/>
      <c r="J185" t="str">
        <f>_xlfn.XLOOKUP(tbl_Transactions[[#This Row],[Type]],Type[Trans_Type],Type[Type_Code],"",0)</f>
        <v/>
      </c>
    </row>
    <row r="186" spans="1:10" ht="19.5" customHeight="1">
      <c r="A186" t="str">
        <f t="shared" si="2"/>
        <v/>
      </c>
      <c r="C186" s="17"/>
      <c r="D186" t="str">
        <f>IFERROR(_xlfn.XLOOKUP(C186,Master_Employee[Emp_ID],Master_Employee[Name_AR],"",0),"")</f>
        <v/>
      </c>
      <c r="E186" t="str">
        <f>IFERROR(_xlfn.XLOOKUP(C186,Master_Employee[Emp_ID],Master_Employee[Name_EN],"",0),"")</f>
        <v/>
      </c>
      <c r="F186" t="str">
        <f>IFERROR(_xlfn.XLOOKUP(C186,Master_Employee[Emp_ID],Master_Employee[Department],"",0),"")</f>
        <v/>
      </c>
      <c r="H186" s="69"/>
      <c r="J186" t="str">
        <f>_xlfn.XLOOKUP(tbl_Transactions[[#This Row],[Type]],Type[Trans_Type],Type[Type_Code],"",0)</f>
        <v/>
      </c>
    </row>
    <row r="187" spans="1:10" ht="19.5" customHeight="1">
      <c r="A187" t="str">
        <f t="shared" si="2"/>
        <v/>
      </c>
      <c r="C187" s="17"/>
      <c r="D187" t="str">
        <f>IFERROR(_xlfn.XLOOKUP(C187,Master_Employee[Emp_ID],Master_Employee[Name_AR],"",0),"")</f>
        <v/>
      </c>
      <c r="E187" t="str">
        <f>IFERROR(_xlfn.XLOOKUP(C187,Master_Employee[Emp_ID],Master_Employee[Name_EN],"",0),"")</f>
        <v/>
      </c>
      <c r="F187" t="str">
        <f>IFERROR(_xlfn.XLOOKUP(C187,Master_Employee[Emp_ID],Master_Employee[Department],"",0),"")</f>
        <v/>
      </c>
      <c r="H187" s="69"/>
      <c r="J187" t="str">
        <f>_xlfn.XLOOKUP(tbl_Transactions[[#This Row],[Type]],Type[Trans_Type],Type[Type_Code],"",0)</f>
        <v/>
      </c>
    </row>
    <row r="188" spans="1:10" ht="19.5" customHeight="1">
      <c r="A188" t="str">
        <f t="shared" si="2"/>
        <v/>
      </c>
      <c r="C188" s="17"/>
      <c r="D188" t="str">
        <f>IFERROR(_xlfn.XLOOKUP(C188,Master_Employee[Emp_ID],Master_Employee[Name_AR],"",0),"")</f>
        <v/>
      </c>
      <c r="E188" t="str">
        <f>IFERROR(_xlfn.XLOOKUP(C188,Master_Employee[Emp_ID],Master_Employee[Name_EN],"",0),"")</f>
        <v/>
      </c>
      <c r="F188" t="str">
        <f>IFERROR(_xlfn.XLOOKUP(C188,Master_Employee[Emp_ID],Master_Employee[Department],"",0),"")</f>
        <v/>
      </c>
      <c r="H188" s="69"/>
      <c r="J188" t="str">
        <f>_xlfn.XLOOKUP(tbl_Transactions[[#This Row],[Type]],Type[Trans_Type],Type[Type_Code],"",0)</f>
        <v/>
      </c>
    </row>
    <row r="189" spans="1:10" ht="19.5" customHeight="1">
      <c r="A189" t="str">
        <f t="shared" si="2"/>
        <v/>
      </c>
      <c r="C189" s="17"/>
      <c r="D189" t="str">
        <f>IFERROR(_xlfn.XLOOKUP(C189,Master_Employee[Emp_ID],Master_Employee[Name_AR],"",0),"")</f>
        <v/>
      </c>
      <c r="E189" t="str">
        <f>IFERROR(_xlfn.XLOOKUP(C189,Master_Employee[Emp_ID],Master_Employee[Name_EN],"",0),"")</f>
        <v/>
      </c>
      <c r="F189" t="str">
        <f>IFERROR(_xlfn.XLOOKUP(C189,Master_Employee[Emp_ID],Master_Employee[Department],"",0),"")</f>
        <v/>
      </c>
      <c r="H189" s="69"/>
      <c r="J189" t="str">
        <f>_xlfn.XLOOKUP(tbl_Transactions[[#This Row],[Type]],Type[Trans_Type],Type[Type_Code],"",0)</f>
        <v/>
      </c>
    </row>
    <row r="190" spans="1:10" ht="19.5" customHeight="1">
      <c r="A190" t="str">
        <f t="shared" si="2"/>
        <v/>
      </c>
      <c r="C190" s="17"/>
      <c r="D190" t="str">
        <f>IFERROR(_xlfn.XLOOKUP(C190,Master_Employee[Emp_ID],Master_Employee[Name_AR],"",0),"")</f>
        <v/>
      </c>
      <c r="E190" t="str">
        <f>IFERROR(_xlfn.XLOOKUP(C190,Master_Employee[Emp_ID],Master_Employee[Name_EN],"",0),"")</f>
        <v/>
      </c>
      <c r="F190" t="str">
        <f>IFERROR(_xlfn.XLOOKUP(C190,Master_Employee[Emp_ID],Master_Employee[Department],"",0),"")</f>
        <v/>
      </c>
      <c r="H190" s="69"/>
      <c r="J190" t="str">
        <f>_xlfn.XLOOKUP(tbl_Transactions[[#This Row],[Type]],Type[Trans_Type],Type[Type_Code],"",0)</f>
        <v/>
      </c>
    </row>
    <row r="191" spans="1:10" ht="19.5" customHeight="1">
      <c r="A191" t="str">
        <f t="shared" si="2"/>
        <v/>
      </c>
      <c r="C191" s="17"/>
      <c r="D191" t="str">
        <f>IFERROR(_xlfn.XLOOKUP(C191,Master_Employee[Emp_ID],Master_Employee[Name_AR],"",0),"")</f>
        <v/>
      </c>
      <c r="E191" t="str">
        <f>IFERROR(_xlfn.XLOOKUP(C191,Master_Employee[Emp_ID],Master_Employee[Name_EN],"",0),"")</f>
        <v/>
      </c>
      <c r="F191" t="str">
        <f>IFERROR(_xlfn.XLOOKUP(C191,Master_Employee[Emp_ID],Master_Employee[Department],"",0),"")</f>
        <v/>
      </c>
      <c r="H191" s="69"/>
      <c r="J191" t="str">
        <f>_xlfn.XLOOKUP(tbl_Transactions[[#This Row],[Type]],Type[Trans_Type],Type[Type_Code],"",0)</f>
        <v/>
      </c>
    </row>
    <row r="192" spans="1:10" ht="19.5" customHeight="1">
      <c r="A192" t="str">
        <f t="shared" si="2"/>
        <v/>
      </c>
      <c r="C192" s="17"/>
      <c r="D192" t="str">
        <f>IFERROR(_xlfn.XLOOKUP(C192,Master_Employee[Emp_ID],Master_Employee[Name_AR],"",0),"")</f>
        <v/>
      </c>
      <c r="E192" t="str">
        <f>IFERROR(_xlfn.XLOOKUP(C192,Master_Employee[Emp_ID],Master_Employee[Name_EN],"",0),"")</f>
        <v/>
      </c>
      <c r="F192" t="str">
        <f>IFERROR(_xlfn.XLOOKUP(C192,Master_Employee[Emp_ID],Master_Employee[Department],"",0),"")</f>
        <v/>
      </c>
      <c r="H192" s="69"/>
      <c r="J192" t="str">
        <f>_xlfn.XLOOKUP(tbl_Transactions[[#This Row],[Type]],Type[Trans_Type],Type[Type_Code],"",0)</f>
        <v/>
      </c>
    </row>
    <row r="193" spans="1:10" ht="19.5" customHeight="1">
      <c r="A193" t="str">
        <f t="shared" si="2"/>
        <v/>
      </c>
      <c r="C193" s="17"/>
      <c r="D193" t="str">
        <f>IFERROR(_xlfn.XLOOKUP(C193,Master_Employee[Emp_ID],Master_Employee[Name_AR],"",0),"")</f>
        <v/>
      </c>
      <c r="E193" t="str">
        <f>IFERROR(_xlfn.XLOOKUP(C193,Master_Employee[Emp_ID],Master_Employee[Name_EN],"",0),"")</f>
        <v/>
      </c>
      <c r="F193" t="str">
        <f>IFERROR(_xlfn.XLOOKUP(C193,Master_Employee[Emp_ID],Master_Employee[Department],"",0),"")</f>
        <v/>
      </c>
      <c r="H193" s="69"/>
      <c r="J193" t="str">
        <f>_xlfn.XLOOKUP(tbl_Transactions[[#This Row],[Type]],Type[Trans_Type],Type[Type_Code],"",0)</f>
        <v/>
      </c>
    </row>
    <row r="194" spans="1:10" ht="19.5" customHeight="1">
      <c r="A194" t="str">
        <f t="shared" si="2"/>
        <v/>
      </c>
      <c r="C194" s="17"/>
      <c r="D194" t="str">
        <f>IFERROR(_xlfn.XLOOKUP(C194,Master_Employee[Emp_ID],Master_Employee[Name_AR],"",0),"")</f>
        <v/>
      </c>
      <c r="E194" t="str">
        <f>IFERROR(_xlfn.XLOOKUP(C194,Master_Employee[Emp_ID],Master_Employee[Name_EN],"",0),"")</f>
        <v/>
      </c>
      <c r="F194" t="str">
        <f>IFERROR(_xlfn.XLOOKUP(C194,Master_Employee[Emp_ID],Master_Employee[Department],"",0),"")</f>
        <v/>
      </c>
      <c r="H194" s="69"/>
      <c r="J194" t="str">
        <f>_xlfn.XLOOKUP(tbl_Transactions[[#This Row],[Type]],Type[Trans_Type],Type[Type_Code],"",0)</f>
        <v/>
      </c>
    </row>
    <row r="195" spans="1:10" ht="19.5" customHeight="1">
      <c r="A195" t="str">
        <f t="shared" si="2"/>
        <v/>
      </c>
      <c r="C195" s="17"/>
      <c r="D195" t="str">
        <f>IFERROR(_xlfn.XLOOKUP(C195,Master_Employee[Emp_ID],Master_Employee[Name_AR],"",0),"")</f>
        <v/>
      </c>
      <c r="E195" t="str">
        <f>IFERROR(_xlfn.XLOOKUP(C195,Master_Employee[Emp_ID],Master_Employee[Name_EN],"",0),"")</f>
        <v/>
      </c>
      <c r="F195" t="str">
        <f>IFERROR(_xlfn.XLOOKUP(C195,Master_Employee[Emp_ID],Master_Employee[Department],"",0),"")</f>
        <v/>
      </c>
      <c r="H195" s="69"/>
      <c r="J195" t="str">
        <f>_xlfn.XLOOKUP(tbl_Transactions[[#This Row],[Type]],Type[Trans_Type],Type[Type_Code],"",0)</f>
        <v/>
      </c>
    </row>
    <row r="196" spans="1:10" ht="19.5" customHeight="1">
      <c r="A196" t="str">
        <f t="shared" si="2"/>
        <v/>
      </c>
      <c r="C196" s="17"/>
      <c r="D196" t="str">
        <f>IFERROR(_xlfn.XLOOKUP(C196,Master_Employee[Emp_ID],Master_Employee[Name_AR],"",0),"")</f>
        <v/>
      </c>
      <c r="E196" t="str">
        <f>IFERROR(_xlfn.XLOOKUP(C196,Master_Employee[Emp_ID],Master_Employee[Name_EN],"",0),"")</f>
        <v/>
      </c>
      <c r="F196" t="str">
        <f>IFERROR(_xlfn.XLOOKUP(C196,Master_Employee[Emp_ID],Master_Employee[Department],"",0),"")</f>
        <v/>
      </c>
      <c r="H196" s="69"/>
      <c r="J196" t="str">
        <f>_xlfn.XLOOKUP(tbl_Transactions[[#This Row],[Type]],Type[Trans_Type],Type[Type_Code],"",0)</f>
        <v/>
      </c>
    </row>
    <row r="197" spans="1:10" ht="19.5" customHeight="1">
      <c r="A197" t="str">
        <f t="shared" si="2"/>
        <v/>
      </c>
      <c r="C197" s="17"/>
      <c r="D197" t="str">
        <f>IFERROR(_xlfn.XLOOKUP(C197,Master_Employee[Emp_ID],Master_Employee[Name_AR],"",0),"")</f>
        <v/>
      </c>
      <c r="E197" t="str">
        <f>IFERROR(_xlfn.XLOOKUP(C197,Master_Employee[Emp_ID],Master_Employee[Name_EN],"",0),"")</f>
        <v/>
      </c>
      <c r="F197" t="str">
        <f>IFERROR(_xlfn.XLOOKUP(C197,Master_Employee[Emp_ID],Master_Employee[Department],"",0),"")</f>
        <v/>
      </c>
      <c r="H197" s="69"/>
      <c r="J197" t="str">
        <f>_xlfn.XLOOKUP(tbl_Transactions[[#This Row],[Type]],Type[Trans_Type],Type[Type_Code],"",0)</f>
        <v/>
      </c>
    </row>
    <row r="198" spans="1:10" ht="19.5" customHeight="1">
      <c r="A198" t="str">
        <f t="shared" si="2"/>
        <v/>
      </c>
      <c r="C198" s="17"/>
      <c r="D198" t="str">
        <f>IFERROR(_xlfn.XLOOKUP(C198,Master_Employee[Emp_ID],Master_Employee[Name_AR],"",0),"")</f>
        <v/>
      </c>
      <c r="E198" t="str">
        <f>IFERROR(_xlfn.XLOOKUP(C198,Master_Employee[Emp_ID],Master_Employee[Name_EN],"",0),"")</f>
        <v/>
      </c>
      <c r="F198" t="str">
        <f>IFERROR(_xlfn.XLOOKUP(C198,Master_Employee[Emp_ID],Master_Employee[Department],"",0),"")</f>
        <v/>
      </c>
      <c r="H198" s="69"/>
      <c r="J198" t="str">
        <f>_xlfn.XLOOKUP(tbl_Transactions[[#This Row],[Type]],Type[Trans_Type],Type[Type_Code],"",0)</f>
        <v/>
      </c>
    </row>
    <row r="199" spans="1:10" ht="19.5" customHeight="1">
      <c r="A199" t="str">
        <f t="shared" ref="A199:A262" si="3">IFERROR(IF(C199="","",ROW()-2),"")</f>
        <v/>
      </c>
      <c r="C199" s="17"/>
      <c r="D199" t="str">
        <f>IFERROR(_xlfn.XLOOKUP(C199,Master_Employee[Emp_ID],Master_Employee[Name_AR],"",0),"")</f>
        <v/>
      </c>
      <c r="E199" t="str">
        <f>IFERROR(_xlfn.XLOOKUP(C199,Master_Employee[Emp_ID],Master_Employee[Name_EN],"",0),"")</f>
        <v/>
      </c>
      <c r="F199" t="str">
        <f>IFERROR(_xlfn.XLOOKUP(C199,Master_Employee[Emp_ID],Master_Employee[Department],"",0),"")</f>
        <v/>
      </c>
      <c r="H199" s="69"/>
      <c r="J199" t="str">
        <f>_xlfn.XLOOKUP(tbl_Transactions[[#This Row],[Type]],Type[Trans_Type],Type[Type_Code],"",0)</f>
        <v/>
      </c>
    </row>
    <row r="200" spans="1:10" ht="19.5" customHeight="1">
      <c r="A200" t="str">
        <f t="shared" si="3"/>
        <v/>
      </c>
      <c r="C200" s="17"/>
      <c r="D200" t="str">
        <f>IFERROR(_xlfn.XLOOKUP(C200,Master_Employee[Emp_ID],Master_Employee[Name_AR],"",0),"")</f>
        <v/>
      </c>
      <c r="E200" t="str">
        <f>IFERROR(_xlfn.XLOOKUP(C200,Master_Employee[Emp_ID],Master_Employee[Name_EN],"",0),"")</f>
        <v/>
      </c>
      <c r="F200" t="str">
        <f>IFERROR(_xlfn.XLOOKUP(C200,Master_Employee[Emp_ID],Master_Employee[Department],"",0),"")</f>
        <v/>
      </c>
      <c r="H200" s="69"/>
      <c r="J200" t="str">
        <f>_xlfn.XLOOKUP(tbl_Transactions[[#This Row],[Type]],Type[Trans_Type],Type[Type_Code],"",0)</f>
        <v/>
      </c>
    </row>
    <row r="201" spans="1:10" ht="19.5" customHeight="1">
      <c r="A201" t="str">
        <f t="shared" si="3"/>
        <v/>
      </c>
      <c r="C201" s="17"/>
      <c r="D201" t="str">
        <f>IFERROR(_xlfn.XLOOKUP(C201,Master_Employee[Emp_ID],Master_Employee[Name_AR],"",0),"")</f>
        <v/>
      </c>
      <c r="E201" t="str">
        <f>IFERROR(_xlfn.XLOOKUP(C201,Master_Employee[Emp_ID],Master_Employee[Name_EN],"",0),"")</f>
        <v/>
      </c>
      <c r="F201" t="str">
        <f>IFERROR(_xlfn.XLOOKUP(C201,Master_Employee[Emp_ID],Master_Employee[Department],"",0),"")</f>
        <v/>
      </c>
      <c r="H201" s="69"/>
      <c r="J201" t="str">
        <f>_xlfn.XLOOKUP(tbl_Transactions[[#This Row],[Type]],Type[Trans_Type],Type[Type_Code],"",0)</f>
        <v/>
      </c>
    </row>
    <row r="202" spans="1:10" ht="19.5" customHeight="1">
      <c r="A202" t="str">
        <f t="shared" si="3"/>
        <v/>
      </c>
      <c r="C202" s="17"/>
      <c r="D202" t="str">
        <f>IFERROR(_xlfn.XLOOKUP(C202,Master_Employee[Emp_ID],Master_Employee[Name_AR],"",0),"")</f>
        <v/>
      </c>
      <c r="E202" t="str">
        <f>IFERROR(_xlfn.XLOOKUP(C202,Master_Employee[Emp_ID],Master_Employee[Name_EN],"",0),"")</f>
        <v/>
      </c>
      <c r="F202" t="str">
        <f>IFERROR(_xlfn.XLOOKUP(C202,Master_Employee[Emp_ID],Master_Employee[Department],"",0),"")</f>
        <v/>
      </c>
      <c r="H202" s="69"/>
      <c r="J202" t="str">
        <f>_xlfn.XLOOKUP(tbl_Transactions[[#This Row],[Type]],Type[Trans_Type],Type[Type_Code],"",0)</f>
        <v/>
      </c>
    </row>
    <row r="203" spans="1:10" ht="19.5" customHeight="1">
      <c r="A203" t="str">
        <f t="shared" si="3"/>
        <v/>
      </c>
      <c r="C203" s="17"/>
      <c r="D203" t="str">
        <f>IFERROR(_xlfn.XLOOKUP(C203,Master_Employee[Emp_ID],Master_Employee[Name_AR],"",0),"")</f>
        <v/>
      </c>
      <c r="E203" t="str">
        <f>IFERROR(_xlfn.XLOOKUP(C203,Master_Employee[Emp_ID],Master_Employee[Name_EN],"",0),"")</f>
        <v/>
      </c>
      <c r="F203" t="str">
        <f>IFERROR(_xlfn.XLOOKUP(C203,Master_Employee[Emp_ID],Master_Employee[Department],"",0),"")</f>
        <v/>
      </c>
      <c r="H203" s="69"/>
      <c r="J203" t="str">
        <f>_xlfn.XLOOKUP(tbl_Transactions[[#This Row],[Type]],Type[Trans_Type],Type[Type_Code],"",0)</f>
        <v/>
      </c>
    </row>
    <row r="204" spans="1:10" ht="19.5" customHeight="1">
      <c r="A204" t="str">
        <f t="shared" si="3"/>
        <v/>
      </c>
      <c r="C204" s="17"/>
      <c r="D204" t="str">
        <f>IFERROR(_xlfn.XLOOKUP(C204,Master_Employee[Emp_ID],Master_Employee[Name_AR],"",0),"")</f>
        <v/>
      </c>
      <c r="E204" t="str">
        <f>IFERROR(_xlfn.XLOOKUP(C204,Master_Employee[Emp_ID],Master_Employee[Name_EN],"",0),"")</f>
        <v/>
      </c>
      <c r="F204" t="str">
        <f>IFERROR(_xlfn.XLOOKUP(C204,Master_Employee[Emp_ID],Master_Employee[Department],"",0),"")</f>
        <v/>
      </c>
      <c r="H204" s="69"/>
      <c r="J204" t="str">
        <f>_xlfn.XLOOKUP(tbl_Transactions[[#This Row],[Type]],Type[Trans_Type],Type[Type_Code],"",0)</f>
        <v/>
      </c>
    </row>
    <row r="205" spans="1:10" ht="19.5" customHeight="1">
      <c r="A205" t="str">
        <f t="shared" si="3"/>
        <v/>
      </c>
      <c r="C205" s="17"/>
      <c r="D205" t="str">
        <f>IFERROR(_xlfn.XLOOKUP(C205,Master_Employee[Emp_ID],Master_Employee[Name_AR],"",0),"")</f>
        <v/>
      </c>
      <c r="E205" t="str">
        <f>IFERROR(_xlfn.XLOOKUP(C205,Master_Employee[Emp_ID],Master_Employee[Name_EN],"",0),"")</f>
        <v/>
      </c>
      <c r="F205" t="str">
        <f>IFERROR(_xlfn.XLOOKUP(C205,Master_Employee[Emp_ID],Master_Employee[Department],"",0),"")</f>
        <v/>
      </c>
      <c r="H205" s="69"/>
      <c r="J205" t="str">
        <f>_xlfn.XLOOKUP(tbl_Transactions[[#This Row],[Type]],Type[Trans_Type],Type[Type_Code],"",0)</f>
        <v/>
      </c>
    </row>
    <row r="206" spans="1:10" ht="19.5" customHeight="1">
      <c r="A206" t="str">
        <f t="shared" si="3"/>
        <v/>
      </c>
      <c r="C206" s="17"/>
      <c r="D206" t="str">
        <f>IFERROR(_xlfn.XLOOKUP(C206,Master_Employee[Emp_ID],Master_Employee[Name_AR],"",0),"")</f>
        <v/>
      </c>
      <c r="E206" t="str">
        <f>IFERROR(_xlfn.XLOOKUP(C206,Master_Employee[Emp_ID],Master_Employee[Name_EN],"",0),"")</f>
        <v/>
      </c>
      <c r="F206" t="str">
        <f>IFERROR(_xlfn.XLOOKUP(C206,Master_Employee[Emp_ID],Master_Employee[Department],"",0),"")</f>
        <v/>
      </c>
      <c r="H206" s="69"/>
      <c r="J206" t="str">
        <f>_xlfn.XLOOKUP(tbl_Transactions[[#This Row],[Type]],Type[Trans_Type],Type[Type_Code],"",0)</f>
        <v/>
      </c>
    </row>
    <row r="207" spans="1:10" ht="19.5" customHeight="1">
      <c r="A207" t="str">
        <f t="shared" si="3"/>
        <v/>
      </c>
      <c r="C207" s="17"/>
      <c r="D207" t="str">
        <f>IFERROR(_xlfn.XLOOKUP(C207,Master_Employee[Emp_ID],Master_Employee[Name_AR],"",0),"")</f>
        <v/>
      </c>
      <c r="E207" t="str">
        <f>IFERROR(_xlfn.XLOOKUP(C207,Master_Employee[Emp_ID],Master_Employee[Name_EN],"",0),"")</f>
        <v/>
      </c>
      <c r="F207" t="str">
        <f>IFERROR(_xlfn.XLOOKUP(C207,Master_Employee[Emp_ID],Master_Employee[Department],"",0),"")</f>
        <v/>
      </c>
      <c r="H207" s="69"/>
      <c r="J207" t="str">
        <f>_xlfn.XLOOKUP(tbl_Transactions[[#This Row],[Type]],Type[Trans_Type],Type[Type_Code],"",0)</f>
        <v/>
      </c>
    </row>
    <row r="208" spans="1:10" ht="19.5" customHeight="1">
      <c r="A208" t="str">
        <f t="shared" si="3"/>
        <v/>
      </c>
      <c r="C208" s="17"/>
      <c r="D208" t="str">
        <f>IFERROR(_xlfn.XLOOKUP(C208,Master_Employee[Emp_ID],Master_Employee[Name_AR],"",0),"")</f>
        <v/>
      </c>
      <c r="E208" t="str">
        <f>IFERROR(_xlfn.XLOOKUP(C208,Master_Employee[Emp_ID],Master_Employee[Name_EN],"",0),"")</f>
        <v/>
      </c>
      <c r="F208" t="str">
        <f>IFERROR(_xlfn.XLOOKUP(C208,Master_Employee[Emp_ID],Master_Employee[Department],"",0),"")</f>
        <v/>
      </c>
      <c r="H208" s="69"/>
      <c r="J208" t="str">
        <f>_xlfn.XLOOKUP(tbl_Transactions[[#This Row],[Type]],Type[Trans_Type],Type[Type_Code],"",0)</f>
        <v/>
      </c>
    </row>
    <row r="209" spans="1:10" ht="19.5" customHeight="1">
      <c r="A209" t="str">
        <f t="shared" si="3"/>
        <v/>
      </c>
      <c r="C209" s="17"/>
      <c r="D209" t="str">
        <f>IFERROR(_xlfn.XLOOKUP(C209,Master_Employee[Emp_ID],Master_Employee[Name_AR],"",0),"")</f>
        <v/>
      </c>
      <c r="E209" t="str">
        <f>IFERROR(_xlfn.XLOOKUP(C209,Master_Employee[Emp_ID],Master_Employee[Name_EN],"",0),"")</f>
        <v/>
      </c>
      <c r="F209" t="str">
        <f>IFERROR(_xlfn.XLOOKUP(C209,Master_Employee[Emp_ID],Master_Employee[Department],"",0),"")</f>
        <v/>
      </c>
      <c r="H209" s="69"/>
      <c r="J209" t="str">
        <f>_xlfn.XLOOKUP(tbl_Transactions[[#This Row],[Type]],Type[Trans_Type],Type[Type_Code],"",0)</f>
        <v/>
      </c>
    </row>
    <row r="210" spans="1:10" ht="19.5" customHeight="1">
      <c r="A210" t="str">
        <f t="shared" si="3"/>
        <v/>
      </c>
      <c r="C210" s="17"/>
      <c r="D210" t="str">
        <f>IFERROR(_xlfn.XLOOKUP(C210,Master_Employee[Emp_ID],Master_Employee[Name_AR],"",0),"")</f>
        <v/>
      </c>
      <c r="E210" t="str">
        <f>IFERROR(_xlfn.XLOOKUP(C210,Master_Employee[Emp_ID],Master_Employee[Name_EN],"",0),"")</f>
        <v/>
      </c>
      <c r="F210" t="str">
        <f>IFERROR(_xlfn.XLOOKUP(C210,Master_Employee[Emp_ID],Master_Employee[Department],"",0),"")</f>
        <v/>
      </c>
      <c r="H210" s="69"/>
      <c r="J210" t="str">
        <f>_xlfn.XLOOKUP(tbl_Transactions[[#This Row],[Type]],Type[Trans_Type],Type[Type_Code],"",0)</f>
        <v/>
      </c>
    </row>
    <row r="211" spans="1:10" ht="19.5" customHeight="1">
      <c r="A211" t="str">
        <f t="shared" si="3"/>
        <v/>
      </c>
      <c r="C211" s="17"/>
      <c r="D211" t="str">
        <f>IFERROR(_xlfn.XLOOKUP(C211,Master_Employee[Emp_ID],Master_Employee[Name_AR],"",0),"")</f>
        <v/>
      </c>
      <c r="E211" t="str">
        <f>IFERROR(_xlfn.XLOOKUP(C211,Master_Employee[Emp_ID],Master_Employee[Name_EN],"",0),"")</f>
        <v/>
      </c>
      <c r="F211" t="str">
        <f>IFERROR(_xlfn.XLOOKUP(C211,Master_Employee[Emp_ID],Master_Employee[Department],"",0),"")</f>
        <v/>
      </c>
      <c r="H211" s="69"/>
      <c r="J211" t="str">
        <f>_xlfn.XLOOKUP(tbl_Transactions[[#This Row],[Type]],Type[Trans_Type],Type[Type_Code],"",0)</f>
        <v/>
      </c>
    </row>
    <row r="212" spans="1:10" ht="19.5" customHeight="1">
      <c r="A212" t="str">
        <f t="shared" si="3"/>
        <v/>
      </c>
      <c r="C212" s="17"/>
      <c r="D212" t="str">
        <f>IFERROR(_xlfn.XLOOKUP(C212,Master_Employee[Emp_ID],Master_Employee[Name_AR],"",0),"")</f>
        <v/>
      </c>
      <c r="E212" t="str">
        <f>IFERROR(_xlfn.XLOOKUP(C212,Master_Employee[Emp_ID],Master_Employee[Name_EN],"",0),"")</f>
        <v/>
      </c>
      <c r="F212" t="str">
        <f>IFERROR(_xlfn.XLOOKUP(C212,Master_Employee[Emp_ID],Master_Employee[Department],"",0),"")</f>
        <v/>
      </c>
      <c r="H212" s="69"/>
      <c r="J212" t="str">
        <f>_xlfn.XLOOKUP(tbl_Transactions[[#This Row],[Type]],Type[Trans_Type],Type[Type_Code],"",0)</f>
        <v/>
      </c>
    </row>
    <row r="213" spans="1:10" ht="19.5" customHeight="1">
      <c r="A213" t="str">
        <f t="shared" si="3"/>
        <v/>
      </c>
      <c r="C213" s="17"/>
      <c r="D213" t="str">
        <f>IFERROR(_xlfn.XLOOKUP(C213,Master_Employee[Emp_ID],Master_Employee[Name_AR],"",0),"")</f>
        <v/>
      </c>
      <c r="E213" t="str">
        <f>IFERROR(_xlfn.XLOOKUP(C213,Master_Employee[Emp_ID],Master_Employee[Name_EN],"",0),"")</f>
        <v/>
      </c>
      <c r="F213" t="str">
        <f>IFERROR(_xlfn.XLOOKUP(C213,Master_Employee[Emp_ID],Master_Employee[Department],"",0),"")</f>
        <v/>
      </c>
      <c r="H213" s="69"/>
      <c r="J213" t="str">
        <f>_xlfn.XLOOKUP(tbl_Transactions[[#This Row],[Type]],Type[Trans_Type],Type[Type_Code],"",0)</f>
        <v/>
      </c>
    </row>
    <row r="214" spans="1:10" ht="19.5" customHeight="1">
      <c r="A214" t="str">
        <f t="shared" si="3"/>
        <v/>
      </c>
      <c r="C214" s="17"/>
      <c r="D214" t="str">
        <f>IFERROR(_xlfn.XLOOKUP(C214,Master_Employee[Emp_ID],Master_Employee[Name_AR],"",0),"")</f>
        <v/>
      </c>
      <c r="E214" t="str">
        <f>IFERROR(_xlfn.XLOOKUP(C214,Master_Employee[Emp_ID],Master_Employee[Name_EN],"",0),"")</f>
        <v/>
      </c>
      <c r="F214" t="str">
        <f>IFERROR(_xlfn.XLOOKUP(C214,Master_Employee[Emp_ID],Master_Employee[Department],"",0),"")</f>
        <v/>
      </c>
      <c r="H214" s="69"/>
      <c r="J214" t="str">
        <f>_xlfn.XLOOKUP(tbl_Transactions[[#This Row],[Type]],Type[Trans_Type],Type[Type_Code],"",0)</f>
        <v/>
      </c>
    </row>
    <row r="215" spans="1:10" ht="19.5" customHeight="1">
      <c r="A215" t="str">
        <f t="shared" si="3"/>
        <v/>
      </c>
      <c r="C215" s="17"/>
      <c r="D215" t="str">
        <f>IFERROR(_xlfn.XLOOKUP(C215,Master_Employee[Emp_ID],Master_Employee[Name_AR],"",0),"")</f>
        <v/>
      </c>
      <c r="E215" t="str">
        <f>IFERROR(_xlfn.XLOOKUP(C215,Master_Employee[Emp_ID],Master_Employee[Name_EN],"",0),"")</f>
        <v/>
      </c>
      <c r="F215" t="str">
        <f>IFERROR(_xlfn.XLOOKUP(C215,Master_Employee[Emp_ID],Master_Employee[Department],"",0),"")</f>
        <v/>
      </c>
      <c r="H215" s="69"/>
      <c r="J215" t="str">
        <f>_xlfn.XLOOKUP(tbl_Transactions[[#This Row],[Type]],Type[Trans_Type],Type[Type_Code],"",0)</f>
        <v/>
      </c>
    </row>
    <row r="216" spans="1:10" ht="19.5" customHeight="1">
      <c r="A216" t="str">
        <f t="shared" si="3"/>
        <v/>
      </c>
      <c r="C216" s="17"/>
      <c r="D216" t="str">
        <f>IFERROR(_xlfn.XLOOKUP(C216,Master_Employee[Emp_ID],Master_Employee[Name_AR],"",0),"")</f>
        <v/>
      </c>
      <c r="E216" t="str">
        <f>IFERROR(_xlfn.XLOOKUP(C216,Master_Employee[Emp_ID],Master_Employee[Name_EN],"",0),"")</f>
        <v/>
      </c>
      <c r="F216" t="str">
        <f>IFERROR(_xlfn.XLOOKUP(C216,Master_Employee[Emp_ID],Master_Employee[Department],"",0),"")</f>
        <v/>
      </c>
      <c r="H216" s="69"/>
      <c r="J216" t="str">
        <f>_xlfn.XLOOKUP(tbl_Transactions[[#This Row],[Type]],Type[Trans_Type],Type[Type_Code],"",0)</f>
        <v/>
      </c>
    </row>
    <row r="217" spans="1:10" ht="19.5" customHeight="1">
      <c r="A217" t="str">
        <f t="shared" si="3"/>
        <v/>
      </c>
      <c r="C217" s="17"/>
      <c r="D217" t="str">
        <f>IFERROR(_xlfn.XLOOKUP(C217,Master_Employee[Emp_ID],Master_Employee[Name_AR],"",0),"")</f>
        <v/>
      </c>
      <c r="E217" t="str">
        <f>IFERROR(_xlfn.XLOOKUP(C217,Master_Employee[Emp_ID],Master_Employee[Name_EN],"",0),"")</f>
        <v/>
      </c>
      <c r="F217" t="str">
        <f>IFERROR(_xlfn.XLOOKUP(C217,Master_Employee[Emp_ID],Master_Employee[Department],"",0),"")</f>
        <v/>
      </c>
      <c r="H217" s="69"/>
      <c r="J217" t="str">
        <f>_xlfn.XLOOKUP(tbl_Transactions[[#This Row],[Type]],Type[Trans_Type],Type[Type_Code],"",0)</f>
        <v/>
      </c>
    </row>
    <row r="218" spans="1:10" ht="19.5" customHeight="1">
      <c r="A218" t="str">
        <f t="shared" si="3"/>
        <v/>
      </c>
      <c r="C218" s="17"/>
      <c r="D218" t="str">
        <f>IFERROR(_xlfn.XLOOKUP(C218,Master_Employee[Emp_ID],Master_Employee[Name_AR],"",0),"")</f>
        <v/>
      </c>
      <c r="E218" t="str">
        <f>IFERROR(_xlfn.XLOOKUP(C218,Master_Employee[Emp_ID],Master_Employee[Name_EN],"",0),"")</f>
        <v/>
      </c>
      <c r="F218" t="str">
        <f>IFERROR(_xlfn.XLOOKUP(C218,Master_Employee[Emp_ID],Master_Employee[Department],"",0),"")</f>
        <v/>
      </c>
      <c r="H218" s="69"/>
      <c r="J218" t="str">
        <f>_xlfn.XLOOKUP(tbl_Transactions[[#This Row],[Type]],Type[Trans_Type],Type[Type_Code],"",0)</f>
        <v/>
      </c>
    </row>
    <row r="219" spans="1:10" ht="19.5" customHeight="1">
      <c r="A219" t="str">
        <f t="shared" si="3"/>
        <v/>
      </c>
      <c r="C219" s="17"/>
      <c r="D219" t="str">
        <f>IFERROR(_xlfn.XLOOKUP(C219,Master_Employee[Emp_ID],Master_Employee[Name_AR],"",0),"")</f>
        <v/>
      </c>
      <c r="E219" t="str">
        <f>IFERROR(_xlfn.XLOOKUP(C219,Master_Employee[Emp_ID],Master_Employee[Name_EN],"",0),"")</f>
        <v/>
      </c>
      <c r="F219" t="str">
        <f>IFERROR(_xlfn.XLOOKUP(C219,Master_Employee[Emp_ID],Master_Employee[Department],"",0),"")</f>
        <v/>
      </c>
      <c r="H219" s="69"/>
      <c r="J219" t="str">
        <f>_xlfn.XLOOKUP(tbl_Transactions[[#This Row],[Type]],Type[Trans_Type],Type[Type_Code],"",0)</f>
        <v/>
      </c>
    </row>
    <row r="220" spans="1:10" ht="19.5" customHeight="1">
      <c r="A220" t="str">
        <f t="shared" si="3"/>
        <v/>
      </c>
      <c r="C220" s="17"/>
      <c r="D220" t="str">
        <f>IFERROR(_xlfn.XLOOKUP(C220,Master_Employee[Emp_ID],Master_Employee[Name_AR],"",0),"")</f>
        <v/>
      </c>
      <c r="E220" t="str">
        <f>IFERROR(_xlfn.XLOOKUP(C220,Master_Employee[Emp_ID],Master_Employee[Name_EN],"",0),"")</f>
        <v/>
      </c>
      <c r="F220" t="str">
        <f>IFERROR(_xlfn.XLOOKUP(C220,Master_Employee[Emp_ID],Master_Employee[Department],"",0),"")</f>
        <v/>
      </c>
      <c r="H220" s="69"/>
      <c r="J220" t="str">
        <f>_xlfn.XLOOKUP(tbl_Transactions[[#This Row],[Type]],Type[Trans_Type],Type[Type_Code],"",0)</f>
        <v/>
      </c>
    </row>
    <row r="221" spans="1:10" ht="19.5" customHeight="1">
      <c r="A221" t="str">
        <f t="shared" si="3"/>
        <v/>
      </c>
      <c r="C221" s="17"/>
      <c r="D221" t="str">
        <f>IFERROR(_xlfn.XLOOKUP(C221,Master_Employee[Emp_ID],Master_Employee[Name_AR],"",0),"")</f>
        <v/>
      </c>
      <c r="E221" t="str">
        <f>IFERROR(_xlfn.XLOOKUP(C221,Master_Employee[Emp_ID],Master_Employee[Name_EN],"",0),"")</f>
        <v/>
      </c>
      <c r="F221" t="str">
        <f>IFERROR(_xlfn.XLOOKUP(C221,Master_Employee[Emp_ID],Master_Employee[Department],"",0),"")</f>
        <v/>
      </c>
      <c r="H221" s="69"/>
      <c r="J221" t="str">
        <f>_xlfn.XLOOKUP(tbl_Transactions[[#This Row],[Type]],Type[Trans_Type],Type[Type_Code],"",0)</f>
        <v/>
      </c>
    </row>
    <row r="222" spans="1:10" ht="19.5" customHeight="1">
      <c r="A222" t="str">
        <f t="shared" si="3"/>
        <v/>
      </c>
      <c r="C222" s="17"/>
      <c r="D222" t="str">
        <f>IFERROR(_xlfn.XLOOKUP(C222,Master_Employee[Emp_ID],Master_Employee[Name_AR],"",0),"")</f>
        <v/>
      </c>
      <c r="E222" t="str">
        <f>IFERROR(_xlfn.XLOOKUP(C222,Master_Employee[Emp_ID],Master_Employee[Name_EN],"",0),"")</f>
        <v/>
      </c>
      <c r="F222" t="str">
        <f>IFERROR(_xlfn.XLOOKUP(C222,Master_Employee[Emp_ID],Master_Employee[Department],"",0),"")</f>
        <v/>
      </c>
      <c r="H222" s="69"/>
      <c r="J222" t="str">
        <f>_xlfn.XLOOKUP(tbl_Transactions[[#This Row],[Type]],Type[Trans_Type],Type[Type_Code],"",0)</f>
        <v/>
      </c>
    </row>
    <row r="223" spans="1:10" ht="19.5" customHeight="1">
      <c r="A223" t="str">
        <f t="shared" si="3"/>
        <v/>
      </c>
      <c r="C223" s="17"/>
      <c r="D223" t="str">
        <f>IFERROR(_xlfn.XLOOKUP(C223,Master_Employee[Emp_ID],Master_Employee[Name_AR],"",0),"")</f>
        <v/>
      </c>
      <c r="E223" t="str">
        <f>IFERROR(_xlfn.XLOOKUP(C223,Master_Employee[Emp_ID],Master_Employee[Name_EN],"",0),"")</f>
        <v/>
      </c>
      <c r="F223" t="str">
        <f>IFERROR(_xlfn.XLOOKUP(C223,Master_Employee[Emp_ID],Master_Employee[Department],"",0),"")</f>
        <v/>
      </c>
      <c r="H223" s="69"/>
      <c r="J223" t="str">
        <f>_xlfn.XLOOKUP(tbl_Transactions[[#This Row],[Type]],Type[Trans_Type],Type[Type_Code],"",0)</f>
        <v/>
      </c>
    </row>
    <row r="224" spans="1:10" ht="19.5" customHeight="1">
      <c r="A224" t="str">
        <f t="shared" si="3"/>
        <v/>
      </c>
      <c r="C224" s="17"/>
      <c r="D224" t="str">
        <f>IFERROR(_xlfn.XLOOKUP(C224,Master_Employee[Emp_ID],Master_Employee[Name_AR],"",0),"")</f>
        <v/>
      </c>
      <c r="E224" t="str">
        <f>IFERROR(_xlfn.XLOOKUP(C224,Master_Employee[Emp_ID],Master_Employee[Name_EN],"",0),"")</f>
        <v/>
      </c>
      <c r="F224" t="str">
        <f>IFERROR(_xlfn.XLOOKUP(C224,Master_Employee[Emp_ID],Master_Employee[Department],"",0),"")</f>
        <v/>
      </c>
      <c r="H224" s="69"/>
      <c r="J224" t="str">
        <f>_xlfn.XLOOKUP(tbl_Transactions[[#This Row],[Type]],Type[Trans_Type],Type[Type_Code],"",0)</f>
        <v/>
      </c>
    </row>
    <row r="225" spans="1:10" ht="19.5" customHeight="1">
      <c r="A225" t="str">
        <f t="shared" si="3"/>
        <v/>
      </c>
      <c r="C225" s="17"/>
      <c r="D225" t="str">
        <f>IFERROR(_xlfn.XLOOKUP(C225,Master_Employee[Emp_ID],Master_Employee[Name_AR],"",0),"")</f>
        <v/>
      </c>
      <c r="E225" t="str">
        <f>IFERROR(_xlfn.XLOOKUP(C225,Master_Employee[Emp_ID],Master_Employee[Name_EN],"",0),"")</f>
        <v/>
      </c>
      <c r="F225" t="str">
        <f>IFERROR(_xlfn.XLOOKUP(C225,Master_Employee[Emp_ID],Master_Employee[Department],"",0),"")</f>
        <v/>
      </c>
      <c r="H225" s="69"/>
      <c r="J225" t="str">
        <f>_xlfn.XLOOKUP(tbl_Transactions[[#This Row],[Type]],Type[Trans_Type],Type[Type_Code],"",0)</f>
        <v/>
      </c>
    </row>
    <row r="226" spans="1:10" ht="19.5" customHeight="1">
      <c r="A226" t="str">
        <f t="shared" si="3"/>
        <v/>
      </c>
      <c r="C226" s="17"/>
      <c r="D226" t="str">
        <f>IFERROR(_xlfn.XLOOKUP(C226,Master_Employee[Emp_ID],Master_Employee[Name_AR],"",0),"")</f>
        <v/>
      </c>
      <c r="E226" t="str">
        <f>IFERROR(_xlfn.XLOOKUP(C226,Master_Employee[Emp_ID],Master_Employee[Name_EN],"",0),"")</f>
        <v/>
      </c>
      <c r="F226" t="str">
        <f>IFERROR(_xlfn.XLOOKUP(C226,Master_Employee[Emp_ID],Master_Employee[Department],"",0),"")</f>
        <v/>
      </c>
      <c r="H226" s="69"/>
      <c r="J226" t="str">
        <f>_xlfn.XLOOKUP(tbl_Transactions[[#This Row],[Type]],Type[Trans_Type],Type[Type_Code],"",0)</f>
        <v/>
      </c>
    </row>
    <row r="227" spans="1:10" ht="19.5" customHeight="1">
      <c r="A227" t="str">
        <f t="shared" si="3"/>
        <v/>
      </c>
      <c r="C227" s="17"/>
      <c r="D227" t="str">
        <f>IFERROR(_xlfn.XLOOKUP(C227,Master_Employee[Emp_ID],Master_Employee[Name_AR],"",0),"")</f>
        <v/>
      </c>
      <c r="E227" t="str">
        <f>IFERROR(_xlfn.XLOOKUP(C227,Master_Employee[Emp_ID],Master_Employee[Name_EN],"",0),"")</f>
        <v/>
      </c>
      <c r="F227" t="str">
        <f>IFERROR(_xlfn.XLOOKUP(C227,Master_Employee[Emp_ID],Master_Employee[Department],"",0),"")</f>
        <v/>
      </c>
      <c r="H227" s="69"/>
      <c r="J227" t="str">
        <f>_xlfn.XLOOKUP(tbl_Transactions[[#This Row],[Type]],Type[Trans_Type],Type[Type_Code],"",0)</f>
        <v/>
      </c>
    </row>
    <row r="228" spans="1:10" ht="19.5" customHeight="1">
      <c r="A228" t="str">
        <f t="shared" si="3"/>
        <v/>
      </c>
      <c r="C228" s="17"/>
      <c r="D228" t="str">
        <f>IFERROR(_xlfn.XLOOKUP(C228,Master_Employee[Emp_ID],Master_Employee[Name_AR],"",0),"")</f>
        <v/>
      </c>
      <c r="E228" t="str">
        <f>IFERROR(_xlfn.XLOOKUP(C228,Master_Employee[Emp_ID],Master_Employee[Name_EN],"",0),"")</f>
        <v/>
      </c>
      <c r="F228" t="str">
        <f>IFERROR(_xlfn.XLOOKUP(C228,Master_Employee[Emp_ID],Master_Employee[Department],"",0),"")</f>
        <v/>
      </c>
      <c r="H228" s="69"/>
      <c r="J228" t="str">
        <f>_xlfn.XLOOKUP(tbl_Transactions[[#This Row],[Type]],Type[Trans_Type],Type[Type_Code],"",0)</f>
        <v/>
      </c>
    </row>
    <row r="229" spans="1:10" ht="19.5" customHeight="1">
      <c r="A229" t="str">
        <f t="shared" si="3"/>
        <v/>
      </c>
      <c r="C229" s="17"/>
      <c r="D229" t="str">
        <f>IFERROR(_xlfn.XLOOKUP(C229,Master_Employee[Emp_ID],Master_Employee[Name_AR],"",0),"")</f>
        <v/>
      </c>
      <c r="E229" t="str">
        <f>IFERROR(_xlfn.XLOOKUP(C229,Master_Employee[Emp_ID],Master_Employee[Name_EN],"",0),"")</f>
        <v/>
      </c>
      <c r="F229" t="str">
        <f>IFERROR(_xlfn.XLOOKUP(C229,Master_Employee[Emp_ID],Master_Employee[Department],"",0),"")</f>
        <v/>
      </c>
      <c r="H229" s="69"/>
      <c r="J229" t="str">
        <f>_xlfn.XLOOKUP(tbl_Transactions[[#This Row],[Type]],Type[Trans_Type],Type[Type_Code],"",0)</f>
        <v/>
      </c>
    </row>
    <row r="230" spans="1:10" ht="19.5" customHeight="1">
      <c r="A230" t="str">
        <f t="shared" si="3"/>
        <v/>
      </c>
      <c r="C230" s="17"/>
      <c r="D230" t="str">
        <f>IFERROR(_xlfn.XLOOKUP(C230,Master_Employee[Emp_ID],Master_Employee[Name_AR],"",0),"")</f>
        <v/>
      </c>
      <c r="E230" t="str">
        <f>IFERROR(_xlfn.XLOOKUP(C230,Master_Employee[Emp_ID],Master_Employee[Name_EN],"",0),"")</f>
        <v/>
      </c>
      <c r="F230" t="str">
        <f>IFERROR(_xlfn.XLOOKUP(C230,Master_Employee[Emp_ID],Master_Employee[Department],"",0),"")</f>
        <v/>
      </c>
      <c r="H230" s="69"/>
      <c r="J230" t="str">
        <f>_xlfn.XLOOKUP(tbl_Transactions[[#This Row],[Type]],Type[Trans_Type],Type[Type_Code],"",0)</f>
        <v/>
      </c>
    </row>
    <row r="231" spans="1:10" ht="19.5" customHeight="1">
      <c r="A231" t="str">
        <f t="shared" si="3"/>
        <v/>
      </c>
      <c r="C231" s="17"/>
      <c r="D231" t="str">
        <f>IFERROR(_xlfn.XLOOKUP(C231,Master_Employee[Emp_ID],Master_Employee[Name_AR],"",0),"")</f>
        <v/>
      </c>
      <c r="E231" t="str">
        <f>IFERROR(_xlfn.XLOOKUP(C231,Master_Employee[Emp_ID],Master_Employee[Name_EN],"",0),"")</f>
        <v/>
      </c>
      <c r="F231" t="str">
        <f>IFERROR(_xlfn.XLOOKUP(C231,Master_Employee[Emp_ID],Master_Employee[Department],"",0),"")</f>
        <v/>
      </c>
      <c r="H231" s="69"/>
      <c r="J231" t="str">
        <f>_xlfn.XLOOKUP(tbl_Transactions[[#This Row],[Type]],Type[Trans_Type],Type[Type_Code],"",0)</f>
        <v/>
      </c>
    </row>
    <row r="232" spans="1:10" ht="19.5" customHeight="1">
      <c r="A232" t="str">
        <f t="shared" si="3"/>
        <v/>
      </c>
      <c r="C232" s="17"/>
      <c r="D232" t="str">
        <f>IFERROR(_xlfn.XLOOKUP(C232,Master_Employee[Emp_ID],Master_Employee[Name_AR],"",0),"")</f>
        <v/>
      </c>
      <c r="E232" t="str">
        <f>IFERROR(_xlfn.XLOOKUP(C232,Master_Employee[Emp_ID],Master_Employee[Name_EN],"",0),"")</f>
        <v/>
      </c>
      <c r="F232" t="str">
        <f>IFERROR(_xlfn.XLOOKUP(C232,Master_Employee[Emp_ID],Master_Employee[Department],"",0),"")</f>
        <v/>
      </c>
      <c r="H232" s="69"/>
      <c r="J232" t="str">
        <f>_xlfn.XLOOKUP(tbl_Transactions[[#This Row],[Type]],Type[Trans_Type],Type[Type_Code],"",0)</f>
        <v/>
      </c>
    </row>
    <row r="233" spans="1:10" ht="19.5" customHeight="1">
      <c r="A233" t="str">
        <f t="shared" si="3"/>
        <v/>
      </c>
      <c r="C233" s="17"/>
      <c r="D233" t="str">
        <f>IFERROR(_xlfn.XLOOKUP(C233,Master_Employee[Emp_ID],Master_Employee[Name_AR],"",0),"")</f>
        <v/>
      </c>
      <c r="E233" t="str">
        <f>IFERROR(_xlfn.XLOOKUP(C233,Master_Employee[Emp_ID],Master_Employee[Name_EN],"",0),"")</f>
        <v/>
      </c>
      <c r="F233" t="str">
        <f>IFERROR(_xlfn.XLOOKUP(C233,Master_Employee[Emp_ID],Master_Employee[Department],"",0),"")</f>
        <v/>
      </c>
      <c r="H233" s="69"/>
      <c r="J233" t="str">
        <f>_xlfn.XLOOKUP(tbl_Transactions[[#This Row],[Type]],Type[Trans_Type],Type[Type_Code],"",0)</f>
        <v/>
      </c>
    </row>
    <row r="234" spans="1:10" ht="19.5" customHeight="1">
      <c r="A234" t="str">
        <f t="shared" si="3"/>
        <v/>
      </c>
      <c r="C234" s="17"/>
      <c r="D234" t="str">
        <f>IFERROR(_xlfn.XLOOKUP(C234,Master_Employee[Emp_ID],Master_Employee[Name_AR],"",0),"")</f>
        <v/>
      </c>
      <c r="E234" t="str">
        <f>IFERROR(_xlfn.XLOOKUP(C234,Master_Employee[Emp_ID],Master_Employee[Name_EN],"",0),"")</f>
        <v/>
      </c>
      <c r="F234" t="str">
        <f>IFERROR(_xlfn.XLOOKUP(C234,Master_Employee[Emp_ID],Master_Employee[Department],"",0),"")</f>
        <v/>
      </c>
      <c r="H234" s="69"/>
      <c r="J234" t="str">
        <f>_xlfn.XLOOKUP(tbl_Transactions[[#This Row],[Type]],Type[Trans_Type],Type[Type_Code],"",0)</f>
        <v/>
      </c>
    </row>
    <row r="235" spans="1:10" ht="19.5" customHeight="1">
      <c r="A235" t="str">
        <f t="shared" si="3"/>
        <v/>
      </c>
      <c r="C235" s="17"/>
      <c r="D235" t="str">
        <f>IFERROR(_xlfn.XLOOKUP(C235,Master_Employee[Emp_ID],Master_Employee[Name_AR],"",0),"")</f>
        <v/>
      </c>
      <c r="E235" t="str">
        <f>IFERROR(_xlfn.XLOOKUP(C235,Master_Employee[Emp_ID],Master_Employee[Name_EN],"",0),"")</f>
        <v/>
      </c>
      <c r="F235" t="str">
        <f>IFERROR(_xlfn.XLOOKUP(C235,Master_Employee[Emp_ID],Master_Employee[Department],"",0),"")</f>
        <v/>
      </c>
      <c r="H235" s="69"/>
      <c r="J235" t="str">
        <f>_xlfn.XLOOKUP(tbl_Transactions[[#This Row],[Type]],Type[Trans_Type],Type[Type_Code],"",0)</f>
        <v/>
      </c>
    </row>
    <row r="236" spans="1:10" ht="19.5" customHeight="1">
      <c r="A236" t="str">
        <f t="shared" si="3"/>
        <v/>
      </c>
      <c r="C236" s="17"/>
      <c r="D236" t="str">
        <f>IFERROR(_xlfn.XLOOKUP(C236,Master_Employee[Emp_ID],Master_Employee[Name_AR],"",0),"")</f>
        <v/>
      </c>
      <c r="E236" t="str">
        <f>IFERROR(_xlfn.XLOOKUP(C236,Master_Employee[Emp_ID],Master_Employee[Name_EN],"",0),"")</f>
        <v/>
      </c>
      <c r="F236" t="str">
        <f>IFERROR(_xlfn.XLOOKUP(C236,Master_Employee[Emp_ID],Master_Employee[Department],"",0),"")</f>
        <v/>
      </c>
      <c r="H236" s="69"/>
      <c r="J236" t="str">
        <f>_xlfn.XLOOKUP(tbl_Transactions[[#This Row],[Type]],Type[Trans_Type],Type[Type_Code],"",0)</f>
        <v/>
      </c>
    </row>
    <row r="237" spans="1:10" ht="19.5" customHeight="1">
      <c r="A237" t="str">
        <f t="shared" si="3"/>
        <v/>
      </c>
      <c r="C237" s="17"/>
      <c r="D237" t="str">
        <f>IFERROR(_xlfn.XLOOKUP(C237,Master_Employee[Emp_ID],Master_Employee[Name_AR],"",0),"")</f>
        <v/>
      </c>
      <c r="E237" t="str">
        <f>IFERROR(_xlfn.XLOOKUP(C237,Master_Employee[Emp_ID],Master_Employee[Name_EN],"",0),"")</f>
        <v/>
      </c>
      <c r="F237" t="str">
        <f>IFERROR(_xlfn.XLOOKUP(C237,Master_Employee[Emp_ID],Master_Employee[Department],"",0),"")</f>
        <v/>
      </c>
      <c r="H237" s="69"/>
      <c r="J237" t="str">
        <f>_xlfn.XLOOKUP(tbl_Transactions[[#This Row],[Type]],Type[Trans_Type],Type[Type_Code],"",0)</f>
        <v/>
      </c>
    </row>
    <row r="238" spans="1:10" ht="19.5" customHeight="1">
      <c r="A238" t="str">
        <f t="shared" si="3"/>
        <v/>
      </c>
      <c r="C238" s="17"/>
      <c r="D238" t="str">
        <f>IFERROR(_xlfn.XLOOKUP(C238,Master_Employee[Emp_ID],Master_Employee[Name_AR],"",0),"")</f>
        <v/>
      </c>
      <c r="E238" t="str">
        <f>IFERROR(_xlfn.XLOOKUP(C238,Master_Employee[Emp_ID],Master_Employee[Name_EN],"",0),"")</f>
        <v/>
      </c>
      <c r="F238" t="str">
        <f>IFERROR(_xlfn.XLOOKUP(C238,Master_Employee[Emp_ID],Master_Employee[Department],"",0),"")</f>
        <v/>
      </c>
      <c r="H238" s="69"/>
      <c r="J238" t="str">
        <f>_xlfn.XLOOKUP(tbl_Transactions[[#This Row],[Type]],Type[Trans_Type],Type[Type_Code],"",0)</f>
        <v/>
      </c>
    </row>
    <row r="239" spans="1:10" ht="19.5" customHeight="1">
      <c r="A239" t="str">
        <f t="shared" si="3"/>
        <v/>
      </c>
      <c r="C239" s="17"/>
      <c r="D239" t="str">
        <f>IFERROR(_xlfn.XLOOKUP(C239,Master_Employee[Emp_ID],Master_Employee[Name_AR],"",0),"")</f>
        <v/>
      </c>
      <c r="E239" t="str">
        <f>IFERROR(_xlfn.XLOOKUP(C239,Master_Employee[Emp_ID],Master_Employee[Name_EN],"",0),"")</f>
        <v/>
      </c>
      <c r="F239" t="str">
        <f>IFERROR(_xlfn.XLOOKUP(C239,Master_Employee[Emp_ID],Master_Employee[Department],"",0),"")</f>
        <v/>
      </c>
      <c r="H239" s="69"/>
      <c r="J239" t="str">
        <f>_xlfn.XLOOKUP(tbl_Transactions[[#This Row],[Type]],Type[Trans_Type],Type[Type_Code],"",0)</f>
        <v/>
      </c>
    </row>
    <row r="240" spans="1:10" ht="19.5" customHeight="1">
      <c r="A240" t="str">
        <f t="shared" si="3"/>
        <v/>
      </c>
      <c r="C240" s="17"/>
      <c r="D240" t="str">
        <f>IFERROR(_xlfn.XLOOKUP(C240,Master_Employee[Emp_ID],Master_Employee[Name_AR],"",0),"")</f>
        <v/>
      </c>
      <c r="E240" t="str">
        <f>IFERROR(_xlfn.XLOOKUP(C240,Master_Employee[Emp_ID],Master_Employee[Name_EN],"",0),"")</f>
        <v/>
      </c>
      <c r="F240" t="str">
        <f>IFERROR(_xlfn.XLOOKUP(C240,Master_Employee[Emp_ID],Master_Employee[Department],"",0),"")</f>
        <v/>
      </c>
      <c r="H240" s="69"/>
      <c r="J240" t="str">
        <f>_xlfn.XLOOKUP(tbl_Transactions[[#This Row],[Type]],Type[Trans_Type],Type[Type_Code],"",0)</f>
        <v/>
      </c>
    </row>
    <row r="241" spans="1:10" ht="19.5" customHeight="1">
      <c r="A241" t="str">
        <f t="shared" si="3"/>
        <v/>
      </c>
      <c r="C241" s="17"/>
      <c r="D241" t="str">
        <f>IFERROR(_xlfn.XLOOKUP(C241,Master_Employee[Emp_ID],Master_Employee[Name_AR],"",0),"")</f>
        <v/>
      </c>
      <c r="E241" t="str">
        <f>IFERROR(_xlfn.XLOOKUP(C241,Master_Employee[Emp_ID],Master_Employee[Name_EN],"",0),"")</f>
        <v/>
      </c>
      <c r="F241" t="str">
        <f>IFERROR(_xlfn.XLOOKUP(C241,Master_Employee[Emp_ID],Master_Employee[Department],"",0),"")</f>
        <v/>
      </c>
      <c r="H241" s="69"/>
      <c r="J241" t="str">
        <f>_xlfn.XLOOKUP(tbl_Transactions[[#This Row],[Type]],Type[Trans_Type],Type[Type_Code],"",0)</f>
        <v/>
      </c>
    </row>
    <row r="242" spans="1:10" ht="19.5" customHeight="1">
      <c r="A242" t="str">
        <f t="shared" si="3"/>
        <v/>
      </c>
      <c r="C242" s="17"/>
      <c r="D242" t="str">
        <f>IFERROR(_xlfn.XLOOKUP(C242,Master_Employee[Emp_ID],Master_Employee[Name_AR],"",0),"")</f>
        <v/>
      </c>
      <c r="E242" t="str">
        <f>IFERROR(_xlfn.XLOOKUP(C242,Master_Employee[Emp_ID],Master_Employee[Name_EN],"",0),"")</f>
        <v/>
      </c>
      <c r="F242" t="str">
        <f>IFERROR(_xlfn.XLOOKUP(C242,Master_Employee[Emp_ID],Master_Employee[Department],"",0),"")</f>
        <v/>
      </c>
      <c r="H242" s="69"/>
      <c r="J242" t="str">
        <f>_xlfn.XLOOKUP(tbl_Transactions[[#This Row],[Type]],Type[Trans_Type],Type[Type_Code],"",0)</f>
        <v/>
      </c>
    </row>
    <row r="243" spans="1:10" ht="19.5" customHeight="1">
      <c r="A243" t="str">
        <f t="shared" si="3"/>
        <v/>
      </c>
      <c r="C243" s="17"/>
      <c r="D243" t="str">
        <f>IFERROR(_xlfn.XLOOKUP(C243,Master_Employee[Emp_ID],Master_Employee[Name_AR],"",0),"")</f>
        <v/>
      </c>
      <c r="E243" t="str">
        <f>IFERROR(_xlfn.XLOOKUP(C243,Master_Employee[Emp_ID],Master_Employee[Name_EN],"",0),"")</f>
        <v/>
      </c>
      <c r="F243" t="str">
        <f>IFERROR(_xlfn.XLOOKUP(C243,Master_Employee[Emp_ID],Master_Employee[Department],"",0),"")</f>
        <v/>
      </c>
      <c r="H243" s="69"/>
      <c r="J243" t="str">
        <f>_xlfn.XLOOKUP(tbl_Transactions[[#This Row],[Type]],Type[Trans_Type],Type[Type_Code],"",0)</f>
        <v/>
      </c>
    </row>
    <row r="244" spans="1:10" ht="19.5" customHeight="1">
      <c r="A244" t="str">
        <f t="shared" si="3"/>
        <v/>
      </c>
      <c r="C244" s="17"/>
      <c r="D244" t="str">
        <f>IFERROR(_xlfn.XLOOKUP(C244,Master_Employee[Emp_ID],Master_Employee[Name_AR],"",0),"")</f>
        <v/>
      </c>
      <c r="E244" t="str">
        <f>IFERROR(_xlfn.XLOOKUP(C244,Master_Employee[Emp_ID],Master_Employee[Name_EN],"",0),"")</f>
        <v/>
      </c>
      <c r="F244" t="str">
        <f>IFERROR(_xlfn.XLOOKUP(C244,Master_Employee[Emp_ID],Master_Employee[Department],"",0),"")</f>
        <v/>
      </c>
      <c r="H244" s="69"/>
      <c r="J244" t="str">
        <f>_xlfn.XLOOKUP(tbl_Transactions[[#This Row],[Type]],Type[Trans_Type],Type[Type_Code],"",0)</f>
        <v/>
      </c>
    </row>
    <row r="245" spans="1:10" ht="19.5" customHeight="1">
      <c r="A245" t="str">
        <f t="shared" si="3"/>
        <v/>
      </c>
      <c r="C245" s="17"/>
      <c r="D245" t="str">
        <f>IFERROR(_xlfn.XLOOKUP(C245,Master_Employee[Emp_ID],Master_Employee[Name_AR],"",0),"")</f>
        <v/>
      </c>
      <c r="E245" t="str">
        <f>IFERROR(_xlfn.XLOOKUP(C245,Master_Employee[Emp_ID],Master_Employee[Name_EN],"",0),"")</f>
        <v/>
      </c>
      <c r="F245" t="str">
        <f>IFERROR(_xlfn.XLOOKUP(C245,Master_Employee[Emp_ID],Master_Employee[Department],"",0),"")</f>
        <v/>
      </c>
      <c r="H245" s="69"/>
      <c r="J245" t="str">
        <f>_xlfn.XLOOKUP(tbl_Transactions[[#This Row],[Type]],Type[Trans_Type],Type[Type_Code],"",0)</f>
        <v/>
      </c>
    </row>
    <row r="246" spans="1:10" ht="19.5" customHeight="1">
      <c r="A246" t="str">
        <f t="shared" si="3"/>
        <v/>
      </c>
      <c r="C246" s="17"/>
      <c r="D246" t="str">
        <f>IFERROR(_xlfn.XLOOKUP(C246,Master_Employee[Emp_ID],Master_Employee[Name_AR],"",0),"")</f>
        <v/>
      </c>
      <c r="E246" t="str">
        <f>IFERROR(_xlfn.XLOOKUP(C246,Master_Employee[Emp_ID],Master_Employee[Name_EN],"",0),"")</f>
        <v/>
      </c>
      <c r="F246" t="str">
        <f>IFERROR(_xlfn.XLOOKUP(C246,Master_Employee[Emp_ID],Master_Employee[Department],"",0),"")</f>
        <v/>
      </c>
      <c r="H246" s="69"/>
      <c r="J246" t="str">
        <f>_xlfn.XLOOKUP(tbl_Transactions[[#This Row],[Type]],Type[Trans_Type],Type[Type_Code],"",0)</f>
        <v/>
      </c>
    </row>
    <row r="247" spans="1:10" ht="19.5" customHeight="1">
      <c r="A247" t="str">
        <f t="shared" si="3"/>
        <v/>
      </c>
      <c r="C247" s="17"/>
      <c r="D247" t="str">
        <f>IFERROR(_xlfn.XLOOKUP(C247,Master_Employee[Emp_ID],Master_Employee[Name_AR],"",0),"")</f>
        <v/>
      </c>
      <c r="E247" t="str">
        <f>IFERROR(_xlfn.XLOOKUP(C247,Master_Employee[Emp_ID],Master_Employee[Name_EN],"",0),"")</f>
        <v/>
      </c>
      <c r="F247" t="str">
        <f>IFERROR(_xlfn.XLOOKUP(C247,Master_Employee[Emp_ID],Master_Employee[Department],"",0),"")</f>
        <v/>
      </c>
      <c r="H247" s="69"/>
      <c r="J247" t="str">
        <f>_xlfn.XLOOKUP(tbl_Transactions[[#This Row],[Type]],Type[Trans_Type],Type[Type_Code],"",0)</f>
        <v/>
      </c>
    </row>
    <row r="248" spans="1:10" ht="19.5" customHeight="1">
      <c r="A248" t="str">
        <f t="shared" si="3"/>
        <v/>
      </c>
      <c r="C248" s="17"/>
      <c r="D248" t="str">
        <f>IFERROR(_xlfn.XLOOKUP(C248,Master_Employee[Emp_ID],Master_Employee[Name_AR],"",0),"")</f>
        <v/>
      </c>
      <c r="E248" t="str">
        <f>IFERROR(_xlfn.XLOOKUP(C248,Master_Employee[Emp_ID],Master_Employee[Name_EN],"",0),"")</f>
        <v/>
      </c>
      <c r="F248" t="str">
        <f>IFERROR(_xlfn.XLOOKUP(C248,Master_Employee[Emp_ID],Master_Employee[Department],"",0),"")</f>
        <v/>
      </c>
      <c r="H248" s="69"/>
      <c r="J248" t="str">
        <f>_xlfn.XLOOKUP(tbl_Transactions[[#This Row],[Type]],Type[Trans_Type],Type[Type_Code],"",0)</f>
        <v/>
      </c>
    </row>
    <row r="249" spans="1:10" ht="19.5" customHeight="1">
      <c r="A249" t="str">
        <f t="shared" si="3"/>
        <v/>
      </c>
      <c r="C249" s="17"/>
      <c r="D249" t="str">
        <f>IFERROR(_xlfn.XLOOKUP(C249,Master_Employee[Emp_ID],Master_Employee[Name_AR],"",0),"")</f>
        <v/>
      </c>
      <c r="E249" t="str">
        <f>IFERROR(_xlfn.XLOOKUP(C249,Master_Employee[Emp_ID],Master_Employee[Name_EN],"",0),"")</f>
        <v/>
      </c>
      <c r="F249" t="str">
        <f>IFERROR(_xlfn.XLOOKUP(C249,Master_Employee[Emp_ID],Master_Employee[Department],"",0),"")</f>
        <v/>
      </c>
      <c r="H249" s="69"/>
      <c r="J249" t="str">
        <f>_xlfn.XLOOKUP(tbl_Transactions[[#This Row],[Type]],Type[Trans_Type],Type[Type_Code],"",0)</f>
        <v/>
      </c>
    </row>
    <row r="250" spans="1:10" ht="19.5" customHeight="1">
      <c r="A250" t="str">
        <f t="shared" si="3"/>
        <v/>
      </c>
      <c r="C250" s="17"/>
      <c r="D250" t="str">
        <f>IFERROR(_xlfn.XLOOKUP(C250,Master_Employee[Emp_ID],Master_Employee[Name_AR],"",0),"")</f>
        <v/>
      </c>
      <c r="E250" t="str">
        <f>IFERROR(_xlfn.XLOOKUP(C250,Master_Employee[Emp_ID],Master_Employee[Name_EN],"",0),"")</f>
        <v/>
      </c>
      <c r="F250" t="str">
        <f>IFERROR(_xlfn.XLOOKUP(C250,Master_Employee[Emp_ID],Master_Employee[Department],"",0),"")</f>
        <v/>
      </c>
      <c r="H250" s="69"/>
      <c r="J250" t="str">
        <f>_xlfn.XLOOKUP(tbl_Transactions[[#This Row],[Type]],Type[Trans_Type],Type[Type_Code],"",0)</f>
        <v/>
      </c>
    </row>
    <row r="251" spans="1:10" ht="19.5" customHeight="1">
      <c r="A251" t="str">
        <f t="shared" si="3"/>
        <v/>
      </c>
      <c r="C251" s="17"/>
      <c r="D251" t="str">
        <f>IFERROR(_xlfn.XLOOKUP(C251,Master_Employee[Emp_ID],Master_Employee[Name_AR],"",0),"")</f>
        <v/>
      </c>
      <c r="E251" t="str">
        <f>IFERROR(_xlfn.XLOOKUP(C251,Master_Employee[Emp_ID],Master_Employee[Name_EN],"",0),"")</f>
        <v/>
      </c>
      <c r="F251" t="str">
        <f>IFERROR(_xlfn.XLOOKUP(C251,Master_Employee[Emp_ID],Master_Employee[Department],"",0),"")</f>
        <v/>
      </c>
      <c r="H251" s="69"/>
      <c r="J251" t="str">
        <f>_xlfn.XLOOKUP(tbl_Transactions[[#This Row],[Type]],Type[Trans_Type],Type[Type_Code],"",0)</f>
        <v/>
      </c>
    </row>
    <row r="252" spans="1:10" ht="19.5" customHeight="1">
      <c r="A252" t="str">
        <f t="shared" si="3"/>
        <v/>
      </c>
      <c r="C252" s="17"/>
      <c r="D252" t="str">
        <f>IFERROR(_xlfn.XLOOKUP(C252,Master_Employee[Emp_ID],Master_Employee[Name_AR],"",0),"")</f>
        <v/>
      </c>
      <c r="E252" t="str">
        <f>IFERROR(_xlfn.XLOOKUP(C252,Master_Employee[Emp_ID],Master_Employee[Name_EN],"",0),"")</f>
        <v/>
      </c>
      <c r="F252" t="str">
        <f>IFERROR(_xlfn.XLOOKUP(C252,Master_Employee[Emp_ID],Master_Employee[Department],"",0),"")</f>
        <v/>
      </c>
      <c r="H252" s="69"/>
      <c r="J252" t="str">
        <f>_xlfn.XLOOKUP(tbl_Transactions[[#This Row],[Type]],Type[Trans_Type],Type[Type_Code],"",0)</f>
        <v/>
      </c>
    </row>
    <row r="253" spans="1:10" ht="19.5" customHeight="1">
      <c r="A253" t="str">
        <f t="shared" si="3"/>
        <v/>
      </c>
      <c r="C253" s="17"/>
      <c r="D253" t="str">
        <f>IFERROR(_xlfn.XLOOKUP(C253,Master_Employee[Emp_ID],Master_Employee[Name_AR],"",0),"")</f>
        <v/>
      </c>
      <c r="E253" t="str">
        <f>IFERROR(_xlfn.XLOOKUP(C253,Master_Employee[Emp_ID],Master_Employee[Name_EN],"",0),"")</f>
        <v/>
      </c>
      <c r="F253" t="str">
        <f>IFERROR(_xlfn.XLOOKUP(C253,Master_Employee[Emp_ID],Master_Employee[Department],"",0),"")</f>
        <v/>
      </c>
      <c r="H253" s="69"/>
      <c r="J253" t="str">
        <f>_xlfn.XLOOKUP(tbl_Transactions[[#This Row],[Type]],Type[Trans_Type],Type[Type_Code],"",0)</f>
        <v/>
      </c>
    </row>
    <row r="254" spans="1:10" ht="19.5" customHeight="1">
      <c r="A254" t="str">
        <f t="shared" si="3"/>
        <v/>
      </c>
      <c r="C254" s="17"/>
      <c r="D254" t="str">
        <f>IFERROR(_xlfn.XLOOKUP(C254,Master_Employee[Emp_ID],Master_Employee[Name_AR],"",0),"")</f>
        <v/>
      </c>
      <c r="E254" t="str">
        <f>IFERROR(_xlfn.XLOOKUP(C254,Master_Employee[Emp_ID],Master_Employee[Name_EN],"",0),"")</f>
        <v/>
      </c>
      <c r="F254" t="str">
        <f>IFERROR(_xlfn.XLOOKUP(C254,Master_Employee[Emp_ID],Master_Employee[Department],"",0),"")</f>
        <v/>
      </c>
      <c r="H254" s="69"/>
      <c r="J254" t="str">
        <f>_xlfn.XLOOKUP(tbl_Transactions[[#This Row],[Type]],Type[Trans_Type],Type[Type_Code],"",0)</f>
        <v/>
      </c>
    </row>
    <row r="255" spans="1:10" ht="19.5" customHeight="1">
      <c r="A255" t="str">
        <f t="shared" si="3"/>
        <v/>
      </c>
      <c r="C255" s="17"/>
      <c r="D255" t="str">
        <f>IFERROR(_xlfn.XLOOKUP(C255,Master_Employee[Emp_ID],Master_Employee[Name_AR],"",0),"")</f>
        <v/>
      </c>
      <c r="E255" t="str">
        <f>IFERROR(_xlfn.XLOOKUP(C255,Master_Employee[Emp_ID],Master_Employee[Name_EN],"",0),"")</f>
        <v/>
      </c>
      <c r="F255" t="str">
        <f>IFERROR(_xlfn.XLOOKUP(C255,Master_Employee[Emp_ID],Master_Employee[Department],"",0),"")</f>
        <v/>
      </c>
      <c r="H255" s="69"/>
      <c r="J255" t="str">
        <f>_xlfn.XLOOKUP(tbl_Transactions[[#This Row],[Type]],Type[Trans_Type],Type[Type_Code],"",0)</f>
        <v/>
      </c>
    </row>
    <row r="256" spans="1:10" ht="19.5" customHeight="1">
      <c r="A256" t="str">
        <f t="shared" si="3"/>
        <v/>
      </c>
      <c r="C256" s="17"/>
      <c r="D256" t="str">
        <f>IFERROR(_xlfn.XLOOKUP(C256,Master_Employee[Emp_ID],Master_Employee[Name_AR],"",0),"")</f>
        <v/>
      </c>
      <c r="E256" t="str">
        <f>IFERROR(_xlfn.XLOOKUP(C256,Master_Employee[Emp_ID],Master_Employee[Name_EN],"",0),"")</f>
        <v/>
      </c>
      <c r="F256" t="str">
        <f>IFERROR(_xlfn.XLOOKUP(C256,Master_Employee[Emp_ID],Master_Employee[Department],"",0),"")</f>
        <v/>
      </c>
      <c r="H256" s="69"/>
      <c r="J256" t="str">
        <f>_xlfn.XLOOKUP(tbl_Transactions[[#This Row],[Type]],Type[Trans_Type],Type[Type_Code],"",0)</f>
        <v/>
      </c>
    </row>
    <row r="257" spans="1:10" ht="19.5" customHeight="1">
      <c r="A257" t="str">
        <f t="shared" si="3"/>
        <v/>
      </c>
      <c r="C257" s="17"/>
      <c r="D257" t="str">
        <f>IFERROR(_xlfn.XLOOKUP(C257,Master_Employee[Emp_ID],Master_Employee[Name_AR],"",0),"")</f>
        <v/>
      </c>
      <c r="E257" t="str">
        <f>IFERROR(_xlfn.XLOOKUP(C257,Master_Employee[Emp_ID],Master_Employee[Name_EN],"",0),"")</f>
        <v/>
      </c>
      <c r="F257" t="str">
        <f>IFERROR(_xlfn.XLOOKUP(C257,Master_Employee[Emp_ID],Master_Employee[Department],"",0),"")</f>
        <v/>
      </c>
      <c r="H257" s="69"/>
      <c r="J257" t="str">
        <f>_xlfn.XLOOKUP(tbl_Transactions[[#This Row],[Type]],Type[Trans_Type],Type[Type_Code],"",0)</f>
        <v/>
      </c>
    </row>
    <row r="258" spans="1:10" ht="19.5" customHeight="1">
      <c r="A258" t="str">
        <f t="shared" si="3"/>
        <v/>
      </c>
      <c r="C258" s="17"/>
      <c r="D258" t="str">
        <f>IFERROR(_xlfn.XLOOKUP(C258,Master_Employee[Emp_ID],Master_Employee[Name_AR],"",0),"")</f>
        <v/>
      </c>
      <c r="E258" t="str">
        <f>IFERROR(_xlfn.XLOOKUP(C258,Master_Employee[Emp_ID],Master_Employee[Name_EN],"",0),"")</f>
        <v/>
      </c>
      <c r="F258" t="str">
        <f>IFERROR(_xlfn.XLOOKUP(C258,Master_Employee[Emp_ID],Master_Employee[Department],"",0),"")</f>
        <v/>
      </c>
      <c r="H258" s="69"/>
      <c r="J258" t="str">
        <f>_xlfn.XLOOKUP(tbl_Transactions[[#This Row],[Type]],Type[Trans_Type],Type[Type_Code],"",0)</f>
        <v/>
      </c>
    </row>
    <row r="259" spans="1:10" ht="19.5" customHeight="1">
      <c r="A259" t="str">
        <f t="shared" si="3"/>
        <v/>
      </c>
      <c r="C259" s="17"/>
      <c r="D259" t="str">
        <f>IFERROR(_xlfn.XLOOKUP(C259,Master_Employee[Emp_ID],Master_Employee[Name_AR],"",0),"")</f>
        <v/>
      </c>
      <c r="E259" t="str">
        <f>IFERROR(_xlfn.XLOOKUP(C259,Master_Employee[Emp_ID],Master_Employee[Name_EN],"",0),"")</f>
        <v/>
      </c>
      <c r="F259" t="str">
        <f>IFERROR(_xlfn.XLOOKUP(C259,Master_Employee[Emp_ID],Master_Employee[Department],"",0),"")</f>
        <v/>
      </c>
      <c r="H259" s="69"/>
      <c r="J259" t="str">
        <f>_xlfn.XLOOKUP(tbl_Transactions[[#This Row],[Type]],Type[Trans_Type],Type[Type_Code],"",0)</f>
        <v/>
      </c>
    </row>
    <row r="260" spans="1:10" ht="19.5" customHeight="1">
      <c r="A260" t="str">
        <f t="shared" si="3"/>
        <v/>
      </c>
      <c r="C260" s="17"/>
      <c r="D260" t="str">
        <f>IFERROR(_xlfn.XLOOKUP(C260,Master_Employee[Emp_ID],Master_Employee[Name_AR],"",0),"")</f>
        <v/>
      </c>
      <c r="E260" t="str">
        <f>IFERROR(_xlfn.XLOOKUP(C260,Master_Employee[Emp_ID],Master_Employee[Name_EN],"",0),"")</f>
        <v/>
      </c>
      <c r="F260" t="str">
        <f>IFERROR(_xlfn.XLOOKUP(C260,Master_Employee[Emp_ID],Master_Employee[Department],"",0),"")</f>
        <v/>
      </c>
      <c r="H260" s="69"/>
      <c r="J260" t="str">
        <f>_xlfn.XLOOKUP(tbl_Transactions[[#This Row],[Type]],Type[Trans_Type],Type[Type_Code],"",0)</f>
        <v/>
      </c>
    </row>
    <row r="261" spans="1:10" ht="19.5" customHeight="1">
      <c r="A261" t="str">
        <f t="shared" si="3"/>
        <v/>
      </c>
      <c r="C261" s="17"/>
      <c r="D261" t="str">
        <f>IFERROR(_xlfn.XLOOKUP(C261,Master_Employee[Emp_ID],Master_Employee[Name_AR],"",0),"")</f>
        <v/>
      </c>
      <c r="E261" t="str">
        <f>IFERROR(_xlfn.XLOOKUP(C261,Master_Employee[Emp_ID],Master_Employee[Name_EN],"",0),"")</f>
        <v/>
      </c>
      <c r="F261" t="str">
        <f>IFERROR(_xlfn.XLOOKUP(C261,Master_Employee[Emp_ID],Master_Employee[Department],"",0),"")</f>
        <v/>
      </c>
      <c r="H261" s="69"/>
      <c r="J261" t="str">
        <f>_xlfn.XLOOKUP(tbl_Transactions[[#This Row],[Type]],Type[Trans_Type],Type[Type_Code],"",0)</f>
        <v/>
      </c>
    </row>
    <row r="262" spans="1:10" ht="19.5" customHeight="1">
      <c r="A262" t="str">
        <f t="shared" si="3"/>
        <v/>
      </c>
      <c r="C262" s="17"/>
      <c r="D262" t="str">
        <f>IFERROR(_xlfn.XLOOKUP(C262,Master_Employee[Emp_ID],Master_Employee[Name_AR],"",0),"")</f>
        <v/>
      </c>
      <c r="E262" t="str">
        <f>IFERROR(_xlfn.XLOOKUP(C262,Master_Employee[Emp_ID],Master_Employee[Name_EN],"",0),"")</f>
        <v/>
      </c>
      <c r="F262" t="str">
        <f>IFERROR(_xlfn.XLOOKUP(C262,Master_Employee[Emp_ID],Master_Employee[Department],"",0),"")</f>
        <v/>
      </c>
      <c r="H262" s="69"/>
      <c r="J262" t="str">
        <f>_xlfn.XLOOKUP(tbl_Transactions[[#This Row],[Type]],Type[Trans_Type],Type[Type_Code],"",0)</f>
        <v/>
      </c>
    </row>
    <row r="263" spans="1:10" ht="19.5" customHeight="1">
      <c r="A263" t="str">
        <f t="shared" ref="A263:A306" si="4">IFERROR(IF(C263="","",ROW()-2),"")</f>
        <v/>
      </c>
      <c r="C263" s="17"/>
      <c r="D263" t="str">
        <f>IFERROR(_xlfn.XLOOKUP(C263,Master_Employee[Emp_ID],Master_Employee[Name_AR],"",0),"")</f>
        <v/>
      </c>
      <c r="E263" t="str">
        <f>IFERROR(_xlfn.XLOOKUP(C263,Master_Employee[Emp_ID],Master_Employee[Name_EN],"",0),"")</f>
        <v/>
      </c>
      <c r="F263" t="str">
        <f>IFERROR(_xlfn.XLOOKUP(C263,Master_Employee[Emp_ID],Master_Employee[Department],"",0),"")</f>
        <v/>
      </c>
      <c r="H263" s="69"/>
      <c r="J263" t="str">
        <f>_xlfn.XLOOKUP(tbl_Transactions[[#This Row],[Type]],Type[Trans_Type],Type[Type_Code],"",0)</f>
        <v/>
      </c>
    </row>
    <row r="264" spans="1:10" ht="19.5" customHeight="1">
      <c r="A264" t="str">
        <f t="shared" si="4"/>
        <v/>
      </c>
      <c r="C264" s="17"/>
      <c r="D264" t="str">
        <f>IFERROR(_xlfn.XLOOKUP(C264,Master_Employee[Emp_ID],Master_Employee[Name_AR],"",0),"")</f>
        <v/>
      </c>
      <c r="E264" t="str">
        <f>IFERROR(_xlfn.XLOOKUP(C264,Master_Employee[Emp_ID],Master_Employee[Name_EN],"",0),"")</f>
        <v/>
      </c>
      <c r="F264" t="str">
        <f>IFERROR(_xlfn.XLOOKUP(C264,Master_Employee[Emp_ID],Master_Employee[Department],"",0),"")</f>
        <v/>
      </c>
      <c r="H264" s="69"/>
      <c r="J264" t="str">
        <f>_xlfn.XLOOKUP(tbl_Transactions[[#This Row],[Type]],Type[Trans_Type],Type[Type_Code],"",0)</f>
        <v/>
      </c>
    </row>
    <row r="265" spans="1:10" ht="19.5" customHeight="1">
      <c r="A265" t="str">
        <f t="shared" si="4"/>
        <v/>
      </c>
      <c r="C265" s="17"/>
      <c r="D265" t="str">
        <f>IFERROR(_xlfn.XLOOKUP(C265,Master_Employee[Emp_ID],Master_Employee[Name_AR],"",0),"")</f>
        <v/>
      </c>
      <c r="E265" t="str">
        <f>IFERROR(_xlfn.XLOOKUP(C265,Master_Employee[Emp_ID],Master_Employee[Name_EN],"",0),"")</f>
        <v/>
      </c>
      <c r="F265" t="str">
        <f>IFERROR(_xlfn.XLOOKUP(C265,Master_Employee[Emp_ID],Master_Employee[Department],"",0),"")</f>
        <v/>
      </c>
      <c r="H265" s="69"/>
      <c r="J265" t="str">
        <f>_xlfn.XLOOKUP(tbl_Transactions[[#This Row],[Type]],Type[Trans_Type],Type[Type_Code],"",0)</f>
        <v/>
      </c>
    </row>
    <row r="266" spans="1:10" ht="19.5" customHeight="1">
      <c r="A266" t="str">
        <f t="shared" si="4"/>
        <v/>
      </c>
      <c r="C266" s="17"/>
      <c r="D266" t="str">
        <f>IFERROR(_xlfn.XLOOKUP(C266,Master_Employee[Emp_ID],Master_Employee[Name_AR],"",0),"")</f>
        <v/>
      </c>
      <c r="E266" t="str">
        <f>IFERROR(_xlfn.XLOOKUP(C266,Master_Employee[Emp_ID],Master_Employee[Name_EN],"",0),"")</f>
        <v/>
      </c>
      <c r="F266" t="str">
        <f>IFERROR(_xlfn.XLOOKUP(C266,Master_Employee[Emp_ID],Master_Employee[Department],"",0),"")</f>
        <v/>
      </c>
      <c r="H266" s="69"/>
      <c r="J266" t="str">
        <f>_xlfn.XLOOKUP(tbl_Transactions[[#This Row],[Type]],Type[Trans_Type],Type[Type_Code],"",0)</f>
        <v/>
      </c>
    </row>
    <row r="267" spans="1:10" ht="19.5" customHeight="1">
      <c r="A267" t="str">
        <f t="shared" si="4"/>
        <v/>
      </c>
      <c r="C267" s="17"/>
      <c r="D267" t="str">
        <f>IFERROR(_xlfn.XLOOKUP(C267,Master_Employee[Emp_ID],Master_Employee[Name_AR],"",0),"")</f>
        <v/>
      </c>
      <c r="E267" t="str">
        <f>IFERROR(_xlfn.XLOOKUP(C267,Master_Employee[Emp_ID],Master_Employee[Name_EN],"",0),"")</f>
        <v/>
      </c>
      <c r="F267" t="str">
        <f>IFERROR(_xlfn.XLOOKUP(C267,Master_Employee[Emp_ID],Master_Employee[Department],"",0),"")</f>
        <v/>
      </c>
      <c r="H267" s="69"/>
      <c r="J267" t="str">
        <f>_xlfn.XLOOKUP(tbl_Transactions[[#This Row],[Type]],Type[Trans_Type],Type[Type_Code],"",0)</f>
        <v/>
      </c>
    </row>
    <row r="268" spans="1:10" ht="19.5" customHeight="1">
      <c r="A268" t="str">
        <f t="shared" si="4"/>
        <v/>
      </c>
      <c r="C268" s="17"/>
      <c r="D268" t="str">
        <f>IFERROR(_xlfn.XLOOKUP(C268,Master_Employee[Emp_ID],Master_Employee[Name_AR],"",0),"")</f>
        <v/>
      </c>
      <c r="E268" t="str">
        <f>IFERROR(_xlfn.XLOOKUP(C268,Master_Employee[Emp_ID],Master_Employee[Name_EN],"",0),"")</f>
        <v/>
      </c>
      <c r="F268" t="str">
        <f>IFERROR(_xlfn.XLOOKUP(C268,Master_Employee[Emp_ID],Master_Employee[Department],"",0),"")</f>
        <v/>
      </c>
      <c r="H268" s="69"/>
      <c r="J268" t="str">
        <f>_xlfn.XLOOKUP(tbl_Transactions[[#This Row],[Type]],Type[Trans_Type],Type[Type_Code],"",0)</f>
        <v/>
      </c>
    </row>
    <row r="269" spans="1:10" ht="19.5" customHeight="1">
      <c r="A269" t="str">
        <f t="shared" si="4"/>
        <v/>
      </c>
      <c r="C269" s="17"/>
      <c r="D269" t="str">
        <f>IFERROR(_xlfn.XLOOKUP(C269,Master_Employee[Emp_ID],Master_Employee[Name_AR],"",0),"")</f>
        <v/>
      </c>
      <c r="E269" t="str">
        <f>IFERROR(_xlfn.XLOOKUP(C269,Master_Employee[Emp_ID],Master_Employee[Name_EN],"",0),"")</f>
        <v/>
      </c>
      <c r="F269" t="str">
        <f>IFERROR(_xlfn.XLOOKUP(C269,Master_Employee[Emp_ID],Master_Employee[Department],"",0),"")</f>
        <v/>
      </c>
      <c r="H269" s="69"/>
      <c r="J269" t="str">
        <f>_xlfn.XLOOKUP(tbl_Transactions[[#This Row],[Type]],Type[Trans_Type],Type[Type_Code],"",0)</f>
        <v/>
      </c>
    </row>
    <row r="270" spans="1:10" ht="19.5" customHeight="1">
      <c r="A270" t="str">
        <f t="shared" si="4"/>
        <v/>
      </c>
      <c r="C270" s="17"/>
      <c r="D270" t="str">
        <f>IFERROR(_xlfn.XLOOKUP(C270,Master_Employee[Emp_ID],Master_Employee[Name_AR],"",0),"")</f>
        <v/>
      </c>
      <c r="E270" t="str">
        <f>IFERROR(_xlfn.XLOOKUP(C270,Master_Employee[Emp_ID],Master_Employee[Name_EN],"",0),"")</f>
        <v/>
      </c>
      <c r="F270" t="str">
        <f>IFERROR(_xlfn.XLOOKUP(C270,Master_Employee[Emp_ID],Master_Employee[Department],"",0),"")</f>
        <v/>
      </c>
      <c r="H270" s="69"/>
      <c r="J270" t="str">
        <f>_xlfn.XLOOKUP(tbl_Transactions[[#This Row],[Type]],Type[Trans_Type],Type[Type_Code],"",0)</f>
        <v/>
      </c>
    </row>
    <row r="271" spans="1:10" ht="19.5" customHeight="1">
      <c r="A271" t="str">
        <f t="shared" si="4"/>
        <v/>
      </c>
      <c r="C271" s="17"/>
      <c r="D271" t="str">
        <f>IFERROR(_xlfn.XLOOKUP(C271,Master_Employee[Emp_ID],Master_Employee[Name_AR],"",0),"")</f>
        <v/>
      </c>
      <c r="E271" t="str">
        <f>IFERROR(_xlfn.XLOOKUP(C271,Master_Employee[Emp_ID],Master_Employee[Name_EN],"",0),"")</f>
        <v/>
      </c>
      <c r="F271" t="str">
        <f>IFERROR(_xlfn.XLOOKUP(C271,Master_Employee[Emp_ID],Master_Employee[Department],"",0),"")</f>
        <v/>
      </c>
      <c r="H271" s="69"/>
      <c r="J271" t="str">
        <f>_xlfn.XLOOKUP(tbl_Transactions[[#This Row],[Type]],Type[Trans_Type],Type[Type_Code],"",0)</f>
        <v/>
      </c>
    </row>
    <row r="272" spans="1:10" ht="19.5" customHeight="1">
      <c r="A272" t="str">
        <f t="shared" si="4"/>
        <v/>
      </c>
      <c r="C272" s="17"/>
      <c r="D272" t="str">
        <f>IFERROR(_xlfn.XLOOKUP(C272,Master_Employee[Emp_ID],Master_Employee[Name_AR],"",0),"")</f>
        <v/>
      </c>
      <c r="E272" t="str">
        <f>IFERROR(_xlfn.XLOOKUP(C272,Master_Employee[Emp_ID],Master_Employee[Name_EN],"",0),"")</f>
        <v/>
      </c>
      <c r="F272" t="str">
        <f>IFERROR(_xlfn.XLOOKUP(C272,Master_Employee[Emp_ID],Master_Employee[Department],"",0),"")</f>
        <v/>
      </c>
      <c r="H272" s="69"/>
      <c r="J272" t="str">
        <f>_xlfn.XLOOKUP(tbl_Transactions[[#This Row],[Type]],Type[Trans_Type],Type[Type_Code],"",0)</f>
        <v/>
      </c>
    </row>
    <row r="273" spans="1:10" ht="19.5" customHeight="1">
      <c r="A273" t="str">
        <f t="shared" si="4"/>
        <v/>
      </c>
      <c r="C273" s="17"/>
      <c r="D273" t="str">
        <f>IFERROR(_xlfn.XLOOKUP(C273,Master_Employee[Emp_ID],Master_Employee[Name_AR],"",0),"")</f>
        <v/>
      </c>
      <c r="E273" t="str">
        <f>IFERROR(_xlfn.XLOOKUP(C273,Master_Employee[Emp_ID],Master_Employee[Name_EN],"",0),"")</f>
        <v/>
      </c>
      <c r="F273" t="str">
        <f>IFERROR(_xlfn.XLOOKUP(C273,Master_Employee[Emp_ID],Master_Employee[Department],"",0),"")</f>
        <v/>
      </c>
      <c r="H273" s="69"/>
      <c r="J273" t="str">
        <f>_xlfn.XLOOKUP(tbl_Transactions[[#This Row],[Type]],Type[Trans_Type],Type[Type_Code],"",0)</f>
        <v/>
      </c>
    </row>
    <row r="274" spans="1:10" ht="19.5" customHeight="1">
      <c r="A274" t="str">
        <f t="shared" si="4"/>
        <v/>
      </c>
      <c r="C274" s="17"/>
      <c r="D274" t="str">
        <f>IFERROR(_xlfn.XLOOKUP(C274,Master_Employee[Emp_ID],Master_Employee[Name_AR],"",0),"")</f>
        <v/>
      </c>
      <c r="E274" t="str">
        <f>IFERROR(_xlfn.XLOOKUP(C274,Master_Employee[Emp_ID],Master_Employee[Name_EN],"",0),"")</f>
        <v/>
      </c>
      <c r="F274" t="str">
        <f>IFERROR(_xlfn.XLOOKUP(C274,Master_Employee[Emp_ID],Master_Employee[Department],"",0),"")</f>
        <v/>
      </c>
      <c r="H274" s="69"/>
      <c r="J274" t="str">
        <f>_xlfn.XLOOKUP(tbl_Transactions[[#This Row],[Type]],Type[Trans_Type],Type[Type_Code],"",0)</f>
        <v/>
      </c>
    </row>
    <row r="275" spans="1:10" ht="19.5" customHeight="1">
      <c r="A275" t="str">
        <f t="shared" si="4"/>
        <v/>
      </c>
      <c r="C275" s="17"/>
      <c r="D275" t="str">
        <f>IFERROR(_xlfn.XLOOKUP(C275,Master_Employee[Emp_ID],Master_Employee[Name_AR],"",0),"")</f>
        <v/>
      </c>
      <c r="E275" t="str">
        <f>IFERROR(_xlfn.XLOOKUP(C275,Master_Employee[Emp_ID],Master_Employee[Name_EN],"",0),"")</f>
        <v/>
      </c>
      <c r="F275" t="str">
        <f>IFERROR(_xlfn.XLOOKUP(C275,Master_Employee[Emp_ID],Master_Employee[Department],"",0),"")</f>
        <v/>
      </c>
      <c r="H275" s="69"/>
      <c r="J275" t="str">
        <f>_xlfn.XLOOKUP(tbl_Transactions[[#This Row],[Type]],Type[Trans_Type],Type[Type_Code],"",0)</f>
        <v/>
      </c>
    </row>
    <row r="276" spans="1:10" ht="19.5" customHeight="1">
      <c r="A276" t="str">
        <f t="shared" si="4"/>
        <v/>
      </c>
      <c r="C276" s="17"/>
      <c r="D276" t="str">
        <f>IFERROR(_xlfn.XLOOKUP(C276,Master_Employee[Emp_ID],Master_Employee[Name_AR],"",0),"")</f>
        <v/>
      </c>
      <c r="E276" t="str">
        <f>IFERROR(_xlfn.XLOOKUP(C276,Master_Employee[Emp_ID],Master_Employee[Name_EN],"",0),"")</f>
        <v/>
      </c>
      <c r="F276" t="str">
        <f>IFERROR(_xlfn.XLOOKUP(C276,Master_Employee[Emp_ID],Master_Employee[Department],"",0),"")</f>
        <v/>
      </c>
      <c r="H276" s="69"/>
      <c r="J276" t="str">
        <f>_xlfn.XLOOKUP(tbl_Transactions[[#This Row],[Type]],Type[Trans_Type],Type[Type_Code],"",0)</f>
        <v/>
      </c>
    </row>
    <row r="277" spans="1:10" ht="19.5" customHeight="1">
      <c r="A277" t="str">
        <f t="shared" si="4"/>
        <v/>
      </c>
      <c r="C277" s="17"/>
      <c r="D277" t="str">
        <f>IFERROR(_xlfn.XLOOKUP(C277,Master_Employee[Emp_ID],Master_Employee[Name_AR],"",0),"")</f>
        <v/>
      </c>
      <c r="E277" t="str">
        <f>IFERROR(_xlfn.XLOOKUP(C277,Master_Employee[Emp_ID],Master_Employee[Name_EN],"",0),"")</f>
        <v/>
      </c>
      <c r="F277" t="str">
        <f>IFERROR(_xlfn.XLOOKUP(C277,Master_Employee[Emp_ID],Master_Employee[Department],"",0),"")</f>
        <v/>
      </c>
      <c r="H277" s="69"/>
      <c r="J277" t="str">
        <f>_xlfn.XLOOKUP(tbl_Transactions[[#This Row],[Type]],Type[Trans_Type],Type[Type_Code],"",0)</f>
        <v/>
      </c>
    </row>
    <row r="278" spans="1:10" ht="19.5" customHeight="1">
      <c r="A278" t="str">
        <f t="shared" si="4"/>
        <v/>
      </c>
      <c r="C278" s="17"/>
      <c r="D278" t="str">
        <f>IFERROR(_xlfn.XLOOKUP(C278,Master_Employee[Emp_ID],Master_Employee[Name_AR],"",0),"")</f>
        <v/>
      </c>
      <c r="E278" t="str">
        <f>IFERROR(_xlfn.XLOOKUP(C278,Master_Employee[Emp_ID],Master_Employee[Name_EN],"",0),"")</f>
        <v/>
      </c>
      <c r="F278" t="str">
        <f>IFERROR(_xlfn.XLOOKUP(C278,Master_Employee[Emp_ID],Master_Employee[Department],"",0),"")</f>
        <v/>
      </c>
      <c r="H278" s="69"/>
      <c r="J278" t="str">
        <f>_xlfn.XLOOKUP(tbl_Transactions[[#This Row],[Type]],Type[Trans_Type],Type[Type_Code],"",0)</f>
        <v/>
      </c>
    </row>
    <row r="279" spans="1:10" ht="19.5" customHeight="1">
      <c r="A279" t="str">
        <f t="shared" si="4"/>
        <v/>
      </c>
      <c r="C279" s="17"/>
      <c r="D279" t="str">
        <f>IFERROR(_xlfn.XLOOKUP(C279,Master_Employee[Emp_ID],Master_Employee[Name_AR],"",0),"")</f>
        <v/>
      </c>
      <c r="E279" t="str">
        <f>IFERROR(_xlfn.XLOOKUP(C279,Master_Employee[Emp_ID],Master_Employee[Name_EN],"",0),"")</f>
        <v/>
      </c>
      <c r="F279" t="str">
        <f>IFERROR(_xlfn.XLOOKUP(C279,Master_Employee[Emp_ID],Master_Employee[Department],"",0),"")</f>
        <v/>
      </c>
      <c r="H279" s="69"/>
      <c r="J279" t="str">
        <f>_xlfn.XLOOKUP(tbl_Transactions[[#This Row],[Type]],Type[Trans_Type],Type[Type_Code],"",0)</f>
        <v/>
      </c>
    </row>
    <row r="280" spans="1:10" ht="19.5" customHeight="1">
      <c r="A280" t="str">
        <f t="shared" si="4"/>
        <v/>
      </c>
      <c r="C280" s="17"/>
      <c r="D280" t="str">
        <f>IFERROR(_xlfn.XLOOKUP(C280,Master_Employee[Emp_ID],Master_Employee[Name_AR],"",0),"")</f>
        <v/>
      </c>
      <c r="E280" t="str">
        <f>IFERROR(_xlfn.XLOOKUP(C280,Master_Employee[Emp_ID],Master_Employee[Name_EN],"",0),"")</f>
        <v/>
      </c>
      <c r="F280" t="str">
        <f>IFERROR(_xlfn.XLOOKUP(C280,Master_Employee[Emp_ID],Master_Employee[Department],"",0),"")</f>
        <v/>
      </c>
      <c r="H280" s="69"/>
      <c r="J280" t="str">
        <f>_xlfn.XLOOKUP(tbl_Transactions[[#This Row],[Type]],Type[Trans_Type],Type[Type_Code],"",0)</f>
        <v/>
      </c>
    </row>
    <row r="281" spans="1:10" ht="19.5" customHeight="1">
      <c r="A281" t="str">
        <f t="shared" si="4"/>
        <v/>
      </c>
      <c r="C281" s="17"/>
      <c r="D281" t="str">
        <f>IFERROR(_xlfn.XLOOKUP(C281,Master_Employee[Emp_ID],Master_Employee[Name_AR],"",0),"")</f>
        <v/>
      </c>
      <c r="E281" t="str">
        <f>IFERROR(_xlfn.XLOOKUP(C281,Master_Employee[Emp_ID],Master_Employee[Name_EN],"",0),"")</f>
        <v/>
      </c>
      <c r="F281" t="str">
        <f>IFERROR(_xlfn.XLOOKUP(C281,Master_Employee[Emp_ID],Master_Employee[Department],"",0),"")</f>
        <v/>
      </c>
      <c r="H281" s="69"/>
      <c r="J281" t="str">
        <f>_xlfn.XLOOKUP(tbl_Transactions[[#This Row],[Type]],Type[Trans_Type],Type[Type_Code],"",0)</f>
        <v/>
      </c>
    </row>
    <row r="282" spans="1:10" ht="19.5" customHeight="1">
      <c r="A282" t="str">
        <f t="shared" si="4"/>
        <v/>
      </c>
      <c r="C282" s="17"/>
      <c r="D282" t="str">
        <f>IFERROR(_xlfn.XLOOKUP(C282,Master_Employee[Emp_ID],Master_Employee[Name_AR],"",0),"")</f>
        <v/>
      </c>
      <c r="E282" t="str">
        <f>IFERROR(_xlfn.XLOOKUP(C282,Master_Employee[Emp_ID],Master_Employee[Name_EN],"",0),"")</f>
        <v/>
      </c>
      <c r="F282" t="str">
        <f>IFERROR(_xlfn.XLOOKUP(C282,Master_Employee[Emp_ID],Master_Employee[Department],"",0),"")</f>
        <v/>
      </c>
      <c r="H282" s="69"/>
      <c r="J282" t="str">
        <f>_xlfn.XLOOKUP(tbl_Transactions[[#This Row],[Type]],Type[Trans_Type],Type[Type_Code],"",0)</f>
        <v/>
      </c>
    </row>
    <row r="283" spans="1:10" ht="19.5" customHeight="1">
      <c r="A283" t="str">
        <f t="shared" si="4"/>
        <v/>
      </c>
      <c r="C283" s="17"/>
      <c r="D283" t="str">
        <f>IFERROR(_xlfn.XLOOKUP(C283,Master_Employee[Emp_ID],Master_Employee[Name_AR],"",0),"")</f>
        <v/>
      </c>
      <c r="E283" t="str">
        <f>IFERROR(_xlfn.XLOOKUP(C283,Master_Employee[Emp_ID],Master_Employee[Name_EN],"",0),"")</f>
        <v/>
      </c>
      <c r="F283" t="str">
        <f>IFERROR(_xlfn.XLOOKUP(C283,Master_Employee[Emp_ID],Master_Employee[Department],"",0),"")</f>
        <v/>
      </c>
      <c r="H283" s="69"/>
      <c r="J283" t="str">
        <f>_xlfn.XLOOKUP(tbl_Transactions[[#This Row],[Type]],Type[Trans_Type],Type[Type_Code],"",0)</f>
        <v/>
      </c>
    </row>
    <row r="284" spans="1:10" ht="19.5" customHeight="1">
      <c r="A284" t="str">
        <f t="shared" si="4"/>
        <v/>
      </c>
      <c r="C284" s="17"/>
      <c r="D284" t="str">
        <f>IFERROR(_xlfn.XLOOKUP(C284,Master_Employee[Emp_ID],Master_Employee[Name_AR],"",0),"")</f>
        <v/>
      </c>
      <c r="E284" t="str">
        <f>IFERROR(_xlfn.XLOOKUP(C284,Master_Employee[Emp_ID],Master_Employee[Name_EN],"",0),"")</f>
        <v/>
      </c>
      <c r="F284" t="str">
        <f>IFERROR(_xlfn.XLOOKUP(C284,Master_Employee[Emp_ID],Master_Employee[Department],"",0),"")</f>
        <v/>
      </c>
      <c r="H284" s="69"/>
      <c r="J284" t="str">
        <f>_xlfn.XLOOKUP(tbl_Transactions[[#This Row],[Type]],Type[Trans_Type],Type[Type_Code],"",0)</f>
        <v/>
      </c>
    </row>
    <row r="285" spans="1:10" ht="19.5" customHeight="1">
      <c r="A285" t="str">
        <f t="shared" si="4"/>
        <v/>
      </c>
      <c r="C285" s="17"/>
      <c r="D285" t="str">
        <f>IFERROR(_xlfn.XLOOKUP(C285,Master_Employee[Emp_ID],Master_Employee[Name_AR],"",0),"")</f>
        <v/>
      </c>
      <c r="E285" t="str">
        <f>IFERROR(_xlfn.XLOOKUP(C285,Master_Employee[Emp_ID],Master_Employee[Name_EN],"",0),"")</f>
        <v/>
      </c>
      <c r="F285" t="str">
        <f>IFERROR(_xlfn.XLOOKUP(C285,Master_Employee[Emp_ID],Master_Employee[Department],"",0),"")</f>
        <v/>
      </c>
      <c r="H285" s="69"/>
      <c r="J285" t="str">
        <f>_xlfn.XLOOKUP(tbl_Transactions[[#This Row],[Type]],Type[Trans_Type],Type[Type_Code],"",0)</f>
        <v/>
      </c>
    </row>
    <row r="286" spans="1:10" ht="19.5" customHeight="1">
      <c r="A286" t="str">
        <f t="shared" si="4"/>
        <v/>
      </c>
      <c r="C286" s="17"/>
      <c r="D286" t="str">
        <f>IFERROR(_xlfn.XLOOKUP(C286,Master_Employee[Emp_ID],Master_Employee[Name_AR],"",0),"")</f>
        <v/>
      </c>
      <c r="E286" t="str">
        <f>IFERROR(_xlfn.XLOOKUP(C286,Master_Employee[Emp_ID],Master_Employee[Name_EN],"",0),"")</f>
        <v/>
      </c>
      <c r="F286" t="str">
        <f>IFERROR(_xlfn.XLOOKUP(C286,Master_Employee[Emp_ID],Master_Employee[Department],"",0),"")</f>
        <v/>
      </c>
      <c r="H286" s="69"/>
      <c r="J286" t="str">
        <f>_xlfn.XLOOKUP(tbl_Transactions[[#This Row],[Type]],Type[Trans_Type],Type[Type_Code],"",0)</f>
        <v/>
      </c>
    </row>
    <row r="287" spans="1:10" ht="19.5" customHeight="1">
      <c r="A287" t="str">
        <f t="shared" si="4"/>
        <v/>
      </c>
      <c r="C287" s="17"/>
      <c r="D287" t="str">
        <f>IFERROR(_xlfn.XLOOKUP(C287,Master_Employee[Emp_ID],Master_Employee[Name_AR],"",0),"")</f>
        <v/>
      </c>
      <c r="E287" t="str">
        <f>IFERROR(_xlfn.XLOOKUP(C287,Master_Employee[Emp_ID],Master_Employee[Name_EN],"",0),"")</f>
        <v/>
      </c>
      <c r="F287" t="str">
        <f>IFERROR(_xlfn.XLOOKUP(C287,Master_Employee[Emp_ID],Master_Employee[Department],"",0),"")</f>
        <v/>
      </c>
      <c r="H287" s="69"/>
      <c r="J287" t="str">
        <f>_xlfn.XLOOKUP(tbl_Transactions[[#This Row],[Type]],Type[Trans_Type],Type[Type_Code],"",0)</f>
        <v/>
      </c>
    </row>
    <row r="288" spans="1:10" ht="19.5" customHeight="1">
      <c r="A288" t="str">
        <f t="shared" si="4"/>
        <v/>
      </c>
      <c r="C288" s="17"/>
      <c r="D288" t="str">
        <f>IFERROR(_xlfn.XLOOKUP(C288,Master_Employee[Emp_ID],Master_Employee[Name_AR],"",0),"")</f>
        <v/>
      </c>
      <c r="E288" t="str">
        <f>IFERROR(_xlfn.XLOOKUP(C288,Master_Employee[Emp_ID],Master_Employee[Name_EN],"",0),"")</f>
        <v/>
      </c>
      <c r="F288" t="str">
        <f>IFERROR(_xlfn.XLOOKUP(C288,Master_Employee[Emp_ID],Master_Employee[Department],"",0),"")</f>
        <v/>
      </c>
      <c r="H288" s="69"/>
      <c r="J288" t="str">
        <f>_xlfn.XLOOKUP(tbl_Transactions[[#This Row],[Type]],Type[Trans_Type],Type[Type_Code],"",0)</f>
        <v/>
      </c>
    </row>
    <row r="289" spans="1:10" ht="19.5" customHeight="1">
      <c r="A289" t="str">
        <f t="shared" si="4"/>
        <v/>
      </c>
      <c r="C289" s="17"/>
      <c r="D289" t="str">
        <f>IFERROR(_xlfn.XLOOKUP(C289,Master_Employee[Emp_ID],Master_Employee[Name_AR],"",0),"")</f>
        <v/>
      </c>
      <c r="E289" t="str">
        <f>IFERROR(_xlfn.XLOOKUP(C289,Master_Employee[Emp_ID],Master_Employee[Name_EN],"",0),"")</f>
        <v/>
      </c>
      <c r="F289" t="str">
        <f>IFERROR(_xlfn.XLOOKUP(C289,Master_Employee[Emp_ID],Master_Employee[Department],"",0),"")</f>
        <v/>
      </c>
      <c r="H289" s="69"/>
      <c r="J289" t="str">
        <f>_xlfn.XLOOKUP(tbl_Transactions[[#This Row],[Type]],Type[Trans_Type],Type[Type_Code],"",0)</f>
        <v/>
      </c>
    </row>
    <row r="290" spans="1:10" ht="19.5" customHeight="1">
      <c r="A290" t="str">
        <f t="shared" si="4"/>
        <v/>
      </c>
      <c r="C290" s="17"/>
      <c r="D290" t="str">
        <f>IFERROR(_xlfn.XLOOKUP(C290,Master_Employee[Emp_ID],Master_Employee[Name_AR],"",0),"")</f>
        <v/>
      </c>
      <c r="E290" t="str">
        <f>IFERROR(_xlfn.XLOOKUP(C290,Master_Employee[Emp_ID],Master_Employee[Name_EN],"",0),"")</f>
        <v/>
      </c>
      <c r="F290" t="str">
        <f>IFERROR(_xlfn.XLOOKUP(C290,Master_Employee[Emp_ID],Master_Employee[Department],"",0),"")</f>
        <v/>
      </c>
      <c r="H290" s="69"/>
      <c r="J290" t="str">
        <f>_xlfn.XLOOKUP(tbl_Transactions[[#This Row],[Type]],Type[Trans_Type],Type[Type_Code],"",0)</f>
        <v/>
      </c>
    </row>
    <row r="291" spans="1:10" ht="19.5" customHeight="1">
      <c r="A291" t="str">
        <f t="shared" si="4"/>
        <v/>
      </c>
      <c r="C291" s="17"/>
      <c r="D291" t="str">
        <f>IFERROR(_xlfn.XLOOKUP(C291,Master_Employee[Emp_ID],Master_Employee[Name_AR],"",0),"")</f>
        <v/>
      </c>
      <c r="E291" t="str">
        <f>IFERROR(_xlfn.XLOOKUP(C291,Master_Employee[Emp_ID],Master_Employee[Name_EN],"",0),"")</f>
        <v/>
      </c>
      <c r="F291" t="str">
        <f>IFERROR(_xlfn.XLOOKUP(C291,Master_Employee[Emp_ID],Master_Employee[Department],"",0),"")</f>
        <v/>
      </c>
      <c r="H291" s="69"/>
      <c r="J291" t="str">
        <f>_xlfn.XLOOKUP(tbl_Transactions[[#This Row],[Type]],Type[Trans_Type],Type[Type_Code],"",0)</f>
        <v/>
      </c>
    </row>
    <row r="292" spans="1:10" ht="19.5" customHeight="1">
      <c r="A292" t="str">
        <f t="shared" si="4"/>
        <v/>
      </c>
      <c r="C292" s="17"/>
      <c r="D292" t="str">
        <f>IFERROR(_xlfn.XLOOKUP(C292,Master_Employee[Emp_ID],Master_Employee[Name_AR],"",0),"")</f>
        <v/>
      </c>
      <c r="E292" t="str">
        <f>IFERROR(_xlfn.XLOOKUP(C292,Master_Employee[Emp_ID],Master_Employee[Name_EN],"",0),"")</f>
        <v/>
      </c>
      <c r="F292" t="str">
        <f>IFERROR(_xlfn.XLOOKUP(C292,Master_Employee[Emp_ID],Master_Employee[Department],"",0),"")</f>
        <v/>
      </c>
      <c r="H292" s="69"/>
      <c r="J292" t="str">
        <f>_xlfn.XLOOKUP(tbl_Transactions[[#This Row],[Type]],Type[Trans_Type],Type[Type_Code],"",0)</f>
        <v/>
      </c>
    </row>
    <row r="293" spans="1:10" ht="19.5" customHeight="1">
      <c r="A293" t="str">
        <f t="shared" si="4"/>
        <v/>
      </c>
      <c r="C293" s="17"/>
      <c r="D293" t="str">
        <f>IFERROR(_xlfn.XLOOKUP(C293,Master_Employee[Emp_ID],Master_Employee[Name_AR],"",0),"")</f>
        <v/>
      </c>
      <c r="E293" t="str">
        <f>IFERROR(_xlfn.XLOOKUP(C293,Master_Employee[Emp_ID],Master_Employee[Name_EN],"",0),"")</f>
        <v/>
      </c>
      <c r="F293" t="str">
        <f>IFERROR(_xlfn.XLOOKUP(C293,Master_Employee[Emp_ID],Master_Employee[Department],"",0),"")</f>
        <v/>
      </c>
      <c r="H293" s="69"/>
      <c r="J293" t="str">
        <f>_xlfn.XLOOKUP(tbl_Transactions[[#This Row],[Type]],Type[Trans_Type],Type[Type_Code],"",0)</f>
        <v/>
      </c>
    </row>
    <row r="294" spans="1:10" ht="19.5" customHeight="1">
      <c r="A294" t="str">
        <f t="shared" si="4"/>
        <v/>
      </c>
      <c r="C294" s="17"/>
      <c r="D294" t="str">
        <f>IFERROR(_xlfn.XLOOKUP(C294,Master_Employee[Emp_ID],Master_Employee[Name_AR],"",0),"")</f>
        <v/>
      </c>
      <c r="E294" t="str">
        <f>IFERROR(_xlfn.XLOOKUP(C294,Master_Employee[Emp_ID],Master_Employee[Name_EN],"",0),"")</f>
        <v/>
      </c>
      <c r="F294" t="str">
        <f>IFERROR(_xlfn.XLOOKUP(C294,Master_Employee[Emp_ID],Master_Employee[Department],"",0),"")</f>
        <v/>
      </c>
      <c r="H294" s="69"/>
      <c r="J294" t="str">
        <f>_xlfn.XLOOKUP(tbl_Transactions[[#This Row],[Type]],Type[Trans_Type],Type[Type_Code],"",0)</f>
        <v/>
      </c>
    </row>
    <row r="295" spans="1:10" ht="19.5" customHeight="1">
      <c r="A295" t="str">
        <f t="shared" si="4"/>
        <v/>
      </c>
      <c r="C295" s="17"/>
      <c r="D295" t="str">
        <f>IFERROR(_xlfn.XLOOKUP(C295,Master_Employee[Emp_ID],Master_Employee[Name_AR],"",0),"")</f>
        <v/>
      </c>
      <c r="E295" t="str">
        <f>IFERROR(_xlfn.XLOOKUP(C295,Master_Employee[Emp_ID],Master_Employee[Name_EN],"",0),"")</f>
        <v/>
      </c>
      <c r="F295" t="str">
        <f>IFERROR(_xlfn.XLOOKUP(C295,Master_Employee[Emp_ID],Master_Employee[Department],"",0),"")</f>
        <v/>
      </c>
      <c r="H295" s="69"/>
      <c r="J295" t="str">
        <f>_xlfn.XLOOKUP(tbl_Transactions[[#This Row],[Type]],Type[Trans_Type],Type[Type_Code],"",0)</f>
        <v/>
      </c>
    </row>
    <row r="296" spans="1:10" ht="19.5" customHeight="1">
      <c r="A296" t="str">
        <f t="shared" si="4"/>
        <v/>
      </c>
      <c r="C296" s="17"/>
      <c r="D296" t="str">
        <f>IFERROR(_xlfn.XLOOKUP(C296,Master_Employee[Emp_ID],Master_Employee[Name_AR],"",0),"")</f>
        <v/>
      </c>
      <c r="E296" t="str">
        <f>IFERROR(_xlfn.XLOOKUP(C296,Master_Employee[Emp_ID],Master_Employee[Name_EN],"",0),"")</f>
        <v/>
      </c>
      <c r="F296" t="str">
        <f>IFERROR(_xlfn.XLOOKUP(C296,Master_Employee[Emp_ID],Master_Employee[Department],"",0),"")</f>
        <v/>
      </c>
      <c r="H296" s="69"/>
      <c r="J296" t="str">
        <f>_xlfn.XLOOKUP(tbl_Transactions[[#This Row],[Type]],Type[Trans_Type],Type[Type_Code],"",0)</f>
        <v/>
      </c>
    </row>
    <row r="297" spans="1:10" ht="19.5" customHeight="1">
      <c r="A297" t="str">
        <f t="shared" si="4"/>
        <v/>
      </c>
      <c r="C297" s="17"/>
      <c r="D297" t="str">
        <f>IFERROR(_xlfn.XLOOKUP(C297,Master_Employee[Emp_ID],Master_Employee[Name_AR],"",0),"")</f>
        <v/>
      </c>
      <c r="E297" t="str">
        <f>IFERROR(_xlfn.XLOOKUP(C297,Master_Employee[Emp_ID],Master_Employee[Name_EN],"",0),"")</f>
        <v/>
      </c>
      <c r="F297" t="str">
        <f>IFERROR(_xlfn.XLOOKUP(C297,Master_Employee[Emp_ID],Master_Employee[Department],"",0),"")</f>
        <v/>
      </c>
      <c r="H297" s="69"/>
      <c r="J297" t="str">
        <f>_xlfn.XLOOKUP(tbl_Transactions[[#This Row],[Type]],Type[Trans_Type],Type[Type_Code],"",0)</f>
        <v/>
      </c>
    </row>
    <row r="298" spans="1:10" ht="19.5" customHeight="1">
      <c r="A298" t="str">
        <f t="shared" si="4"/>
        <v/>
      </c>
      <c r="C298" s="17"/>
      <c r="D298" t="str">
        <f>IFERROR(_xlfn.XLOOKUP(C298,Master_Employee[Emp_ID],Master_Employee[Name_AR],"",0),"")</f>
        <v/>
      </c>
      <c r="E298" t="str">
        <f>IFERROR(_xlfn.XLOOKUP(C298,Master_Employee[Emp_ID],Master_Employee[Name_EN],"",0),"")</f>
        <v/>
      </c>
      <c r="F298" t="str">
        <f>IFERROR(_xlfn.XLOOKUP(C298,Master_Employee[Emp_ID],Master_Employee[Department],"",0),"")</f>
        <v/>
      </c>
      <c r="H298" s="69"/>
      <c r="J298" t="str">
        <f>_xlfn.XLOOKUP(tbl_Transactions[[#This Row],[Type]],Type[Trans_Type],Type[Type_Code],"",0)</f>
        <v/>
      </c>
    </row>
    <row r="299" spans="1:10" ht="19.5" customHeight="1">
      <c r="A299" t="str">
        <f t="shared" si="4"/>
        <v/>
      </c>
      <c r="C299" s="17"/>
      <c r="D299" t="str">
        <f>IFERROR(_xlfn.XLOOKUP(C299,Master_Employee[Emp_ID],Master_Employee[Name_AR],"",0),"")</f>
        <v/>
      </c>
      <c r="E299" t="str">
        <f>IFERROR(_xlfn.XLOOKUP(C299,Master_Employee[Emp_ID],Master_Employee[Name_EN],"",0),"")</f>
        <v/>
      </c>
      <c r="F299" t="str">
        <f>IFERROR(_xlfn.XLOOKUP(C299,Master_Employee[Emp_ID],Master_Employee[Department],"",0),"")</f>
        <v/>
      </c>
      <c r="H299" s="69"/>
      <c r="J299" t="str">
        <f>_xlfn.XLOOKUP(tbl_Transactions[[#This Row],[Type]],Type[Trans_Type],Type[Type_Code],"",0)</f>
        <v/>
      </c>
    </row>
    <row r="300" spans="1:10" ht="19.5" customHeight="1">
      <c r="A300" t="str">
        <f t="shared" si="4"/>
        <v/>
      </c>
      <c r="C300" s="17"/>
      <c r="D300" t="str">
        <f>IFERROR(_xlfn.XLOOKUP(C300,Master_Employee[Emp_ID],Master_Employee[Name_AR],"",0),"")</f>
        <v/>
      </c>
      <c r="E300" t="str">
        <f>IFERROR(_xlfn.XLOOKUP(C300,Master_Employee[Emp_ID],Master_Employee[Name_EN],"",0),"")</f>
        <v/>
      </c>
      <c r="F300" t="str">
        <f>IFERROR(_xlfn.XLOOKUP(C300,Master_Employee[Emp_ID],Master_Employee[Department],"",0),"")</f>
        <v/>
      </c>
      <c r="H300" s="69"/>
      <c r="J300" t="str">
        <f>_xlfn.XLOOKUP(tbl_Transactions[[#This Row],[Type]],Type[Trans_Type],Type[Type_Code],"",0)</f>
        <v/>
      </c>
    </row>
    <row r="301" spans="1:10" ht="19.5" customHeight="1">
      <c r="A301" t="str">
        <f t="shared" si="4"/>
        <v/>
      </c>
      <c r="C301" s="17"/>
      <c r="D301" t="str">
        <f>IFERROR(_xlfn.XLOOKUP(C301,Master_Employee[Emp_ID],Master_Employee[Name_AR],"",0),"")</f>
        <v/>
      </c>
      <c r="E301" t="str">
        <f>IFERROR(_xlfn.XLOOKUP(C301,Master_Employee[Emp_ID],Master_Employee[Name_EN],"",0),"")</f>
        <v/>
      </c>
      <c r="F301" t="str">
        <f>IFERROR(_xlfn.XLOOKUP(C301,Master_Employee[Emp_ID],Master_Employee[Department],"",0),"")</f>
        <v/>
      </c>
      <c r="H301" s="69"/>
      <c r="J301" t="str">
        <f>_xlfn.XLOOKUP(tbl_Transactions[[#This Row],[Type]],Type[Trans_Type],Type[Type_Code],"",0)</f>
        <v/>
      </c>
    </row>
    <row r="302" spans="1:10" ht="19.5" customHeight="1">
      <c r="A302" t="str">
        <f t="shared" si="4"/>
        <v/>
      </c>
      <c r="C302" s="17"/>
      <c r="D302" t="str">
        <f>IFERROR(_xlfn.XLOOKUP(C302,Master_Employee[Emp_ID],Master_Employee[Name_AR],"",0),"")</f>
        <v/>
      </c>
      <c r="E302" t="str">
        <f>IFERROR(_xlfn.XLOOKUP(C302,Master_Employee[Emp_ID],Master_Employee[Name_EN],"",0),"")</f>
        <v/>
      </c>
      <c r="F302" t="str">
        <f>IFERROR(_xlfn.XLOOKUP(C302,Master_Employee[Emp_ID],Master_Employee[Department],"",0),"")</f>
        <v/>
      </c>
      <c r="H302" s="69"/>
      <c r="J302" t="str">
        <f>_xlfn.XLOOKUP(tbl_Transactions[[#This Row],[Type]],Type[Trans_Type],Type[Type_Code],"",0)</f>
        <v/>
      </c>
    </row>
    <row r="303" spans="1:10" ht="19.5" customHeight="1">
      <c r="A303" t="str">
        <f t="shared" si="4"/>
        <v/>
      </c>
      <c r="C303" s="17"/>
      <c r="D303" t="str">
        <f>IFERROR(_xlfn.XLOOKUP(C303,Master_Employee[Emp_ID],Master_Employee[Name_AR],"",0),"")</f>
        <v/>
      </c>
      <c r="E303" t="str">
        <f>IFERROR(_xlfn.XLOOKUP(C303,Master_Employee[Emp_ID],Master_Employee[Name_EN],"",0),"")</f>
        <v/>
      </c>
      <c r="F303" t="str">
        <f>IFERROR(_xlfn.XLOOKUP(C303,Master_Employee[Emp_ID],Master_Employee[Department],"",0),"")</f>
        <v/>
      </c>
      <c r="H303" s="69"/>
      <c r="J303" t="str">
        <f>_xlfn.XLOOKUP(tbl_Transactions[[#This Row],[Type]],Type[Trans_Type],Type[Type_Code],"",0)</f>
        <v/>
      </c>
    </row>
    <row r="304" spans="1:10" ht="19.5" customHeight="1">
      <c r="A304" t="str">
        <f t="shared" si="4"/>
        <v/>
      </c>
      <c r="C304" s="17"/>
      <c r="D304" t="str">
        <f>IFERROR(_xlfn.XLOOKUP(C304,Master_Employee[Emp_ID],Master_Employee[Name_AR],"",0),"")</f>
        <v/>
      </c>
      <c r="E304" t="str">
        <f>IFERROR(_xlfn.XLOOKUP(C304,Master_Employee[Emp_ID],Master_Employee[Name_EN],"",0),"")</f>
        <v/>
      </c>
      <c r="F304" t="str">
        <f>IFERROR(_xlfn.XLOOKUP(C304,Master_Employee[Emp_ID],Master_Employee[Department],"",0),"")</f>
        <v/>
      </c>
      <c r="H304" s="69"/>
      <c r="J304" t="str">
        <f>_xlfn.XLOOKUP(tbl_Transactions[[#This Row],[Type]],Type[Trans_Type],Type[Type_Code],"",0)</f>
        <v/>
      </c>
    </row>
    <row r="305" spans="1:10" ht="19.5" customHeight="1">
      <c r="A305" t="str">
        <f t="shared" si="4"/>
        <v/>
      </c>
      <c r="C305" s="17"/>
      <c r="D305" t="str">
        <f>IFERROR(_xlfn.XLOOKUP(C305,Master_Employee[Emp_ID],Master_Employee[Name_AR],"",0),"")</f>
        <v/>
      </c>
      <c r="E305" t="str">
        <f>IFERROR(_xlfn.XLOOKUP(C305,Master_Employee[Emp_ID],Master_Employee[Name_EN],"",0),"")</f>
        <v/>
      </c>
      <c r="F305" t="str">
        <f>IFERROR(_xlfn.XLOOKUP(C305,Master_Employee[Emp_ID],Master_Employee[Department],"",0),"")</f>
        <v/>
      </c>
      <c r="H305" s="69"/>
      <c r="J305" t="str">
        <f>_xlfn.XLOOKUP(tbl_Transactions[[#This Row],[Type]],Type[Trans_Type],Type[Type_Code],"",0)</f>
        <v/>
      </c>
    </row>
    <row r="306" spans="1:10" ht="19.5" customHeight="1">
      <c r="A306" t="str">
        <f t="shared" si="4"/>
        <v/>
      </c>
      <c r="C306" s="17"/>
      <c r="D306" t="str">
        <f>IFERROR(_xlfn.XLOOKUP(C306,Master_Employee[Emp_ID],Master_Employee[Name_AR],"",0),"")</f>
        <v/>
      </c>
      <c r="E306" t="str">
        <f>IFERROR(_xlfn.XLOOKUP(C306,Master_Employee[Emp_ID],Master_Employee[Name_EN],"",0),"")</f>
        <v/>
      </c>
      <c r="F306" t="str">
        <f>IFERROR(_xlfn.XLOOKUP(C306,Master_Employee[Emp_ID],Master_Employee[Department],"",0),"")</f>
        <v/>
      </c>
      <c r="H306" s="69"/>
      <c r="J306" t="str">
        <f>_xlfn.XLOOKUP(tbl_Transactions[[#This Row],[Type]],Type[Trans_Type],Type[Type_Code],"",0)</f>
        <v/>
      </c>
    </row>
    <row r="307" spans="1:10" ht="19.5" customHeight="1"/>
  </sheetData>
  <mergeCells count="1">
    <mergeCell ref="A1:M1"/>
  </mergeCells>
  <phoneticPr fontId="15" type="noConversion"/>
  <dataValidations count="5">
    <dataValidation type="list" allowBlank="1" sqref="I4:I306" xr:uid="{CE2E021F-30EC-40D5-BA53-8BF37E3BE5A5}">
      <formula1>INDIRECT("Type[Trans_Type]")</formula1>
    </dataValidation>
    <dataValidation type="custom" allowBlank="1" showInputMessage="1" showErrorMessage="1" errorTitle="Invalid Entry" error="في حالة السلفة يجب إدخال سبب قبل كتابة المبلغ_x000d__x000a_For (Loan), you must enter a reason before adding an amount" sqref="L3" xr:uid="{351B8CA2-47B3-4BD0-A593-275C16CCCCF7}">
      <formula1>OR( J3&lt;&gt;"Lo_01", AND(J3="Lo_01",K3&lt;&gt;""), L3="" )</formula1>
    </dataValidation>
    <dataValidation type="list" allowBlank="1" sqref="C4:C306" xr:uid="{B0E87B58-6070-4D39-917A-D77C31E8EBCB}">
      <formula1>_xlfn.ANCHORARRAY($O$7)</formula1>
    </dataValidation>
    <dataValidation type="list" allowBlank="1" showInputMessage="1" showErrorMessage="1" sqref="G4:G306" xr:uid="{D60A1BCF-63F6-4831-9648-EF392C780243}">
      <formula1>INDIRECT("tbl_Projects[Project_Name]")</formula1>
    </dataValidation>
    <dataValidation type="custom" allowBlank="1" showInputMessage="1" showErrorMessage="1" errorTitle="Invalid Entry" error="في حالة السلفة يجب إدخال سبب قبل كتابة المبلغ_x000d__x000a_For (Loan), you must enter a reason before adding an amount" sqref="L4:L306" xr:uid="{64CDA4B5-4EC8-42EC-B15C-8EA549D96646}">
      <formula1>OR(L4="",C4&lt;&gt;"")</formula1>
    </dataValidation>
  </dataValidations>
  <pageMargins left="0.75" right="0.75" top="1" bottom="1" header="0.511811023622047" footer="0.511811023622047"/>
  <pageSetup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6300"/>
    <pageSetUpPr fitToPage="1"/>
  </sheetPr>
  <dimension ref="A1:AE205"/>
  <sheetViews>
    <sheetView rightToLeft="1" zoomScale="70" zoomScaleNormal="70" workbookViewId="0">
      <selection activeCell="AL13" sqref="AL13"/>
    </sheetView>
  </sheetViews>
  <sheetFormatPr defaultColWidth="8.68359375" defaultRowHeight="14.4"/>
  <cols>
    <col min="1" max="1" width="4" customWidth="1"/>
    <col min="2" max="2" width="13" customWidth="1"/>
    <col min="3" max="3" width="15.89453125" customWidth="1"/>
    <col min="4" max="4" width="23.83984375" customWidth="1"/>
    <col min="5" max="5" width="22.62890625" customWidth="1"/>
    <col min="6" max="6" width="18" customWidth="1"/>
    <col min="7" max="7" width="14" customWidth="1"/>
    <col min="8" max="8" width="24" customWidth="1"/>
    <col min="9" max="10" width="13" customWidth="1"/>
    <col min="11" max="11" width="13" hidden="1" customWidth="1"/>
    <col min="12" max="12" width="18" customWidth="1"/>
    <col min="13" max="14" width="14" customWidth="1"/>
    <col min="15" max="15" width="12.15625" bestFit="1" customWidth="1"/>
    <col min="16" max="16" width="12.47265625" customWidth="1"/>
    <col min="17" max="17" width="0" hidden="1" customWidth="1"/>
    <col min="18" max="18" width="8.7890625" hidden="1" customWidth="1"/>
    <col min="19" max="31" width="0" hidden="1" customWidth="1"/>
  </cols>
  <sheetData>
    <row r="1" spans="1:31" ht="31.5" customHeight="1">
      <c r="F1" s="128" t="s">
        <v>69</v>
      </c>
      <c r="G1" s="128"/>
      <c r="H1" s="128"/>
      <c r="I1" s="128"/>
    </row>
    <row r="2" spans="1:31" ht="39.299999999999997" customHeight="1">
      <c r="A2" s="127" t="s">
        <v>401</v>
      </c>
      <c r="B2" s="127"/>
      <c r="C2" s="127"/>
      <c r="D2" s="61" t="s">
        <v>351</v>
      </c>
    </row>
    <row r="3" spans="1:31" s="62" customFormat="1" ht="5.4" customHeight="1">
      <c r="F3" s="62" t="str">
        <f>_xlfn.XLOOKUP(D2,tbl_Dept[Dept_Name],tbl_Dept[Dept_ID],"",0)</f>
        <v>ADM_D01</v>
      </c>
    </row>
    <row r="4" spans="1:31" ht="21.3" customHeight="1">
      <c r="A4" s="56" t="s">
        <v>75</v>
      </c>
      <c r="B4" s="56" t="s">
        <v>428</v>
      </c>
      <c r="C4" s="56" t="s">
        <v>429</v>
      </c>
      <c r="D4" s="56" t="s">
        <v>430</v>
      </c>
      <c r="E4" s="56" t="s">
        <v>431</v>
      </c>
      <c r="F4" s="56" t="s">
        <v>78</v>
      </c>
      <c r="G4" s="56" t="s">
        <v>432</v>
      </c>
      <c r="H4" s="56" t="s">
        <v>380</v>
      </c>
      <c r="I4" s="56" t="s">
        <v>379</v>
      </c>
      <c r="J4" s="60" t="s">
        <v>439</v>
      </c>
      <c r="K4" s="60"/>
      <c r="L4" s="56" t="s">
        <v>433</v>
      </c>
      <c r="M4" s="56" t="s">
        <v>438</v>
      </c>
      <c r="N4" s="56" t="s">
        <v>436</v>
      </c>
      <c r="O4" s="56" t="s">
        <v>441</v>
      </c>
      <c r="P4" s="58" t="s">
        <v>443</v>
      </c>
    </row>
    <row r="5" spans="1:31" ht="27.75" customHeight="1">
      <c r="A5" s="11" t="s">
        <v>70</v>
      </c>
      <c r="B5" s="12" t="s">
        <v>358</v>
      </c>
      <c r="C5" s="12" t="s">
        <v>79</v>
      </c>
      <c r="D5" s="12" t="s">
        <v>82</v>
      </c>
      <c r="E5" s="12" t="s">
        <v>83</v>
      </c>
      <c r="F5" s="12" t="s">
        <v>80</v>
      </c>
      <c r="G5" s="12" t="s">
        <v>46</v>
      </c>
      <c r="H5" s="12" t="s">
        <v>387</v>
      </c>
      <c r="I5" s="12" t="s">
        <v>146</v>
      </c>
      <c r="J5" s="12" t="s">
        <v>145</v>
      </c>
      <c r="K5" s="12" t="s">
        <v>403</v>
      </c>
      <c r="L5" s="12" t="s">
        <v>434</v>
      </c>
      <c r="M5" s="12" t="s">
        <v>437</v>
      </c>
      <c r="N5" s="12" t="s">
        <v>435</v>
      </c>
      <c r="O5" s="12" t="s">
        <v>440</v>
      </c>
      <c r="P5" s="13" t="s">
        <v>442</v>
      </c>
    </row>
    <row r="6" spans="1:31" ht="19.5" customHeight="1">
      <c r="A6" s="6">
        <v>1</v>
      </c>
      <c r="B6" s="72">
        <v>46082</v>
      </c>
      <c r="C6" t="s">
        <v>190</v>
      </c>
      <c r="D6" s="66" t="str">
        <f>_xlfn.XLOOKUP(Daily_Work[[#This Row],[Emp_ID]],Master_Employee[Emp_ID],Master_Employee[Name_AR],"",0)</f>
        <v>محمد اكبر صافي</v>
      </c>
      <c r="E6" s="57" t="str">
        <f>_xlfn.XLOOKUP(Daily_Work[[#This Row],[Emp_ID]],Master_Employee[Emp_ID],Master_Employee[Name_EN],"",0)</f>
        <v>Muhammad Akbar Safi</v>
      </c>
      <c r="F6" s="37" t="str" cm="1">
        <f t="array" ref="F6">IF(Daily_Work[[#This Row],[Emp_ID]]=0,"",
_xlfn.XLOOKUP(Daily_Work[[#This Row],[Emp_ID]],Master_Employee[Emp_ID],EmpDepts,"",0)
)</f>
        <v>الإنشاءات</v>
      </c>
      <c r="G6" s="31" t="s">
        <v>162</v>
      </c>
      <c r="H6" t="s">
        <v>770</v>
      </c>
      <c r="I6" t="str">
        <f>IF(Daily_Work[[#This Row],[Project_Name]]="","",_xlfn.XLOOKUP(Daily_Work[[#This Row],[Project_Name]],ProjectNames,ProjectList,"",0))</f>
        <v>S004C</v>
      </c>
      <c r="J6" t="s">
        <v>579</v>
      </c>
      <c r="K6">
        <f>IF(Daily_Work[[#This Row],[Emp_Status]]="Absent",0,1)</f>
        <v>1</v>
      </c>
      <c r="L6">
        <v>2</v>
      </c>
      <c r="M6" s="2"/>
      <c r="N6" s="2">
        <f>Daily_Work[[#This Row],[Days_Work]]*8</f>
        <v>16</v>
      </c>
      <c r="O6" s="73">
        <f>IFERROR(Daily_Work[[#This Row],[Days_Work]]*_xlfn.XLOOKUP(Daily_Work[[#This Row],[Emp_ID]],Master_Employee[Emp_ID],Master_Employee[Daily_Rate],"",0),0)</f>
        <v>113.33333333333333</v>
      </c>
      <c r="P6" s="75">
        <f>IFERROR(Daily_Work[[#This Row],[OT_Hrs]]*_xlfn.XLOOKUP(Daily_Work[[#This Row],[Emp_ID]],Master_Employee[Emp_ID],Master_Employee[OT_Hr_Rate],0),0)</f>
        <v>0</v>
      </c>
      <c r="Q6" t="s">
        <v>154</v>
      </c>
      <c r="S6" t="s">
        <v>155</v>
      </c>
      <c r="X6" t="s">
        <v>605</v>
      </c>
      <c r="AA6" t="s">
        <v>3</v>
      </c>
      <c r="AD6" cm="1">
        <f t="array" ref="AD6:AE14">IF(Emp_Status[]="Absent",0,1)</f>
        <v>1</v>
      </c>
      <c r="AE6">
        <v>1</v>
      </c>
    </row>
    <row r="7" spans="1:31" ht="19.5" customHeight="1">
      <c r="A7" s="6">
        <v>2</v>
      </c>
      <c r="B7" s="72">
        <v>46082</v>
      </c>
      <c r="C7" t="s">
        <v>190</v>
      </c>
      <c r="D7" s="66" t="str">
        <f>_xlfn.XLOOKUP(Daily_Work[[#This Row],[Emp_ID]],Master_Employee[Emp_ID],Master_Employee[Name_AR],"",0)</f>
        <v>محمد اكبر صافي</v>
      </c>
      <c r="E7" s="59" t="str">
        <f>_xlfn.XLOOKUP(Daily_Work[[#This Row],[Emp_ID]],Master_Employee[Emp_ID],Master_Employee[Name_EN],"",0)</f>
        <v>Muhammad Akbar Safi</v>
      </c>
      <c r="F7" s="37" t="str" cm="1">
        <f t="array" ref="F7">IF(Daily_Work[[#This Row],[Emp_ID]]=0,"",
_xlfn.XLOOKUP(Daily_Work[[#This Row],[Emp_ID]],Master_Employee[Emp_ID],EmpDepts,"",0)
)</f>
        <v>الإنشاءات</v>
      </c>
      <c r="G7" s="31" t="s">
        <v>162</v>
      </c>
      <c r="H7" t="s">
        <v>733</v>
      </c>
      <c r="I7" t="str">
        <f>IF(Daily_Work[[#This Row],[Project_Name]]="","",_xlfn.XLOOKUP(Daily_Work[[#This Row],[Project_Name]],ProjectNames,ProjectList,"",0))</f>
        <v>S001F</v>
      </c>
      <c r="J7" t="s">
        <v>579</v>
      </c>
      <c r="K7">
        <f>IF(Daily_Work[[#This Row],[Emp_Status]]="Absent",0,1)</f>
        <v>1</v>
      </c>
      <c r="L7">
        <v>3</v>
      </c>
      <c r="M7" s="2">
        <v>4</v>
      </c>
      <c r="N7" s="2">
        <f>Daily_Work[[#This Row],[Days_Work]]*8</f>
        <v>24</v>
      </c>
      <c r="O7" s="73">
        <f>IFERROR(Daily_Work[[#This Row],[Days_Work]]*_xlfn.XLOOKUP(Daily_Work[[#This Row],[Emp_ID]],Master_Employee[Emp_ID],Master_Employee[Daily_Rate],"",0),0)</f>
        <v>170</v>
      </c>
      <c r="P7" s="75">
        <f>IFERROR(Daily_Work[[#This Row],[OT_Hrs]]*_xlfn.XLOOKUP(Daily_Work[[#This Row],[Emp_ID]],Master_Employee[Emp_ID],Master_Employee[OT_Hr_Rate],0),0)</f>
        <v>28.333333333333332</v>
      </c>
      <c r="U7" t="s">
        <v>63</v>
      </c>
      <c r="AA7" t="s">
        <v>412</v>
      </c>
      <c r="AC7" t="s">
        <v>606</v>
      </c>
      <c r="AD7">
        <v>1</v>
      </c>
      <c r="AE7">
        <v>1</v>
      </c>
    </row>
    <row r="8" spans="1:31" ht="19.5" customHeight="1">
      <c r="A8" s="6">
        <v>3</v>
      </c>
      <c r="B8" s="72">
        <v>46082</v>
      </c>
      <c r="C8" t="s">
        <v>190</v>
      </c>
      <c r="D8" s="66" t="str">
        <f>_xlfn.XLOOKUP(Daily_Work[[#This Row],[Emp_ID]],Master_Employee[Emp_ID],Master_Employee[Name_AR],"",0)</f>
        <v>محمد اكبر صافي</v>
      </c>
      <c r="E8" s="59" t="str">
        <f>_xlfn.XLOOKUP(Daily_Work[[#This Row],[Emp_ID]],Master_Employee[Emp_ID],Master_Employee[Name_EN],"",0)</f>
        <v>Muhammad Akbar Safi</v>
      </c>
      <c r="F8" s="37" t="str" cm="1">
        <f t="array" ref="F8">IF(Daily_Work[[#This Row],[Emp_ID]]=0,"",
_xlfn.XLOOKUP(Daily_Work[[#This Row],[Emp_ID]],Master_Employee[Emp_ID],EmpDepts,"",0)
)</f>
        <v>الإنشاءات</v>
      </c>
      <c r="G8" s="31" t="s">
        <v>172</v>
      </c>
      <c r="H8" t="s">
        <v>779</v>
      </c>
      <c r="I8" t="str">
        <f>IF(Daily_Work[[#This Row],[Project_Name]]="","",_xlfn.XLOOKUP(Daily_Work[[#This Row],[Project_Name]],ProjectNames,ProjectList,"",0))</f>
        <v>H001C</v>
      </c>
      <c r="J8" t="s">
        <v>579</v>
      </c>
      <c r="K8">
        <f>IF(Daily_Work[[#This Row],[Emp_Status]]="Absent",0,1)</f>
        <v>1</v>
      </c>
      <c r="L8">
        <v>5</v>
      </c>
      <c r="M8" s="2">
        <v>11</v>
      </c>
      <c r="N8" s="2">
        <f>Daily_Work[[#This Row],[Days_Work]]*8</f>
        <v>40</v>
      </c>
      <c r="O8" s="73">
        <f>IFERROR(Daily_Work[[#This Row],[Days_Work]]*_xlfn.XLOOKUP(Daily_Work[[#This Row],[Emp_ID]],Master_Employee[Emp_ID],Master_Employee[Daily_Rate],"",0),0)</f>
        <v>283.33333333333331</v>
      </c>
      <c r="P8" s="75">
        <f>IFERROR(Daily_Work[[#This Row],[OT_Hrs]]*_xlfn.XLOOKUP(Daily_Work[[#This Row],[Emp_ID]],Master_Employee[Emp_ID],Master_Employee[OT_Hr_Rate],0),0)</f>
        <v>77.916666666666657</v>
      </c>
      <c r="Q8" t="str" cm="1">
        <f t="array" ref="Q8">_xlfn._xlws.FILTER(
  Master_Employee[Name_AR],
  IF(OR(D2="", D2="كل الأقسام"),
    (Master_Employee[Job_Title]="مشرف موقع"),
    (Master_Employee[Department]=D2) * (Master_Employee[Job_Title]="مشرف موقع")
  ),
  "لا يوجد مشرفين"
)</f>
        <v>لا يوجد مشرفين</v>
      </c>
      <c r="S8" t="str" cm="1">
        <f t="array" ref="S8:S12">_xlfn._xlws.FILTER(
  Master_Employee[Name_AR],
  IF(D2="All_D11",
    (Master_Employee[Status_Code]="W_01"),
    (Master_Employee[Department]=D2) * (Master_Employee[Status_Code]="W_01")
  ),
  "لا يوجد عمال"
)</f>
        <v>ﻣﺎﻣﻮﻥ ﺍﺣﻤﺪ ﺷﻮﻧﻮ ﻣﻴﺎﻩ</v>
      </c>
      <c r="X8" cm="1">
        <f t="array" ref="X8:X13">_xlfn._xlws.FILTER(
  Master_Employee[Emp_ID],
  IF(D2="All_D11",
    ISNUMBER(MATCH(Master_Employee[Status_Code],Valid_Status[],0)),
    (Master_Employee[Department]=D2) *
    ISNUMBER(MATCH(Master_Employee[Status_Code],Valid_Status[],0))
  ),
  "لا يوجد عمال"
)</f>
        <v>146</v>
      </c>
      <c r="AA8" t="s">
        <v>418</v>
      </c>
      <c r="AC8" t="s">
        <v>607</v>
      </c>
      <c r="AD8">
        <v>1</v>
      </c>
      <c r="AE8">
        <v>1</v>
      </c>
    </row>
    <row r="9" spans="1:31" ht="19.5" customHeight="1">
      <c r="A9" s="6">
        <v>4</v>
      </c>
      <c r="B9" s="72">
        <v>46082</v>
      </c>
      <c r="C9" t="s">
        <v>190</v>
      </c>
      <c r="D9" s="66" t="str">
        <f>_xlfn.XLOOKUP(Daily_Work[[#This Row],[Emp_ID]],Master_Employee[Emp_ID],Master_Employee[Name_AR],"",0)</f>
        <v>محمد اكبر صافي</v>
      </c>
      <c r="E9" s="59" t="str">
        <f>_xlfn.XLOOKUP(Daily_Work[[#This Row],[Emp_ID]],Master_Employee[Emp_ID],Master_Employee[Name_EN],"",0)</f>
        <v>Muhammad Akbar Safi</v>
      </c>
      <c r="F9" s="37" t="str" cm="1">
        <f t="array" ref="F9">IF(Daily_Work[[#This Row],[Emp_ID]]=0,"",
_xlfn.XLOOKUP(Daily_Work[[#This Row],[Emp_ID]],Master_Employee[Emp_ID],EmpDepts,"",0)
)</f>
        <v>الإنشاءات</v>
      </c>
      <c r="G9" s="31" t="s">
        <v>172</v>
      </c>
      <c r="H9" t="s">
        <v>780</v>
      </c>
      <c r="I9" t="str">
        <f>IF(Daily_Work[[#This Row],[Project_Name]]="","",_xlfn.XLOOKUP(Daily_Work[[#This Row],[Project_Name]],ProjectNames,ProjectList,"",0))</f>
        <v>A005C</v>
      </c>
      <c r="J9" t="s">
        <v>579</v>
      </c>
      <c r="K9">
        <f>IF(Daily_Work[[#This Row],[Emp_Status]]="Absent",0,1)</f>
        <v>1</v>
      </c>
      <c r="L9">
        <v>4</v>
      </c>
      <c r="M9" s="2"/>
      <c r="N9" s="2">
        <f>Daily_Work[[#This Row],[Days_Work]]*8</f>
        <v>32</v>
      </c>
      <c r="O9" s="73">
        <f>IFERROR(Daily_Work[[#This Row],[Days_Work]]*_xlfn.XLOOKUP(Daily_Work[[#This Row],[Emp_ID]],Master_Employee[Emp_ID],Master_Employee[Daily_Rate],"",0),0)</f>
        <v>226.66666666666666</v>
      </c>
      <c r="P9" s="75">
        <f>IFERROR(Daily_Work[[#This Row],[OT_Hrs]]*_xlfn.XLOOKUP(Daily_Work[[#This Row],[Emp_ID]],Master_Employee[Emp_ID],Master_Employee[OT_Hr_Rate],0),0)</f>
        <v>0</v>
      </c>
      <c r="S9" t="str">
        <v>صلاح عبدالرحمن الحاج احمد</v>
      </c>
      <c r="X9" t="str">
        <v>O304</v>
      </c>
      <c r="AA9" t="s">
        <v>417</v>
      </c>
      <c r="AC9" t="s">
        <v>608</v>
      </c>
      <c r="AD9">
        <v>1</v>
      </c>
      <c r="AE9">
        <v>1</v>
      </c>
    </row>
    <row r="10" spans="1:31" ht="19.5" customHeight="1">
      <c r="A10" s="6">
        <v>5</v>
      </c>
      <c r="B10" s="72">
        <v>46082</v>
      </c>
      <c r="C10" t="s">
        <v>190</v>
      </c>
      <c r="D10" s="66" t="str">
        <f>_xlfn.XLOOKUP(Daily_Work[[#This Row],[Emp_ID]],Master_Employee[Emp_ID],Master_Employee[Name_AR],"",0)</f>
        <v>محمد اكبر صافي</v>
      </c>
      <c r="E10" s="59" t="str">
        <f>_xlfn.XLOOKUP(Daily_Work[[#This Row],[Emp_ID]],Master_Employee[Emp_ID],Master_Employee[Name_EN],"",0)</f>
        <v>Muhammad Akbar Safi</v>
      </c>
      <c r="F10" s="37" t="str" cm="1">
        <f t="array" ref="F10">IF(Daily_Work[[#This Row],[Emp_ID]]=0,"",
_xlfn.XLOOKUP(Daily_Work[[#This Row],[Emp_ID]],Master_Employee[Emp_ID],EmpDepts,"",0)
)</f>
        <v>الإنشاءات</v>
      </c>
      <c r="G10" s="31" t="s">
        <v>172</v>
      </c>
      <c r="H10" t="s">
        <v>786</v>
      </c>
      <c r="I10" t="str">
        <f>IF(Daily_Work[[#This Row],[Project_Name]]="","",_xlfn.XLOOKUP(Daily_Work[[#This Row],[Project_Name]],ProjectNames,ProjectList,"",0))</f>
        <v>F006C</v>
      </c>
      <c r="J10" t="s">
        <v>579</v>
      </c>
      <c r="K10">
        <f>IF(Daily_Work[[#This Row],[Emp_Status]]="Absent",0,1)</f>
        <v>1</v>
      </c>
      <c r="L10">
        <v>10</v>
      </c>
      <c r="M10" s="2">
        <v>12</v>
      </c>
      <c r="N10" s="2">
        <f>Daily_Work[[#This Row],[Days_Work]]*8</f>
        <v>80</v>
      </c>
      <c r="O10" s="73">
        <f>IFERROR(Daily_Work[[#This Row],[Days_Work]]*_xlfn.XLOOKUP(Daily_Work[[#This Row],[Emp_ID]],Master_Employee[Emp_ID],Master_Employee[Daily_Rate],"",0),0)</f>
        <v>566.66666666666663</v>
      </c>
      <c r="P10" s="75">
        <f>IFERROR(Daily_Work[[#This Row],[OT_Hrs]]*_xlfn.XLOOKUP(Daily_Work[[#This Row],[Emp_ID]],Master_Employee[Emp_ID],Master_Employee[OT_Hr_Rate],0),0)</f>
        <v>85</v>
      </c>
      <c r="S10" t="str">
        <v>منصور عالم مجنو مياه</v>
      </c>
      <c r="X10">
        <v>494</v>
      </c>
      <c r="AD10">
        <v>1</v>
      </c>
      <c r="AE10">
        <v>1</v>
      </c>
    </row>
    <row r="11" spans="1:31" ht="19.5" customHeight="1">
      <c r="A11" s="6">
        <v>6</v>
      </c>
      <c r="B11" s="72">
        <v>46082</v>
      </c>
      <c r="C11" t="s">
        <v>190</v>
      </c>
      <c r="D11" s="66" t="str">
        <f>_xlfn.XLOOKUP(Daily_Work[[#This Row],[Emp_ID]],Master_Employee[Emp_ID],Master_Employee[Name_AR],"",0)</f>
        <v>محمد اكبر صافي</v>
      </c>
      <c r="E11" s="59" t="str">
        <f>_xlfn.XLOOKUP(Daily_Work[[#This Row],[Emp_ID]],Master_Employee[Emp_ID],Master_Employee[Name_EN],"",0)</f>
        <v>Muhammad Akbar Safi</v>
      </c>
      <c r="F11" s="37" t="str" cm="1">
        <f t="array" ref="F11">IF(Daily_Work[[#This Row],[Emp_ID]]=0,"",
_xlfn.XLOOKUP(Daily_Work[[#This Row],[Emp_ID]],Master_Employee[Emp_ID],EmpDepts,"",0)
)</f>
        <v>الإنشاءات</v>
      </c>
      <c r="G11" s="31" t="s">
        <v>172</v>
      </c>
      <c r="H11" t="s">
        <v>780</v>
      </c>
      <c r="I11" t="str">
        <f>IF(Daily_Work[[#This Row],[Project_Name]]="","",_xlfn.XLOOKUP(Daily_Work[[#This Row],[Project_Name]],ProjectNames,ProjectList,"",0))</f>
        <v>A005C</v>
      </c>
      <c r="J11" t="s">
        <v>580</v>
      </c>
      <c r="K11">
        <f>IF(Daily_Work[[#This Row],[Emp_Status]]="Absent",0,1)</f>
        <v>0</v>
      </c>
      <c r="M11" s="2"/>
      <c r="N11" s="2">
        <f>Daily_Work[[#This Row],[Days_Work]]*8</f>
        <v>0</v>
      </c>
      <c r="O11" s="73">
        <f>IFERROR(Daily_Work[[#This Row],[Days_Work]]*_xlfn.XLOOKUP(Daily_Work[[#This Row],[Emp_ID]],Master_Employee[Emp_ID],Master_Employee[Daily_Rate],"",0),0)</f>
        <v>0</v>
      </c>
      <c r="P11" s="75">
        <f>IFERROR(Daily_Work[[#This Row],[OT_Hrs]]*_xlfn.XLOOKUP(Daily_Work[[#This Row],[Emp_ID]],Master_Employee[Emp_ID],Master_Employee[OT_Hr_Rate],0),0)</f>
        <v>0</v>
      </c>
      <c r="S11" t="str">
        <v xml:space="preserve">أرسلان احمد الطاف حسين </v>
      </c>
      <c r="X11" t="str">
        <v>O246</v>
      </c>
      <c r="AD11">
        <v>1</v>
      </c>
      <c r="AE11">
        <v>1</v>
      </c>
    </row>
    <row r="12" spans="1:31" ht="19.5" customHeight="1">
      <c r="A12" s="6">
        <v>7</v>
      </c>
      <c r="B12" s="72">
        <v>46082</v>
      </c>
      <c r="C12" t="s">
        <v>190</v>
      </c>
      <c r="D12" s="66" t="str">
        <f>_xlfn.XLOOKUP(Daily_Work[[#This Row],[Emp_ID]],Master_Employee[Emp_ID],Master_Employee[Name_AR],"",0)</f>
        <v>محمد اكبر صافي</v>
      </c>
      <c r="E12" s="59" t="str">
        <f>_xlfn.XLOOKUP(Daily_Work[[#This Row],[Emp_ID]],Master_Employee[Emp_ID],Master_Employee[Name_EN],"",0)</f>
        <v>Muhammad Akbar Safi</v>
      </c>
      <c r="F12" s="37" t="str" cm="1">
        <f t="array" ref="F12">IF(Daily_Work[[#This Row],[Emp_ID]]=0,"",
_xlfn.XLOOKUP(Daily_Work[[#This Row],[Emp_ID]],Master_Employee[Emp_ID],EmpDepts,"",0)
)</f>
        <v>الإنشاءات</v>
      </c>
      <c r="G12" s="31" t="s">
        <v>172</v>
      </c>
      <c r="H12" t="s">
        <v>775</v>
      </c>
      <c r="I12" t="str">
        <f>IF(Daily_Work[[#This Row],[Project_Name]]="","",_xlfn.XLOOKUP(Daily_Work[[#This Row],[Project_Name]],ProjectNames,ProjectList,"",0))</f>
        <v>S005C</v>
      </c>
      <c r="J12" t="s">
        <v>799</v>
      </c>
      <c r="K12">
        <f>IF(Daily_Work[[#This Row],[Emp_Status]]="Absent",0,1)</f>
        <v>1</v>
      </c>
      <c r="L12">
        <v>3</v>
      </c>
      <c r="M12" s="2"/>
      <c r="N12" s="2">
        <f>Daily_Work[[#This Row],[Days_Work]]*8</f>
        <v>24</v>
      </c>
      <c r="O12" s="73">
        <f>IFERROR(Daily_Work[[#This Row],[Days_Work]]*_xlfn.XLOOKUP(Daily_Work[[#This Row],[Emp_ID]],Master_Employee[Emp_ID],Master_Employee[Daily_Rate],"",0),0)</f>
        <v>170</v>
      </c>
      <c r="P12" s="75">
        <f>IFERROR(Daily_Work[[#This Row],[OT_Hrs]]*_xlfn.XLOOKUP(Daily_Work[[#This Row],[Emp_ID]],Master_Employee[Emp_ID],Master_Employee[OT_Hr_Rate],0),0)</f>
        <v>0</v>
      </c>
      <c r="S12" t="str">
        <v>محمد أبو محمد حانف</v>
      </c>
      <c r="X12" t="str">
        <v>O309</v>
      </c>
      <c r="AD12">
        <v>1</v>
      </c>
      <c r="AE12">
        <v>1</v>
      </c>
    </row>
    <row r="13" spans="1:31" ht="19.5" customHeight="1">
      <c r="A13" s="6">
        <v>8</v>
      </c>
      <c r="B13" s="72">
        <v>46082</v>
      </c>
      <c r="C13" t="s">
        <v>190</v>
      </c>
      <c r="D13" s="66" t="str">
        <f>_xlfn.XLOOKUP(Daily_Work[[#This Row],[Emp_ID]],Master_Employee[Emp_ID],Master_Employee[Name_AR],"",0)</f>
        <v>محمد اكبر صافي</v>
      </c>
      <c r="E13" s="59" t="str">
        <f>_xlfn.XLOOKUP(Daily_Work[[#This Row],[Emp_ID]],Master_Employee[Emp_ID],Master_Employee[Name_EN],"",0)</f>
        <v>Muhammad Akbar Safi</v>
      </c>
      <c r="F13" s="37" t="str" cm="1">
        <f t="array" ref="F13">IF(Daily_Work[[#This Row],[Emp_ID]]=0,"",
_xlfn.XLOOKUP(Daily_Work[[#This Row],[Emp_ID]],Master_Employee[Emp_ID],EmpDepts,"",0)
)</f>
        <v>الإنشاءات</v>
      </c>
      <c r="G13" s="31" t="s">
        <v>172</v>
      </c>
      <c r="H13" t="s">
        <v>796</v>
      </c>
      <c r="I13" t="str">
        <f>IF(Daily_Work[[#This Row],[Project_Name]]="","",_xlfn.XLOOKUP(Daily_Work[[#This Row],[Project_Name]],ProjectNames,ProjectList,"",0))</f>
        <v>H005C</v>
      </c>
      <c r="J13" t="s">
        <v>799</v>
      </c>
      <c r="K13">
        <f>IF(Daily_Work[[#This Row],[Emp_Status]]="Absent",0,1)</f>
        <v>1</v>
      </c>
      <c r="L13">
        <v>2</v>
      </c>
      <c r="M13" s="2"/>
      <c r="N13" s="2">
        <f>Daily_Work[[#This Row],[Days_Work]]*8</f>
        <v>16</v>
      </c>
      <c r="O13" s="73">
        <f>IFERROR(Daily_Work[[#This Row],[Days_Work]]*_xlfn.XLOOKUP(Daily_Work[[#This Row],[Emp_ID]],Master_Employee[Emp_ID],Master_Employee[Daily_Rate],"",0),0)</f>
        <v>113.33333333333333</v>
      </c>
      <c r="P13" s="75">
        <f>IFERROR(Daily_Work[[#This Row],[OT_Hrs]]*_xlfn.XLOOKUP(Daily_Work[[#This Row],[Emp_ID]],Master_Employee[Emp_ID],Master_Employee[OT_Hr_Rate],0),0)</f>
        <v>0</v>
      </c>
      <c r="R13" s="77">
        <f>SUM(O6:O13)</f>
        <v>1643.3333333333333</v>
      </c>
      <c r="S13" s="77">
        <f>SUM(O6:O13)+SUM(P6:P13)</f>
        <v>1834.5833333333333</v>
      </c>
      <c r="X13">
        <v>314</v>
      </c>
      <c r="AD13">
        <v>1</v>
      </c>
      <c r="AE13">
        <v>1</v>
      </c>
    </row>
    <row r="14" spans="1:31" ht="19.5" customHeight="1">
      <c r="A14" s="6">
        <v>9</v>
      </c>
      <c r="B14" s="72">
        <v>46082</v>
      </c>
      <c r="C14" t="s">
        <v>239</v>
      </c>
      <c r="D14" s="66" t="str">
        <f>_xlfn.XLOOKUP(Daily_Work[[#This Row],[Emp_ID]],Master_Employee[Emp_ID],Master_Employee[Name_AR],"",0)</f>
        <v>عبدالحكيم رستم انصاري</v>
      </c>
      <c r="E14" s="59" t="str">
        <f>_xlfn.XLOOKUP(Daily_Work[[#This Row],[Emp_ID]],Master_Employee[Emp_ID],Master_Employee[Name_EN],"",0)</f>
        <v>Abdul Hakim Rustam Ansari</v>
      </c>
      <c r="F14" s="37" t="str" cm="1">
        <f t="array" ref="F14">IF(Daily_Work[[#This Row],[Emp_ID]]=0,"",
_xlfn.XLOOKUP(Daily_Work[[#This Row],[Emp_ID]],Master_Employee[Emp_ID],EmpDepts,"",0)
)</f>
        <v>الإنشاءات</v>
      </c>
      <c r="G14" s="31" t="s">
        <v>172</v>
      </c>
      <c r="H14" t="s">
        <v>770</v>
      </c>
      <c r="I14" t="str">
        <f>IF(Daily_Work[[#This Row],[Project_Name]]="","",_xlfn.XLOOKUP(Daily_Work[[#This Row],[Project_Name]],ProjectNames,ProjectList,"",0))</f>
        <v>S004C</v>
      </c>
      <c r="J14" t="s">
        <v>579</v>
      </c>
      <c r="K14">
        <f>IF(Daily_Work[[#This Row],[Emp_Status]]="Absent",0,1)</f>
        <v>1</v>
      </c>
      <c r="L14">
        <v>2</v>
      </c>
      <c r="M14" s="2"/>
      <c r="N14" s="2">
        <f>Daily_Work[[#This Row],[Days_Work]]*8</f>
        <v>16</v>
      </c>
      <c r="O14" s="73">
        <f>IFERROR(Daily_Work[[#This Row],[Days_Work]]*_xlfn.XLOOKUP(Daily_Work[[#This Row],[Emp_ID]],Master_Employee[Emp_ID],Master_Employee[Daily_Rate],"",0),0)</f>
        <v>93.333333333333329</v>
      </c>
      <c r="P14" s="75">
        <f>IFERROR(Daily_Work[[#This Row],[OT_Hrs]]*_xlfn.XLOOKUP(Daily_Work[[#This Row],[Emp_ID]],Master_Employee[Emp_ID],Master_Employee[OT_Hr_Rate],0),0)</f>
        <v>0</v>
      </c>
      <c r="AD14">
        <v>1</v>
      </c>
      <c r="AE14">
        <v>1</v>
      </c>
    </row>
    <row r="15" spans="1:31" ht="19.5" customHeight="1">
      <c r="A15" s="6">
        <v>10</v>
      </c>
      <c r="B15" s="72">
        <v>46082</v>
      </c>
      <c r="C15" t="s">
        <v>239</v>
      </c>
      <c r="D15" s="66" t="str">
        <f>_xlfn.XLOOKUP(Daily_Work[[#This Row],[Emp_ID]],Master_Employee[Emp_ID],Master_Employee[Name_AR],"",0)</f>
        <v>عبدالحكيم رستم انصاري</v>
      </c>
      <c r="E15" s="59" t="str">
        <f>_xlfn.XLOOKUP(Daily_Work[[#This Row],[Emp_ID]],Master_Employee[Emp_ID],Master_Employee[Name_EN],"",0)</f>
        <v>Abdul Hakim Rustam Ansari</v>
      </c>
      <c r="F15" s="37" t="str" cm="1">
        <f t="array" ref="F15">IF(Daily_Work[[#This Row],[Emp_ID]]=0,"",
_xlfn.XLOOKUP(Daily_Work[[#This Row],[Emp_ID]],Master_Employee[Emp_ID],EmpDepts,"",0)
)</f>
        <v>الإنشاءات</v>
      </c>
      <c r="G15" s="31" t="s">
        <v>172</v>
      </c>
      <c r="H15" t="s">
        <v>796</v>
      </c>
      <c r="I15" t="str">
        <f>IF(Daily_Work[[#This Row],[Project_Name]]="","",_xlfn.XLOOKUP(Daily_Work[[#This Row],[Project_Name]],ProjectNames,ProjectList,"",0))</f>
        <v>H005C</v>
      </c>
      <c r="J15" t="s">
        <v>579</v>
      </c>
      <c r="K15">
        <f>IF(Daily_Work[[#This Row],[Emp_Status]]="Absent",0,1)</f>
        <v>1</v>
      </c>
      <c r="L15">
        <v>1</v>
      </c>
      <c r="M15" s="2">
        <v>3</v>
      </c>
      <c r="N15" s="2">
        <f>Daily_Work[[#This Row],[Days_Work]]*8</f>
        <v>8</v>
      </c>
      <c r="O15" s="73">
        <f>IFERROR(Daily_Work[[#This Row],[Days_Work]]*_xlfn.XLOOKUP(Daily_Work[[#This Row],[Emp_ID]],Master_Employee[Emp_ID],Master_Employee[Daily_Rate],"",0),0)</f>
        <v>46.666666666666664</v>
      </c>
      <c r="P15" s="75">
        <f>IFERROR(Daily_Work[[#This Row],[OT_Hrs]]*_xlfn.XLOOKUP(Daily_Work[[#This Row],[Emp_ID]],Master_Employee[Emp_ID],Master_Employee[OT_Hr_Rate],0),0)</f>
        <v>17.5</v>
      </c>
      <c r="R15" s="77">
        <f>R13+S15</f>
        <v>1835.0333333333333</v>
      </c>
      <c r="S15">
        <f>27*7.1</f>
        <v>191.7</v>
      </c>
    </row>
    <row r="16" spans="1:31" ht="19.5" customHeight="1">
      <c r="A16" s="6">
        <v>11</v>
      </c>
      <c r="B16" s="72">
        <v>46082</v>
      </c>
      <c r="C16" t="s">
        <v>239</v>
      </c>
      <c r="D16" s="66" t="str">
        <f>_xlfn.XLOOKUP(Daily_Work[[#This Row],[Emp_ID]],Master_Employee[Emp_ID],Master_Employee[Name_AR],"",0)</f>
        <v>عبدالحكيم رستم انصاري</v>
      </c>
      <c r="E16" s="59" t="str">
        <f>_xlfn.XLOOKUP(Daily_Work[[#This Row],[Emp_ID]],Master_Employee[Emp_ID],Master_Employee[Name_EN],"",0)</f>
        <v>Abdul Hakim Rustam Ansari</v>
      </c>
      <c r="F16" s="37" t="str" cm="1">
        <f t="array" ref="F16">IF(Daily_Work[[#This Row],[Emp_ID]]=0,"",
_xlfn.XLOOKUP(Daily_Work[[#This Row],[Emp_ID]],Master_Employee[Emp_ID],EmpDepts,"",0)
)</f>
        <v>الإنشاءات</v>
      </c>
      <c r="G16" s="31" t="s">
        <v>172</v>
      </c>
      <c r="H16" t="s">
        <v>786</v>
      </c>
      <c r="I16" t="str">
        <f>IF(Daily_Work[[#This Row],[Project_Name]]="","",_xlfn.XLOOKUP(Daily_Work[[#This Row],[Project_Name]],ProjectNames,ProjectList,"",0))</f>
        <v>F006C</v>
      </c>
      <c r="J16" t="s">
        <v>579</v>
      </c>
      <c r="K16">
        <f>IF(Daily_Work[[#This Row],[Emp_Status]]="Absent",0,1)</f>
        <v>1</v>
      </c>
      <c r="L16">
        <v>9</v>
      </c>
      <c r="M16" s="2">
        <v>12</v>
      </c>
      <c r="N16" s="2">
        <f>Daily_Work[[#This Row],[Days_Work]]*8</f>
        <v>72</v>
      </c>
      <c r="O16" s="73">
        <f>IFERROR(Daily_Work[[#This Row],[Days_Work]]*_xlfn.XLOOKUP(Daily_Work[[#This Row],[Emp_ID]],Master_Employee[Emp_ID],Master_Employee[Daily_Rate],"",0),0)</f>
        <v>420</v>
      </c>
      <c r="P16" s="75">
        <f>IFERROR(Daily_Work[[#This Row],[OT_Hrs]]*_xlfn.XLOOKUP(Daily_Work[[#This Row],[Emp_ID]],Master_Employee[Emp_ID],Master_Employee[OT_Hr_Rate],0),0)</f>
        <v>70</v>
      </c>
    </row>
    <row r="17" spans="1:19" ht="19.5" customHeight="1">
      <c r="A17" s="6">
        <v>12</v>
      </c>
      <c r="B17" s="72">
        <v>46082</v>
      </c>
      <c r="C17" t="s">
        <v>239</v>
      </c>
      <c r="D17" s="66" t="str">
        <f>_xlfn.XLOOKUP(Daily_Work[[#This Row],[Emp_ID]],Master_Employee[Emp_ID],Master_Employee[Name_AR],"",0)</f>
        <v>عبدالحكيم رستم انصاري</v>
      </c>
      <c r="E17" s="59" t="str">
        <f>_xlfn.XLOOKUP(Daily_Work[[#This Row],[Emp_ID]],Master_Employee[Emp_ID],Master_Employee[Name_EN],"",0)</f>
        <v>Abdul Hakim Rustam Ansari</v>
      </c>
      <c r="F17" s="37" t="str" cm="1">
        <f t="array" ref="F17">IF(Daily_Work[[#This Row],[Emp_ID]]=0,"",
_xlfn.XLOOKUP(Daily_Work[[#This Row],[Emp_ID]],Master_Employee[Emp_ID],EmpDepts,"",0)
)</f>
        <v>الإنشاءات</v>
      </c>
      <c r="G17" s="31" t="s">
        <v>172</v>
      </c>
      <c r="H17" t="s">
        <v>792</v>
      </c>
      <c r="I17" t="str">
        <f>IF(Daily_Work[[#This Row],[Project_Name]]="","",_xlfn.XLOOKUP(Daily_Work[[#This Row],[Project_Name]],ProjectNames,ProjectList,"",0))</f>
        <v>H003C</v>
      </c>
      <c r="J17" t="s">
        <v>579</v>
      </c>
      <c r="K17">
        <f>IF(Daily_Work[[#This Row],[Emp_Status]]="Absent",0,1)</f>
        <v>1</v>
      </c>
      <c r="L17">
        <v>2</v>
      </c>
      <c r="M17" s="2"/>
      <c r="N17" s="2">
        <f>Daily_Work[[#This Row],[Days_Work]]*8</f>
        <v>16</v>
      </c>
      <c r="O17" s="73">
        <f>IFERROR(Daily_Work[[#This Row],[Days_Work]]*_xlfn.XLOOKUP(Daily_Work[[#This Row],[Emp_ID]],Master_Employee[Emp_ID],Master_Employee[Daily_Rate],"",0),0)</f>
        <v>93.333333333333329</v>
      </c>
      <c r="P17" s="75">
        <f>IFERROR(Daily_Work[[#This Row],[OT_Hrs]]*_xlfn.XLOOKUP(Daily_Work[[#This Row],[Emp_ID]],Master_Employee[Emp_ID],Master_Employee[OT_Hr_Rate],0),0)</f>
        <v>0</v>
      </c>
      <c r="R17">
        <f>SUM(L6:L13)</f>
        <v>29</v>
      </c>
      <c r="S17" s="77">
        <f>S15+R13</f>
        <v>1835.0333333333333</v>
      </c>
    </row>
    <row r="18" spans="1:19" ht="19.5" customHeight="1">
      <c r="A18" s="6">
        <v>13</v>
      </c>
      <c r="B18" s="72">
        <v>46082</v>
      </c>
      <c r="C18" t="s">
        <v>239</v>
      </c>
      <c r="D18" s="66" t="str">
        <f>_xlfn.XLOOKUP(Daily_Work[[#This Row],[Emp_ID]],Master_Employee[Emp_ID],Master_Employee[Name_AR],"",0)</f>
        <v>عبدالحكيم رستم انصاري</v>
      </c>
      <c r="E18" s="59" t="str">
        <f>_xlfn.XLOOKUP(Daily_Work[[#This Row],[Emp_ID]],Master_Employee[Emp_ID],Master_Employee[Name_EN],"",0)</f>
        <v>Abdul Hakim Rustam Ansari</v>
      </c>
      <c r="F18" s="37" t="str" cm="1">
        <f t="array" ref="F18">IF(Daily_Work[[#This Row],[Emp_ID]]=0,"",
_xlfn.XLOOKUP(Daily_Work[[#This Row],[Emp_ID]],Master_Employee[Emp_ID],EmpDepts,"",0)
)</f>
        <v>الإنشاءات</v>
      </c>
      <c r="G18" s="31" t="s">
        <v>172</v>
      </c>
      <c r="H18" t="s">
        <v>779</v>
      </c>
      <c r="I18" t="str">
        <f>IF(Daily_Work[[#This Row],[Project_Name]]="","",_xlfn.XLOOKUP(Daily_Work[[#This Row],[Project_Name]],ProjectNames,ProjectList,"",0))</f>
        <v>H001C</v>
      </c>
      <c r="J18" t="s">
        <v>579</v>
      </c>
      <c r="K18">
        <f>IF(Daily_Work[[#This Row],[Emp_Status]]="Absent",0,1)</f>
        <v>1</v>
      </c>
      <c r="L18">
        <v>5</v>
      </c>
      <c r="M18" s="2">
        <v>11</v>
      </c>
      <c r="N18" s="2">
        <f>Daily_Work[[#This Row],[Days_Work]]*8</f>
        <v>40</v>
      </c>
      <c r="O18" s="73">
        <f>IFERROR(Daily_Work[[#This Row],[Days_Work]]*_xlfn.XLOOKUP(Daily_Work[[#This Row],[Emp_ID]],Master_Employee[Emp_ID],Master_Employee[Daily_Rate],"",0),0)</f>
        <v>233.33333333333331</v>
      </c>
      <c r="P18" s="75">
        <f>IFERROR(Daily_Work[[#This Row],[OT_Hrs]]*_xlfn.XLOOKUP(Daily_Work[[#This Row],[Emp_ID]],Master_Employee[Emp_ID],Master_Employee[OT_Hr_Rate],0),0)</f>
        <v>64.166666666666657</v>
      </c>
    </row>
    <row r="19" spans="1:19" ht="19.5" customHeight="1">
      <c r="A19" s="6">
        <v>14</v>
      </c>
      <c r="B19" s="72">
        <v>46082</v>
      </c>
      <c r="C19" t="s">
        <v>239</v>
      </c>
      <c r="D19" s="66" t="str">
        <f>_xlfn.XLOOKUP(Daily_Work[[#This Row],[Emp_ID]],Master_Employee[Emp_ID],Master_Employee[Name_AR],"",0)</f>
        <v>عبدالحكيم رستم انصاري</v>
      </c>
      <c r="E19" s="59" t="str">
        <f>_xlfn.XLOOKUP(Daily_Work[[#This Row],[Emp_ID]],Master_Employee[Emp_ID],Master_Employee[Name_EN],"",0)</f>
        <v>Abdul Hakim Rustam Ansari</v>
      </c>
      <c r="F19" s="37" t="str" cm="1">
        <f t="array" ref="F19">IF(Daily_Work[[#This Row],[Emp_ID]]=0,"",
_xlfn.XLOOKUP(Daily_Work[[#This Row],[Emp_ID]],Master_Employee[Emp_ID],EmpDepts,"",0)
)</f>
        <v>الإنشاءات</v>
      </c>
      <c r="G19" s="31" t="s">
        <v>172</v>
      </c>
      <c r="H19" t="s">
        <v>780</v>
      </c>
      <c r="I19" t="str">
        <f>IF(Daily_Work[[#This Row],[Project_Name]]="","",_xlfn.XLOOKUP(Daily_Work[[#This Row],[Project_Name]],ProjectNames,ProjectList,"",0))</f>
        <v>A005C</v>
      </c>
      <c r="J19" t="s">
        <v>579</v>
      </c>
      <c r="K19">
        <f>IF(Daily_Work[[#This Row],[Emp_Status]]="Absent",0,1)</f>
        <v>1</v>
      </c>
      <c r="L19">
        <v>5</v>
      </c>
      <c r="M19" s="2">
        <v>8</v>
      </c>
      <c r="N19" s="2">
        <f>Daily_Work[[#This Row],[Days_Work]]*8</f>
        <v>40</v>
      </c>
      <c r="O19" s="73">
        <f>IFERROR(Daily_Work[[#This Row],[Days_Work]]*_xlfn.XLOOKUP(Daily_Work[[#This Row],[Emp_ID]],Master_Employee[Emp_ID],Master_Employee[Daily_Rate],"",0),0)</f>
        <v>233.33333333333331</v>
      </c>
      <c r="P19" s="75">
        <f>IFERROR(Daily_Work[[#This Row],[OT_Hrs]]*_xlfn.XLOOKUP(Daily_Work[[#This Row],[Emp_ID]],Master_Employee[Emp_ID],Master_Employee[OT_Hr_Rate],0),0)</f>
        <v>46.666666666666664</v>
      </c>
      <c r="R19">
        <v>25</v>
      </c>
    </row>
    <row r="20" spans="1:19" ht="19.5" customHeight="1">
      <c r="A20" s="6">
        <v>15</v>
      </c>
      <c r="B20" s="72">
        <v>46082</v>
      </c>
      <c r="C20" t="s">
        <v>239</v>
      </c>
      <c r="D20" s="66" t="str">
        <f>_xlfn.XLOOKUP(Daily_Work[[#This Row],[Emp_ID]],Master_Employee[Emp_ID],Master_Employee[Name_AR],"",0)</f>
        <v>عبدالحكيم رستم انصاري</v>
      </c>
      <c r="E20" s="59" t="str">
        <f>_xlfn.XLOOKUP(Daily_Work[[#This Row],[Emp_ID]],Master_Employee[Emp_ID],Master_Employee[Name_EN],"",0)</f>
        <v>Abdul Hakim Rustam Ansari</v>
      </c>
      <c r="F20" s="37" t="str" cm="1">
        <f t="array" ref="F20">IF(Daily_Work[[#This Row],[Emp_ID]]=0,"",
_xlfn.XLOOKUP(Daily_Work[[#This Row],[Emp_ID]],Master_Employee[Emp_ID],EmpDepts,"",0)
)</f>
        <v>الإنشاءات</v>
      </c>
      <c r="G20" s="31" t="s">
        <v>172</v>
      </c>
      <c r="H20" t="s">
        <v>786</v>
      </c>
      <c r="I20" t="str">
        <f>IF(Daily_Work[[#This Row],[Project_Name]]="","",_xlfn.XLOOKUP(Daily_Work[[#This Row],[Project_Name]],ProjectNames,ProjectList,"",0))</f>
        <v>F006C</v>
      </c>
      <c r="J20" t="s">
        <v>799</v>
      </c>
      <c r="K20">
        <f>IF(Daily_Work[[#This Row],[Emp_Status]]="Absent",0,1)</f>
        <v>1</v>
      </c>
      <c r="L20">
        <v>4</v>
      </c>
      <c r="M20" s="2">
        <v>1</v>
      </c>
      <c r="N20" s="2">
        <f>Daily_Work[[#This Row],[Days_Work]]*8</f>
        <v>32</v>
      </c>
      <c r="O20" s="73">
        <f>IFERROR(Daily_Work[[#This Row],[Days_Work]]*_xlfn.XLOOKUP(Daily_Work[[#This Row],[Emp_ID]],Master_Employee[Emp_ID],Master_Employee[Daily_Rate],"",0),0)</f>
        <v>186.66666666666666</v>
      </c>
      <c r="P20" s="75">
        <f>IFERROR(Daily_Work[[#This Row],[OT_Hrs]]*_xlfn.XLOOKUP(Daily_Work[[#This Row],[Emp_ID]],Master_Employee[Emp_ID],Master_Employee[OT_Hr_Rate],0),0)</f>
        <v>5.833333333333333</v>
      </c>
      <c r="R20">
        <v>4</v>
      </c>
    </row>
    <row r="21" spans="1:19" ht="19.5" customHeight="1">
      <c r="A21" s="6">
        <v>16</v>
      </c>
      <c r="B21" s="72">
        <v>46082</v>
      </c>
      <c r="C21">
        <v>243</v>
      </c>
      <c r="D21" s="66" t="str">
        <f>_xlfn.XLOOKUP(Daily_Work[[#This Row],[Emp_ID]],Master_Employee[Emp_ID],Master_Employee[Name_AR],"",0)</f>
        <v>محمد عزيز لاحق</v>
      </c>
      <c r="E21" s="59">
        <f>_xlfn.XLOOKUP(Daily_Work[[#This Row],[Emp_ID]],Master_Employee[Emp_ID],Master_Employee[Name_EN],"",0)</f>
        <v>0</v>
      </c>
      <c r="F21" s="37" t="str" cm="1">
        <f t="array" ref="F21">IF(Daily_Work[[#This Row],[Emp_ID]]=0,"",
_xlfn.XLOOKUP(Daily_Work[[#This Row],[Emp_ID]],Master_Employee[Emp_ID],EmpDepts,"",0)
)</f>
        <v>التشطيبات</v>
      </c>
      <c r="G21" s="31" t="s">
        <v>172</v>
      </c>
      <c r="H21" t="s">
        <v>733</v>
      </c>
      <c r="I21" t="str">
        <f>IF(Daily_Work[[#This Row],[Project_Name]]="","",_xlfn.XLOOKUP(Daily_Work[[#This Row],[Project_Name]],ProjectNames,ProjectList,"",0))</f>
        <v>S001F</v>
      </c>
      <c r="J21" t="s">
        <v>579</v>
      </c>
      <c r="K21">
        <f>IF(Daily_Work[[#This Row],[Emp_Status]]="Absent",0,1)</f>
        <v>1</v>
      </c>
      <c r="L21">
        <v>10</v>
      </c>
      <c r="M21" s="2">
        <v>1</v>
      </c>
      <c r="N21" s="2">
        <f>Daily_Work[[#This Row],[Days_Work]]*8</f>
        <v>80</v>
      </c>
      <c r="O21" s="73">
        <f>IFERROR(Daily_Work[[#This Row],[Days_Work]]*_xlfn.XLOOKUP(Daily_Work[[#This Row],[Emp_ID]],Master_Employee[Emp_ID],Master_Employee[Daily_Rate],"",0),0)</f>
        <v>466.66666666666663</v>
      </c>
      <c r="P21" s="75">
        <f>IFERROR(Daily_Work[[#This Row],[OT_Hrs]]*_xlfn.XLOOKUP(Daily_Work[[#This Row],[Emp_ID]],Master_Employee[Emp_ID],Master_Employee[OT_Hr_Rate],0),0)</f>
        <v>4.166666666666667</v>
      </c>
    </row>
    <row r="22" spans="1:19" ht="19.5" customHeight="1">
      <c r="A22" s="6">
        <v>17</v>
      </c>
      <c r="B22" s="72">
        <v>46082</v>
      </c>
      <c r="C22">
        <v>243</v>
      </c>
      <c r="D22" s="66" t="str">
        <f>_xlfn.XLOOKUP(Daily_Work[[#This Row],[Emp_ID]],Master_Employee[Emp_ID],Master_Employee[Name_AR],"",0)</f>
        <v>محمد عزيز لاحق</v>
      </c>
      <c r="E22" s="59">
        <f>_xlfn.XLOOKUP(Daily_Work[[#This Row],[Emp_ID]],Master_Employee[Emp_ID],Master_Employee[Name_EN],"",0)</f>
        <v>0</v>
      </c>
      <c r="F22" s="37" t="str" cm="1">
        <f t="array" ref="F22">IF(Daily_Work[[#This Row],[Emp_ID]]=0,"",
_xlfn.XLOOKUP(Daily_Work[[#This Row],[Emp_ID]],Master_Employee[Emp_ID],EmpDepts,"",0)
)</f>
        <v>التشطيبات</v>
      </c>
      <c r="G22" s="31" t="s">
        <v>172</v>
      </c>
      <c r="H22" t="s">
        <v>734</v>
      </c>
      <c r="I22" t="str">
        <f>IF(Daily_Work[[#This Row],[Project_Name]]="","",_xlfn.XLOOKUP(Daily_Work[[#This Row],[Project_Name]],ProjectNames,ProjectList,"",0))</f>
        <v>S002F</v>
      </c>
      <c r="J22" t="s">
        <v>579</v>
      </c>
      <c r="K22">
        <f>IF(Daily_Work[[#This Row],[Emp_Status]]="Absent",0,1)</f>
        <v>1</v>
      </c>
      <c r="L22">
        <v>12</v>
      </c>
      <c r="M22" s="2">
        <v>3</v>
      </c>
      <c r="N22" s="2">
        <f>Daily_Work[[#This Row],[Days_Work]]*8</f>
        <v>96</v>
      </c>
      <c r="O22" s="73">
        <f>IFERROR(Daily_Work[[#This Row],[Days_Work]]*_xlfn.XLOOKUP(Daily_Work[[#This Row],[Emp_ID]],Master_Employee[Emp_ID],Master_Employee[Daily_Rate],"",0),0)</f>
        <v>560</v>
      </c>
      <c r="P22" s="75">
        <f>IFERROR(Daily_Work[[#This Row],[OT_Hrs]]*_xlfn.XLOOKUP(Daily_Work[[#This Row],[Emp_ID]],Master_Employee[Emp_ID],Master_Employee[OT_Hr_Rate],0),0)</f>
        <v>12.5</v>
      </c>
      <c r="R22" s="89">
        <f>SUM(O14:O20)+SUM(P14:P20)</f>
        <v>1510.8333333333335</v>
      </c>
    </row>
    <row r="23" spans="1:19" ht="19.5" customHeight="1">
      <c r="A23" s="6">
        <v>18</v>
      </c>
      <c r="B23" s="72">
        <v>46082</v>
      </c>
      <c r="C23">
        <v>243</v>
      </c>
      <c r="D23" s="66" t="str">
        <f>_xlfn.XLOOKUP(Daily_Work[[#This Row],[Emp_ID]],Master_Employee[Emp_ID],Master_Employee[Name_AR],"",0)</f>
        <v>محمد عزيز لاحق</v>
      </c>
      <c r="E23" s="59">
        <f>_xlfn.XLOOKUP(Daily_Work[[#This Row],[Emp_ID]],Master_Employee[Emp_ID],Master_Employee[Name_EN],"",0)</f>
        <v>0</v>
      </c>
      <c r="F23" s="37" t="str" cm="1">
        <f t="array" ref="F23">IF(Daily_Work[[#This Row],[Emp_ID]]=0,"",
_xlfn.XLOOKUP(Daily_Work[[#This Row],[Emp_ID]],Master_Employee[Emp_ID],EmpDepts,"",0)
)</f>
        <v>التشطيبات</v>
      </c>
      <c r="G23" s="31" t="s">
        <v>172</v>
      </c>
      <c r="H23" t="s">
        <v>735</v>
      </c>
      <c r="I23" t="str">
        <f>IF(Daily_Work[[#This Row],[Project_Name]]="","",_xlfn.XLOOKUP(Daily_Work[[#This Row],[Project_Name]],ProjectNames,ProjectList,"",0))</f>
        <v>J001F</v>
      </c>
      <c r="J23" t="s">
        <v>799</v>
      </c>
      <c r="K23">
        <f>IF(Daily_Work[[#This Row],[Emp_Status]]="Absent",0,1)</f>
        <v>1</v>
      </c>
      <c r="L23">
        <v>4</v>
      </c>
      <c r="M23" s="2">
        <v>5</v>
      </c>
      <c r="N23" s="2">
        <f>Daily_Work[[#This Row],[Days_Work]]*8</f>
        <v>32</v>
      </c>
      <c r="O23" s="73">
        <f>IFERROR(Daily_Work[[#This Row],[Days_Work]]*_xlfn.XLOOKUP(Daily_Work[[#This Row],[Emp_ID]],Master_Employee[Emp_ID],Master_Employee[Daily_Rate],"",0),0)</f>
        <v>186.66666666666666</v>
      </c>
      <c r="P23" s="75">
        <f>IFERROR(Daily_Work[[#This Row],[OT_Hrs]]*_xlfn.XLOOKUP(Daily_Work[[#This Row],[Emp_ID]],Master_Employee[Emp_ID],Master_Employee[OT_Hr_Rate],0),0)</f>
        <v>20.833333333333336</v>
      </c>
      <c r="R23" s="77">
        <f>SUM(O14:O20)</f>
        <v>1306.6666666666667</v>
      </c>
    </row>
    <row r="24" spans="1:19" ht="19.5" customHeight="1">
      <c r="A24" s="6">
        <v>19</v>
      </c>
      <c r="B24" s="72">
        <v>46082</v>
      </c>
      <c r="C24">
        <v>243</v>
      </c>
      <c r="D24" s="66" t="str">
        <f>_xlfn.XLOOKUP(Daily_Work[[#This Row],[Emp_ID]],Master_Employee[Emp_ID],Master_Employee[Name_AR],"",0)</f>
        <v>محمد عزيز لاحق</v>
      </c>
      <c r="E24" s="59">
        <f>_xlfn.XLOOKUP(Daily_Work[[#This Row],[Emp_ID]],Master_Employee[Emp_ID],Master_Employee[Name_EN],"",0)</f>
        <v>0</v>
      </c>
      <c r="F24" s="37" t="str" cm="1">
        <f t="array" ref="F24">IF(Daily_Work[[#This Row],[Emp_ID]]=0,"",
_xlfn.XLOOKUP(Daily_Work[[#This Row],[Emp_ID]],Master_Employee[Emp_ID],EmpDepts,"",0)
)</f>
        <v>التشطيبات</v>
      </c>
      <c r="G24" s="31" t="s">
        <v>172</v>
      </c>
      <c r="H24" t="s">
        <v>736</v>
      </c>
      <c r="I24" t="str">
        <f>IF(Daily_Work[[#This Row],[Project_Name]]="","",_xlfn.XLOOKUP(Daily_Work[[#This Row],[Project_Name]],ProjectNames,ProjectList,"",0))</f>
        <v>A001F</v>
      </c>
      <c r="J24" t="s">
        <v>579</v>
      </c>
      <c r="K24">
        <f>IF(Daily_Work[[#This Row],[Emp_Status]]="Absent",0,1)</f>
        <v>1</v>
      </c>
      <c r="L24">
        <v>4</v>
      </c>
      <c r="M24" s="2"/>
      <c r="N24" s="2">
        <f>Daily_Work[[#This Row],[Days_Work]]*8</f>
        <v>32</v>
      </c>
      <c r="O24" s="73">
        <f>IFERROR(Daily_Work[[#This Row],[Days_Work]]*_xlfn.XLOOKUP(Daily_Work[[#This Row],[Emp_ID]],Master_Employee[Emp_ID],Master_Employee[Daily_Rate],"",0),0)</f>
        <v>186.66666666666666</v>
      </c>
      <c r="P24" s="75">
        <f>IFERROR(Daily_Work[[#This Row],[OT_Hrs]]*_xlfn.XLOOKUP(Daily_Work[[#This Row],[Emp_ID]],Master_Employee[Emp_ID],Master_Employee[OT_Hr_Rate],0),0)</f>
        <v>0</v>
      </c>
    </row>
    <row r="25" spans="1:19" ht="19.5" customHeight="1">
      <c r="A25" s="6">
        <v>20</v>
      </c>
      <c r="B25" s="72">
        <v>46082</v>
      </c>
      <c r="C25">
        <v>389</v>
      </c>
      <c r="D25" s="66" t="str">
        <f>_xlfn.XLOOKUP(Daily_Work[[#This Row],[Emp_ID]],Master_Employee[Emp_ID],Master_Employee[Name_AR],"",0)</f>
        <v>محمد نور نبي</v>
      </c>
      <c r="E25" s="59">
        <f>_xlfn.XLOOKUP(Daily_Work[[#This Row],[Emp_ID]],Master_Employee[Emp_ID],Master_Employee[Name_EN],"",0)</f>
        <v>0</v>
      </c>
      <c r="F25" s="37" t="str" cm="1">
        <f t="array" ref="F25">IF(Daily_Work[[#This Row],[Emp_ID]]=0,"",
_xlfn.XLOOKUP(Daily_Work[[#This Row],[Emp_ID]],Master_Employee[Emp_ID],EmpDepts,"",0)
)</f>
        <v>التشطيبات</v>
      </c>
      <c r="G25" s="31" t="s">
        <v>172</v>
      </c>
      <c r="H25" t="s">
        <v>741</v>
      </c>
      <c r="I25" t="str">
        <f>IF(Daily_Work[[#This Row],[Project_Name]]="","",_xlfn.XLOOKUP(Daily_Work[[#This Row],[Project_Name]],ProjectNames,ProjectList,"",0))</f>
        <v>A002F</v>
      </c>
      <c r="J25" t="s">
        <v>579</v>
      </c>
      <c r="K25">
        <f>IF(Daily_Work[[#This Row],[Emp_Status]]="Absent",0,1)</f>
        <v>1</v>
      </c>
      <c r="L25">
        <v>10</v>
      </c>
      <c r="M25" s="2">
        <v>2</v>
      </c>
      <c r="N25" s="2">
        <f>Daily_Work[[#This Row],[Days_Work]]*8</f>
        <v>80</v>
      </c>
      <c r="O25" s="73">
        <f>IFERROR(Daily_Work[[#This Row],[Days_Work]]*_xlfn.XLOOKUP(Daily_Work[[#This Row],[Emp_ID]],Master_Employee[Emp_ID],Master_Employee[Daily_Rate],"",0),0)</f>
        <v>433.33333333333337</v>
      </c>
      <c r="P25" s="75">
        <f>IFERROR(Daily_Work[[#This Row],[OT_Hrs]]*_xlfn.XLOOKUP(Daily_Work[[#This Row],[Emp_ID]],Master_Employee[Emp_ID],Master_Employee[OT_Hr_Rate],0),0)</f>
        <v>8.3333333333333339</v>
      </c>
    </row>
    <row r="26" spans="1:19" ht="19.5" customHeight="1">
      <c r="A26" s="6">
        <v>21</v>
      </c>
      <c r="B26" s="72">
        <v>46082</v>
      </c>
      <c r="C26">
        <v>389</v>
      </c>
      <c r="D26" s="66" t="str">
        <f>_xlfn.XLOOKUP(Daily_Work[[#This Row],[Emp_ID]],Master_Employee[Emp_ID],Master_Employee[Name_AR],"",0)</f>
        <v>محمد نور نبي</v>
      </c>
      <c r="E26" s="59">
        <f>_xlfn.XLOOKUP(Daily_Work[[#This Row],[Emp_ID]],Master_Employee[Emp_ID],Master_Employee[Name_EN],"",0)</f>
        <v>0</v>
      </c>
      <c r="F26" s="37" t="str" cm="1">
        <f t="array" ref="F26">IF(Daily_Work[[#This Row],[Emp_ID]]=0,"",
_xlfn.XLOOKUP(Daily_Work[[#This Row],[Emp_ID]],Master_Employee[Emp_ID],EmpDepts,"",0)
)</f>
        <v>التشطيبات</v>
      </c>
      <c r="G26" s="31" t="s">
        <v>172</v>
      </c>
      <c r="H26" t="s">
        <v>742</v>
      </c>
      <c r="I26" t="str">
        <f>IF(Daily_Work[[#This Row],[Project_Name]]="","",_xlfn.XLOOKUP(Daily_Work[[#This Row],[Project_Name]],ProjectNames,ProjectList,"",0))</f>
        <v>EF0F</v>
      </c>
      <c r="J26" t="s">
        <v>579</v>
      </c>
      <c r="K26">
        <f>IF(Daily_Work[[#This Row],[Emp_Status]]="Absent",0,1)</f>
        <v>1</v>
      </c>
      <c r="L26">
        <v>16</v>
      </c>
      <c r="M26" s="2">
        <v>6</v>
      </c>
      <c r="N26" s="2">
        <f>Daily_Work[[#This Row],[Days_Work]]*8</f>
        <v>128</v>
      </c>
      <c r="O26" s="73">
        <f>IFERROR(Daily_Work[[#This Row],[Days_Work]]*_xlfn.XLOOKUP(Daily_Work[[#This Row],[Emp_ID]],Master_Employee[Emp_ID],Master_Employee[Daily_Rate],"",0),0)</f>
        <v>693.33333333333337</v>
      </c>
      <c r="P26" s="75">
        <f>IFERROR(Daily_Work[[#This Row],[OT_Hrs]]*_xlfn.XLOOKUP(Daily_Work[[#This Row],[Emp_ID]],Master_Employee[Emp_ID],Master_Employee[OT_Hr_Rate],0),0)</f>
        <v>25</v>
      </c>
    </row>
    <row r="27" spans="1:19" ht="19.5" customHeight="1">
      <c r="A27" s="6">
        <v>22</v>
      </c>
      <c r="B27" s="72">
        <v>46082</v>
      </c>
      <c r="C27">
        <v>389</v>
      </c>
      <c r="D27" s="66" t="str">
        <f>_xlfn.XLOOKUP(Daily_Work[[#This Row],[Emp_ID]],Master_Employee[Emp_ID],Master_Employee[Name_AR],"",0)</f>
        <v>محمد نور نبي</v>
      </c>
      <c r="E27" s="59">
        <f>_xlfn.XLOOKUP(Daily_Work[[#This Row],[Emp_ID]],Master_Employee[Emp_ID],Master_Employee[Name_EN],"",0)</f>
        <v>0</v>
      </c>
      <c r="F27" s="37" t="str" cm="1">
        <f t="array" ref="F27">IF(Daily_Work[[#This Row],[Emp_ID]]=0,"",
_xlfn.XLOOKUP(Daily_Work[[#This Row],[Emp_ID]],Master_Employee[Emp_ID],EmpDepts,"",0)
)</f>
        <v>التشطيبات</v>
      </c>
      <c r="G27" s="31" t="s">
        <v>172</v>
      </c>
      <c r="H27" t="s">
        <v>741</v>
      </c>
      <c r="I27" t="str">
        <f>IF(Daily_Work[[#This Row],[Project_Name]]="","",_xlfn.XLOOKUP(Daily_Work[[#This Row],[Project_Name]],ProjectNames,ProjectList,"",0))</f>
        <v>A002F</v>
      </c>
      <c r="J27" t="s">
        <v>799</v>
      </c>
      <c r="K27">
        <f>IF(Daily_Work[[#This Row],[Emp_Status]]="Absent",0,1)</f>
        <v>1</v>
      </c>
      <c r="L27">
        <v>4</v>
      </c>
      <c r="M27" s="2"/>
      <c r="N27" s="2">
        <f>Daily_Work[[#This Row],[Days_Work]]*8</f>
        <v>32</v>
      </c>
      <c r="O27" s="73">
        <f>IFERROR(Daily_Work[[#This Row],[Days_Work]]*_xlfn.XLOOKUP(Daily_Work[[#This Row],[Emp_ID]],Master_Employee[Emp_ID],Master_Employee[Daily_Rate],"",0),0)</f>
        <v>173.33333333333334</v>
      </c>
      <c r="P27" s="75">
        <f>IFERROR(Daily_Work[[#This Row],[OT_Hrs]]*_xlfn.XLOOKUP(Daily_Work[[#This Row],[Emp_ID]],Master_Employee[Emp_ID],Master_Employee[OT_Hr_Rate],0),0)</f>
        <v>0</v>
      </c>
    </row>
    <row r="28" spans="1:19" ht="19.5" customHeight="1">
      <c r="A28" s="6">
        <v>23</v>
      </c>
      <c r="B28" s="72">
        <v>46113</v>
      </c>
      <c r="C28" t="s">
        <v>108</v>
      </c>
      <c r="D28" s="66" t="str">
        <f>_xlfn.XLOOKUP(Daily_Work[[#This Row],[Emp_ID]],Master_Employee[Emp_ID],Master_Employee[Name_AR],"",0)</f>
        <v>محمد نور الأسلام</v>
      </c>
      <c r="E28" s="59">
        <f>_xlfn.XLOOKUP(Daily_Work[[#This Row],[Emp_ID]],Master_Employee[Emp_ID],Master_Employee[Name_EN],"",0)</f>
        <v>0</v>
      </c>
      <c r="F28" s="37" t="str" cm="1">
        <f t="array" ref="F28">IF(Daily_Work[[#This Row],[Emp_ID]]=0,"",
_xlfn.XLOOKUP(Daily_Work[[#This Row],[Emp_ID]],Master_Employee[Emp_ID],EmpDepts,"",0)
)</f>
        <v>التشطيبات</v>
      </c>
      <c r="G28" s="31" t="s">
        <v>172</v>
      </c>
      <c r="H28" t="s">
        <v>738</v>
      </c>
      <c r="I28" t="str">
        <f>IF(Daily_Work[[#This Row],[Project_Name]]="","",_xlfn.XLOOKUP(Daily_Work[[#This Row],[Project_Name]],ProjectNames,ProjectList,"",0))</f>
        <v>S003F</v>
      </c>
      <c r="J28" t="s">
        <v>579</v>
      </c>
      <c r="K28">
        <f>IF(Daily_Work[[#This Row],[Emp_Status]]="Absent",0,1)</f>
        <v>1</v>
      </c>
      <c r="L28">
        <v>10</v>
      </c>
      <c r="M28" s="2"/>
      <c r="N28" s="2">
        <f>Daily_Work[[#This Row],[Days_Work]]*8</f>
        <v>80</v>
      </c>
      <c r="O28" s="73">
        <f>IFERROR(Daily_Work[[#This Row],[Days_Work]]*_xlfn.XLOOKUP(Daily_Work[[#This Row],[Emp_ID]],Master_Employee[Emp_ID],Master_Employee[Daily_Rate],"",0),0)</f>
        <v>733.33333333333326</v>
      </c>
      <c r="P28" s="75">
        <f>IFERROR(Daily_Work[[#This Row],[OT_Hrs]]*_xlfn.XLOOKUP(Daily_Work[[#This Row],[Emp_ID]],Master_Employee[Emp_ID],Master_Employee[OT_Hr_Rate],0),0)</f>
        <v>0</v>
      </c>
    </row>
    <row r="29" spans="1:19" ht="19.5" customHeight="1">
      <c r="A29" s="6">
        <v>24</v>
      </c>
      <c r="B29" s="72">
        <v>46113</v>
      </c>
      <c r="C29" t="s">
        <v>108</v>
      </c>
      <c r="D29" s="66" t="str">
        <f>_xlfn.XLOOKUP(Daily_Work[[#This Row],[Emp_ID]],Master_Employee[Emp_ID],Master_Employee[Name_AR],"",0)</f>
        <v>محمد نور الأسلام</v>
      </c>
      <c r="E29" s="59">
        <f>_xlfn.XLOOKUP(Daily_Work[[#This Row],[Emp_ID]],Master_Employee[Emp_ID],Master_Employee[Name_EN],"",0)</f>
        <v>0</v>
      </c>
      <c r="F29" s="37" t="str" cm="1">
        <f t="array" ref="F29">IF(Daily_Work[[#This Row],[Emp_ID]]=0,"",
_xlfn.XLOOKUP(Daily_Work[[#This Row],[Emp_ID]],Master_Employee[Emp_ID],EmpDepts,"",0)
)</f>
        <v>التشطيبات</v>
      </c>
      <c r="G29" s="31" t="s">
        <v>172</v>
      </c>
      <c r="H29" t="s">
        <v>736</v>
      </c>
      <c r="I29" t="str">
        <f>IF(Daily_Work[[#This Row],[Project_Name]]="","",_xlfn.XLOOKUP(Daily_Work[[#This Row],[Project_Name]],ProjectNames,ProjectList,"",0))</f>
        <v>A001F</v>
      </c>
      <c r="J29" t="s">
        <v>579</v>
      </c>
      <c r="K29">
        <f>IF(Daily_Work[[#This Row],[Emp_Status]]="Absent",0,1)</f>
        <v>1</v>
      </c>
      <c r="L29">
        <v>5</v>
      </c>
      <c r="M29" s="2"/>
      <c r="N29" s="2">
        <f>Daily_Work[[#This Row],[Days_Work]]*8</f>
        <v>40</v>
      </c>
      <c r="O29" s="73">
        <f>IFERROR(Daily_Work[[#This Row],[Days_Work]]*_xlfn.XLOOKUP(Daily_Work[[#This Row],[Emp_ID]],Master_Employee[Emp_ID],Master_Employee[Daily_Rate],"",0),0)</f>
        <v>366.66666666666663</v>
      </c>
      <c r="P29" s="75">
        <f>IFERROR(Daily_Work[[#This Row],[OT_Hrs]]*_xlfn.XLOOKUP(Daily_Work[[#This Row],[Emp_ID]],Master_Employee[Emp_ID],Master_Employee[OT_Hr_Rate],0),0)</f>
        <v>0</v>
      </c>
    </row>
    <row r="30" spans="1:19" ht="19.5" customHeight="1">
      <c r="A30" s="6">
        <v>25</v>
      </c>
      <c r="B30" s="72">
        <v>46113</v>
      </c>
      <c r="C30" t="s">
        <v>108</v>
      </c>
      <c r="D30" s="66" t="str">
        <f>_xlfn.XLOOKUP(Daily_Work[[#This Row],[Emp_ID]],Master_Employee[Emp_ID],Master_Employee[Name_AR],"",0)</f>
        <v>محمد نور الأسلام</v>
      </c>
      <c r="E30" s="59">
        <f>_xlfn.XLOOKUP(Daily_Work[[#This Row],[Emp_ID]],Master_Employee[Emp_ID],Master_Employee[Name_EN],"",0)</f>
        <v>0</v>
      </c>
      <c r="F30" s="37" t="str" cm="1">
        <f t="array" ref="F30">IF(Daily_Work[[#This Row],[Emp_ID]]=0,"",
_xlfn.XLOOKUP(Daily_Work[[#This Row],[Emp_ID]],Master_Employee[Emp_ID],EmpDepts,"",0)
)</f>
        <v>التشطيبات</v>
      </c>
      <c r="G30" s="31" t="s">
        <v>339</v>
      </c>
      <c r="H30" t="s">
        <v>743</v>
      </c>
      <c r="I30" t="str">
        <f>IF(Daily_Work[[#This Row],[Project_Name]]="","",_xlfn.XLOOKUP(Daily_Work[[#This Row],[Project_Name]],ProjectNames,ProjectList,"",0))</f>
        <v>U001F</v>
      </c>
      <c r="J30" t="s">
        <v>579</v>
      </c>
      <c r="K30">
        <f>IF(Daily_Work[[#This Row],[Emp_Status]]="Absent",0,1)</f>
        <v>1</v>
      </c>
      <c r="L30">
        <v>4</v>
      </c>
      <c r="M30" s="2"/>
      <c r="N30" s="2">
        <f>Daily_Work[[#This Row],[Days_Work]]*8</f>
        <v>32</v>
      </c>
      <c r="O30" s="73">
        <f>IFERROR(Daily_Work[[#This Row],[Days_Work]]*_xlfn.XLOOKUP(Daily_Work[[#This Row],[Emp_ID]],Master_Employee[Emp_ID],Master_Employee[Daily_Rate],"",0),0)</f>
        <v>293.33333333333331</v>
      </c>
      <c r="P30" s="75">
        <f>IFERROR(Daily_Work[[#This Row],[OT_Hrs]]*_xlfn.XLOOKUP(Daily_Work[[#This Row],[Emp_ID]],Master_Employee[Emp_ID],Master_Employee[OT_Hr_Rate],0),0)</f>
        <v>0</v>
      </c>
    </row>
    <row r="31" spans="1:19" ht="19.5" customHeight="1">
      <c r="A31" s="6">
        <v>26</v>
      </c>
      <c r="B31" s="72">
        <v>46113</v>
      </c>
      <c r="C31" t="s">
        <v>108</v>
      </c>
      <c r="D31" s="66" t="str">
        <f>_xlfn.XLOOKUP(Daily_Work[[#This Row],[Emp_ID]],Master_Employee[Emp_ID],Master_Employee[Name_AR],"",0)</f>
        <v>محمد نور الأسلام</v>
      </c>
      <c r="E31" s="59">
        <f>_xlfn.XLOOKUP(Daily_Work[[#This Row],[Emp_ID]],Master_Employee[Emp_ID],Master_Employee[Name_EN],"",0)</f>
        <v>0</v>
      </c>
      <c r="F31" s="37" t="str" cm="1">
        <f t="array" ref="F31">IF(Daily_Work[[#This Row],[Emp_ID]]=0,"",
_xlfn.XLOOKUP(Daily_Work[[#This Row],[Emp_ID]],Master_Employee[Emp_ID],EmpDepts,"",0)
)</f>
        <v>التشطيبات</v>
      </c>
      <c r="G31" s="31" t="s">
        <v>339</v>
      </c>
      <c r="H31" t="s">
        <v>749</v>
      </c>
      <c r="I31" t="str">
        <f>IF(Daily_Work[[#This Row],[Project_Name]]="","",_xlfn.XLOOKUP(Daily_Work[[#This Row],[Project_Name]],ProjectNames,ProjectList,"",0))</f>
        <v>A004F</v>
      </c>
      <c r="J31" t="s">
        <v>579</v>
      </c>
      <c r="K31">
        <f>IF(Daily_Work[[#This Row],[Emp_Status]]="Absent",0,1)</f>
        <v>1</v>
      </c>
      <c r="L31">
        <v>11</v>
      </c>
      <c r="M31" s="2"/>
      <c r="N31" s="2">
        <f>Daily_Work[[#This Row],[Days_Work]]*8</f>
        <v>88</v>
      </c>
      <c r="O31" s="73">
        <f>IFERROR(Daily_Work[[#This Row],[Days_Work]]*_xlfn.XLOOKUP(Daily_Work[[#This Row],[Emp_ID]],Master_Employee[Emp_ID],Master_Employee[Daily_Rate],"",0),0)</f>
        <v>806.66666666666663</v>
      </c>
      <c r="P31" s="75">
        <f>IFERROR(Daily_Work[[#This Row],[OT_Hrs]]*_xlfn.XLOOKUP(Daily_Work[[#This Row],[Emp_ID]],Master_Employee[Emp_ID],Master_Employee[OT_Hr_Rate],0),0)</f>
        <v>0</v>
      </c>
    </row>
    <row r="32" spans="1:19" ht="19.5" customHeight="1">
      <c r="A32" s="6">
        <v>27</v>
      </c>
      <c r="B32" s="72">
        <v>46113</v>
      </c>
      <c r="C32" t="s">
        <v>105</v>
      </c>
      <c r="D32" s="66" t="str">
        <f>_xlfn.XLOOKUP(Daily_Work[[#This Row],[Emp_ID]],Master_Employee[Emp_ID],Master_Employee[Name_AR],"",0)</f>
        <v>عبد الباسي عبد الرحمن اشير</v>
      </c>
      <c r="E32" s="59">
        <f>_xlfn.XLOOKUP(Daily_Work[[#This Row],[Emp_ID]],Master_Employee[Emp_ID],Master_Employee[Name_EN],"",0)</f>
        <v>0</v>
      </c>
      <c r="F32" s="37" t="str" cm="1">
        <f t="array" ref="F32">IF(Daily_Work[[#This Row],[Emp_ID]]=0,"",
_xlfn.XLOOKUP(Daily_Work[[#This Row],[Emp_ID]],Master_Employee[Emp_ID],EmpDepts,"",0)
)</f>
        <v>التشطيبات</v>
      </c>
      <c r="G32" s="31" t="s">
        <v>339</v>
      </c>
      <c r="H32" t="s">
        <v>755</v>
      </c>
      <c r="I32" t="str">
        <f>IF(Daily_Work[[#This Row],[Project_Name]]="","",_xlfn.XLOOKUP(Daily_Work[[#This Row],[Project_Name]],ProjectNames,ProjectList,"",0))</f>
        <v>F003F</v>
      </c>
      <c r="J32" t="s">
        <v>579</v>
      </c>
      <c r="K32">
        <f>IF(Daily_Work[[#This Row],[Emp_Status]]="Absent",0,1)</f>
        <v>1</v>
      </c>
      <c r="L32">
        <v>10</v>
      </c>
      <c r="M32" s="2"/>
      <c r="N32" s="2">
        <f>Daily_Work[[#This Row],[Days_Work]]*8</f>
        <v>80</v>
      </c>
      <c r="O32" s="73">
        <f>IFERROR(Daily_Work[[#This Row],[Days_Work]]*_xlfn.XLOOKUP(Daily_Work[[#This Row],[Emp_ID]],Master_Employee[Emp_ID],Master_Employee[Daily_Rate],"",0),0)</f>
        <v>766.66666666666674</v>
      </c>
      <c r="P32" s="75">
        <f>IFERROR(Daily_Work[[#This Row],[OT_Hrs]]*_xlfn.XLOOKUP(Daily_Work[[#This Row],[Emp_ID]],Master_Employee[Emp_ID],Master_Employee[OT_Hr_Rate],0),0)</f>
        <v>0</v>
      </c>
    </row>
    <row r="33" spans="1:16" ht="19.5" customHeight="1">
      <c r="A33" s="6">
        <v>28</v>
      </c>
      <c r="B33" s="72">
        <v>46113</v>
      </c>
      <c r="C33" t="s">
        <v>105</v>
      </c>
      <c r="D33" s="66" t="str">
        <f>_xlfn.XLOOKUP(Daily_Work[[#This Row],[Emp_ID]],Master_Employee[Emp_ID],Master_Employee[Name_AR],"",0)</f>
        <v>عبد الباسي عبد الرحمن اشير</v>
      </c>
      <c r="E33" s="59">
        <f>_xlfn.XLOOKUP(Daily_Work[[#This Row],[Emp_ID]],Master_Employee[Emp_ID],Master_Employee[Name_EN],"",0)</f>
        <v>0</v>
      </c>
      <c r="F33" s="37" t="str" cm="1">
        <f t="array" ref="F33">IF(Daily_Work[[#This Row],[Emp_ID]]=0,"",
_xlfn.XLOOKUP(Daily_Work[[#This Row],[Emp_ID]],Master_Employee[Emp_ID],EmpDepts,"",0)
)</f>
        <v>التشطيبات</v>
      </c>
      <c r="G33" s="31" t="s">
        <v>339</v>
      </c>
      <c r="H33" t="s">
        <v>760</v>
      </c>
      <c r="I33" t="str">
        <f>IF(Daily_Work[[#This Row],[Project_Name]]="","",_xlfn.XLOOKUP(Daily_Work[[#This Row],[Project_Name]],ProjectNames,ProjectList,"",0))</f>
        <v>S001C</v>
      </c>
      <c r="J33" t="s">
        <v>579</v>
      </c>
      <c r="K33">
        <f>IF(Daily_Work[[#This Row],[Emp_Status]]="Absent",0,1)</f>
        <v>1</v>
      </c>
      <c r="L33">
        <v>9</v>
      </c>
      <c r="M33" s="2"/>
      <c r="N33" s="2">
        <f>Daily_Work[[#This Row],[Days_Work]]*8</f>
        <v>72</v>
      </c>
      <c r="O33" s="73">
        <f>IFERROR(Daily_Work[[#This Row],[Days_Work]]*_xlfn.XLOOKUP(Daily_Work[[#This Row],[Emp_ID]],Master_Employee[Emp_ID],Master_Employee[Daily_Rate],"",0),0)</f>
        <v>690</v>
      </c>
      <c r="P33" s="75">
        <f>IFERROR(Daily_Work[[#This Row],[OT_Hrs]]*_xlfn.XLOOKUP(Daily_Work[[#This Row],[Emp_ID]],Master_Employee[Emp_ID],Master_Employee[OT_Hr_Rate],0),0)</f>
        <v>0</v>
      </c>
    </row>
    <row r="34" spans="1:16" ht="19.5" customHeight="1">
      <c r="A34" s="6">
        <v>29</v>
      </c>
      <c r="B34" s="72">
        <v>46113</v>
      </c>
      <c r="C34" t="s">
        <v>105</v>
      </c>
      <c r="D34" s="66" t="str">
        <f>_xlfn.XLOOKUP(Daily_Work[[#This Row],[Emp_ID]],Master_Employee[Emp_ID],Master_Employee[Name_AR],"",0)</f>
        <v>عبد الباسي عبد الرحمن اشير</v>
      </c>
      <c r="E34" s="59">
        <f>_xlfn.XLOOKUP(Daily_Work[[#This Row],[Emp_ID]],Master_Employee[Emp_ID],Master_Employee[Name_EN],"",0)</f>
        <v>0</v>
      </c>
      <c r="F34" s="37" t="str" cm="1">
        <f t="array" ref="F34">IF(Daily_Work[[#This Row],[Emp_ID]]=0,"",
_xlfn.XLOOKUP(Daily_Work[[#This Row],[Emp_ID]],Master_Employee[Emp_ID],EmpDepts,"",0)
)</f>
        <v>التشطيبات</v>
      </c>
      <c r="G34" s="31" t="s">
        <v>339</v>
      </c>
      <c r="H34" t="s">
        <v>743</v>
      </c>
      <c r="I34" t="str">
        <f>IF(Daily_Work[[#This Row],[Project_Name]]="","",_xlfn.XLOOKUP(Daily_Work[[#This Row],[Project_Name]],ProjectNames,ProjectList,"",0))</f>
        <v>U001F</v>
      </c>
      <c r="J34" t="s">
        <v>579</v>
      </c>
      <c r="K34">
        <f>IF(Daily_Work[[#This Row],[Emp_Status]]="Absent",0,1)</f>
        <v>1</v>
      </c>
      <c r="L34">
        <v>7</v>
      </c>
      <c r="M34" s="2"/>
      <c r="N34" s="2">
        <f>Daily_Work[[#This Row],[Days_Work]]*8</f>
        <v>56</v>
      </c>
      <c r="O34" s="73">
        <f>IFERROR(Daily_Work[[#This Row],[Days_Work]]*_xlfn.XLOOKUP(Daily_Work[[#This Row],[Emp_ID]],Master_Employee[Emp_ID],Master_Employee[Daily_Rate],"",0),0)</f>
        <v>536.66666666666674</v>
      </c>
      <c r="P34" s="75">
        <f>IFERROR(Daily_Work[[#This Row],[OT_Hrs]]*_xlfn.XLOOKUP(Daily_Work[[#This Row],[Emp_ID]],Master_Employee[Emp_ID],Master_Employee[OT_Hr_Rate],0),0)</f>
        <v>0</v>
      </c>
    </row>
    <row r="35" spans="1:16" ht="19.5" customHeight="1">
      <c r="A35" s="6">
        <v>30</v>
      </c>
      <c r="B35" s="72">
        <v>46113</v>
      </c>
      <c r="C35" t="s">
        <v>105</v>
      </c>
      <c r="D35" s="66" t="str">
        <f>_xlfn.XLOOKUP(Daily_Work[[#This Row],[Emp_ID]],Master_Employee[Emp_ID],Master_Employee[Name_AR],"",0)</f>
        <v>عبد الباسي عبد الرحمن اشير</v>
      </c>
      <c r="E35" s="59">
        <f>_xlfn.XLOOKUP(Daily_Work[[#This Row],[Emp_ID]],Master_Employee[Emp_ID],Master_Employee[Name_EN],"",0)</f>
        <v>0</v>
      </c>
      <c r="F35" s="37" t="str" cm="1">
        <f t="array" ref="F35">IF(Daily_Work[[#This Row],[Emp_ID]]=0,"",
_xlfn.XLOOKUP(Daily_Work[[#This Row],[Emp_ID]],Master_Employee[Emp_ID],EmpDepts,"",0)
)</f>
        <v>التشطيبات</v>
      </c>
      <c r="G35" s="31" t="s">
        <v>339</v>
      </c>
      <c r="H35" t="s">
        <v>740</v>
      </c>
      <c r="I35" t="str">
        <f>IF(Daily_Work[[#This Row],[Project_Name]]="","",_xlfn.XLOOKUP(Daily_Work[[#This Row],[Project_Name]],ProjectNames,ProjectList,"",0))</f>
        <v>S004F</v>
      </c>
      <c r="J35" t="s">
        <v>799</v>
      </c>
      <c r="K35">
        <f>IF(Daily_Work[[#This Row],[Emp_Status]]="Absent",0,1)</f>
        <v>1</v>
      </c>
      <c r="L35">
        <v>4</v>
      </c>
      <c r="M35" s="2"/>
      <c r="N35" s="2">
        <f>Daily_Work[[#This Row],[Days_Work]]*8</f>
        <v>32</v>
      </c>
      <c r="O35" s="73">
        <f>IFERROR(Daily_Work[[#This Row],[Days_Work]]*_xlfn.XLOOKUP(Daily_Work[[#This Row],[Emp_ID]],Master_Employee[Emp_ID],Master_Employee[Daily_Rate],"",0),0)</f>
        <v>306.66666666666669</v>
      </c>
      <c r="P35" s="75">
        <f>IFERROR(Daily_Work[[#This Row],[OT_Hrs]]*_xlfn.XLOOKUP(Daily_Work[[#This Row],[Emp_ID]],Master_Employee[Emp_ID],Master_Employee[OT_Hr_Rate],0),0)</f>
        <v>0</v>
      </c>
    </row>
    <row r="36" spans="1:16" ht="19.5" customHeight="1">
      <c r="A36" s="6">
        <v>31</v>
      </c>
      <c r="B36" s="72">
        <v>46113</v>
      </c>
      <c r="C36">
        <v>146</v>
      </c>
      <c r="D36" s="66" t="str">
        <f>_xlfn.XLOOKUP(Daily_Work[[#This Row],[Emp_ID]],Master_Employee[Emp_ID],Master_Employee[Name_AR],"",0)</f>
        <v>ﻣﺎﻣﻮﻥ ﺍﺣﻤﺪ ﺷﻮﻧﻮ ﻣﻴﺎﻩ</v>
      </c>
      <c r="E36" s="59">
        <f>_xlfn.XLOOKUP(Daily_Work[[#This Row],[Emp_ID]],Master_Employee[Emp_ID],Master_Employee[Name_EN],"",0)</f>
        <v>0</v>
      </c>
      <c r="F36" s="37" t="str" cm="1">
        <f t="array" ref="F36">IF(Daily_Work[[#This Row],[Emp_ID]]=0,"",
_xlfn.XLOOKUP(Daily_Work[[#This Row],[Emp_ID]],Master_Employee[Emp_ID],EmpDepts,"",0)
)</f>
        <v xml:space="preserve">الإدارة </v>
      </c>
      <c r="G36" s="31" t="s">
        <v>339</v>
      </c>
      <c r="H36" t="s">
        <v>739</v>
      </c>
      <c r="I36" t="str">
        <f>IF(Daily_Work[[#This Row],[Project_Name]]="","",_xlfn.XLOOKUP(Daily_Work[[#This Row],[Project_Name]],ProjectNames,ProjectList,"",0))</f>
        <v>N001F</v>
      </c>
      <c r="J36" t="s">
        <v>579</v>
      </c>
      <c r="K36">
        <f>IF(Daily_Work[[#This Row],[Emp_Status]]="Absent",0,1)</f>
        <v>1</v>
      </c>
      <c r="L36">
        <v>10</v>
      </c>
      <c r="M36" s="2"/>
      <c r="N36" s="2">
        <f>Daily_Work[[#This Row],[Days_Work]]*8</f>
        <v>80</v>
      </c>
      <c r="O36" s="73">
        <f>IFERROR(Daily_Work[[#This Row],[Days_Work]]*_xlfn.XLOOKUP(Daily_Work[[#This Row],[Emp_ID]],Master_Employee[Emp_ID],Master_Employee[Daily_Rate],"",0),0)</f>
        <v>433.33333333333337</v>
      </c>
      <c r="P36" s="75">
        <f>IFERROR(Daily_Work[[#This Row],[OT_Hrs]]*_xlfn.XLOOKUP(Daily_Work[[#This Row],[Emp_ID]],Master_Employee[Emp_ID],Master_Employee[OT_Hr_Rate],0),0)</f>
        <v>0</v>
      </c>
    </row>
    <row r="37" spans="1:16" ht="19.5" customHeight="1">
      <c r="A37" s="6">
        <v>32</v>
      </c>
      <c r="B37" s="72">
        <v>46113</v>
      </c>
      <c r="C37">
        <v>146</v>
      </c>
      <c r="D37" s="66" t="str">
        <f>_xlfn.XLOOKUP(Daily_Work[[#This Row],[Emp_ID]],Master_Employee[Emp_ID],Master_Employee[Name_AR],"",0)</f>
        <v>ﻣﺎﻣﻮﻥ ﺍﺣﻤﺪ ﺷﻮﻧﻮ ﻣﻴﺎﻩ</v>
      </c>
      <c r="E37" s="59">
        <f>_xlfn.XLOOKUP(Daily_Work[[#This Row],[Emp_ID]],Master_Employee[Emp_ID],Master_Employee[Name_EN],"",0)</f>
        <v>0</v>
      </c>
      <c r="F37" s="37" t="str" cm="1">
        <f t="array" ref="F37">IF(Daily_Work[[#This Row],[Emp_ID]]=0,"",
_xlfn.XLOOKUP(Daily_Work[[#This Row],[Emp_ID]],Master_Employee[Emp_ID],EmpDepts,"",0)
)</f>
        <v xml:space="preserve">الإدارة </v>
      </c>
      <c r="G37" s="31" t="s">
        <v>339</v>
      </c>
      <c r="H37" t="s">
        <v>774</v>
      </c>
      <c r="I37" t="str">
        <f>IF(Daily_Work[[#This Row],[Project_Name]]="","",_xlfn.XLOOKUP(Daily_Work[[#This Row],[Project_Name]],ProjectNames,ProjectList,"",0))</f>
        <v>N001C</v>
      </c>
      <c r="J37" t="s">
        <v>579</v>
      </c>
      <c r="K37">
        <f>IF(Daily_Work[[#This Row],[Emp_Status]]="Absent",0,1)</f>
        <v>1</v>
      </c>
      <c r="L37">
        <v>10</v>
      </c>
      <c r="M37" s="2"/>
      <c r="N37" s="2">
        <f>Daily_Work[[#This Row],[Days_Work]]*8</f>
        <v>80</v>
      </c>
      <c r="O37" s="73">
        <f>IFERROR(Daily_Work[[#This Row],[Days_Work]]*_xlfn.XLOOKUP(Daily_Work[[#This Row],[Emp_ID]],Master_Employee[Emp_ID],Master_Employee[Daily_Rate],"",0),0)</f>
        <v>433.33333333333337</v>
      </c>
      <c r="P37" s="75">
        <f>IFERROR(Daily_Work[[#This Row],[OT_Hrs]]*_xlfn.XLOOKUP(Daily_Work[[#This Row],[Emp_ID]],Master_Employee[Emp_ID],Master_Employee[OT_Hr_Rate],0),0)</f>
        <v>0</v>
      </c>
    </row>
    <row r="38" spans="1:16" ht="19.5" customHeight="1">
      <c r="A38" s="6">
        <v>33</v>
      </c>
      <c r="B38" s="72">
        <v>46113</v>
      </c>
      <c r="C38">
        <v>146</v>
      </c>
      <c r="D38" s="66" t="str">
        <f>_xlfn.XLOOKUP(Daily_Work[[#This Row],[Emp_ID]],Master_Employee[Emp_ID],Master_Employee[Name_AR],"",0)</f>
        <v>ﻣﺎﻣﻮﻥ ﺍﺣﻤﺪ ﺷﻮﻧﻮ ﻣﻴﺎﻩ</v>
      </c>
      <c r="E38" s="59">
        <f>_xlfn.XLOOKUP(Daily_Work[[#This Row],[Emp_ID]],Master_Employee[Emp_ID],Master_Employee[Name_EN],"",0)</f>
        <v>0</v>
      </c>
      <c r="F38" s="37" t="str" cm="1">
        <f t="array" ref="F38">IF(Daily_Work[[#This Row],[Emp_ID]]=0,"",
_xlfn.XLOOKUP(Daily_Work[[#This Row],[Emp_ID]],Master_Employee[Emp_ID],EmpDepts,"",0)
)</f>
        <v xml:space="preserve">الإدارة </v>
      </c>
      <c r="G38" s="31" t="s">
        <v>339</v>
      </c>
      <c r="H38" t="s">
        <v>750</v>
      </c>
      <c r="I38" t="str">
        <f>IF(Daily_Work[[#This Row],[Project_Name]]="","",_xlfn.XLOOKUP(Daily_Work[[#This Row],[Project_Name]],ProjectNames,ProjectList,"",0))</f>
        <v>A005F</v>
      </c>
      <c r="J38" t="s">
        <v>579</v>
      </c>
      <c r="K38">
        <f>IF(Daily_Work[[#This Row],[Emp_Status]]="Absent",0,1)</f>
        <v>1</v>
      </c>
      <c r="L38">
        <v>6</v>
      </c>
      <c r="M38" s="2"/>
      <c r="N38" s="2">
        <f>Daily_Work[[#This Row],[Days_Work]]*8</f>
        <v>48</v>
      </c>
      <c r="O38" s="73">
        <f>IFERROR(Daily_Work[[#This Row],[Days_Work]]*_xlfn.XLOOKUP(Daily_Work[[#This Row],[Emp_ID]],Master_Employee[Emp_ID],Master_Employee[Daily_Rate],"",0),0)</f>
        <v>260</v>
      </c>
      <c r="P38" s="75">
        <f>IFERROR(Daily_Work[[#This Row],[OT_Hrs]]*_xlfn.XLOOKUP(Daily_Work[[#This Row],[Emp_ID]],Master_Employee[Emp_ID],Master_Employee[OT_Hr_Rate],0),0)</f>
        <v>0</v>
      </c>
    </row>
    <row r="39" spans="1:16" ht="19.5" customHeight="1">
      <c r="A39" s="6">
        <v>34</v>
      </c>
      <c r="B39" s="72">
        <v>46113</v>
      </c>
      <c r="C39">
        <v>146</v>
      </c>
      <c r="D39" s="66" t="str">
        <f>_xlfn.XLOOKUP(Daily_Work[[#This Row],[Emp_ID]],Master_Employee[Emp_ID],Master_Employee[Name_AR],"",0)</f>
        <v>ﻣﺎﻣﻮﻥ ﺍﺣﻤﺪ ﺷﻮﻧﻮ ﻣﻴﺎﻩ</v>
      </c>
      <c r="E39" s="59">
        <f>_xlfn.XLOOKUP(Daily_Work[[#This Row],[Emp_ID]],Master_Employee[Emp_ID],Master_Employee[Name_EN],"",0)</f>
        <v>0</v>
      </c>
      <c r="F39" s="37" t="str" cm="1">
        <f t="array" ref="F39">IF(Daily_Work[[#This Row],[Emp_ID]]=0,"",
_xlfn.XLOOKUP(Daily_Work[[#This Row],[Emp_ID]],Master_Employee[Emp_ID],EmpDepts,"",0)
)</f>
        <v xml:space="preserve">الإدارة </v>
      </c>
      <c r="G39" s="31" t="s">
        <v>162</v>
      </c>
      <c r="H39" t="s">
        <v>752</v>
      </c>
      <c r="I39" t="str">
        <f>IF(Daily_Work[[#This Row],[Project_Name]]="","",_xlfn.XLOOKUP(Daily_Work[[#This Row],[Project_Name]],ProjectNames,ProjectList,"",0))</f>
        <v>F002F</v>
      </c>
      <c r="J39" t="s">
        <v>799</v>
      </c>
      <c r="K39">
        <f>IF(Daily_Work[[#This Row],[Emp_Status]]="Absent",0,1)</f>
        <v>1</v>
      </c>
      <c r="L39">
        <v>4</v>
      </c>
      <c r="M39" s="2"/>
      <c r="N39" s="2">
        <f>Daily_Work[[#This Row],[Days_Work]]*8</f>
        <v>32</v>
      </c>
      <c r="O39" s="73">
        <f>IFERROR(Daily_Work[[#This Row],[Days_Work]]*_xlfn.XLOOKUP(Daily_Work[[#This Row],[Emp_ID]],Master_Employee[Emp_ID],Master_Employee[Daily_Rate],"",0),0)</f>
        <v>173.33333333333334</v>
      </c>
      <c r="P39" s="75">
        <f>IFERROR(Daily_Work[[#This Row],[OT_Hrs]]*_xlfn.XLOOKUP(Daily_Work[[#This Row],[Emp_ID]],Master_Employee[Emp_ID],Master_Employee[OT_Hr_Rate],0),0)</f>
        <v>0</v>
      </c>
    </row>
    <row r="40" spans="1:16" ht="19.5" customHeight="1">
      <c r="A40" s="6">
        <v>35</v>
      </c>
      <c r="B40" s="72">
        <v>46113</v>
      </c>
      <c r="C40" t="s">
        <v>844</v>
      </c>
      <c r="D40" s="66" t="str">
        <f>_xlfn.XLOOKUP(Daily_Work[[#This Row],[Emp_ID]],Master_Employee[Emp_ID],Master_Employee[Name_AR],"",0)</f>
        <v>صلاح عبدالرحمن الحاج احمد</v>
      </c>
      <c r="E40" s="59">
        <f>_xlfn.XLOOKUP(Daily_Work[[#This Row],[Emp_ID]],Master_Employee[Emp_ID],Master_Employee[Name_EN],"",0)</f>
        <v>0</v>
      </c>
      <c r="F40" s="37" t="str" cm="1">
        <f t="array" ref="F40">IF(Daily_Work[[#This Row],[Emp_ID]]=0,"",
_xlfn.XLOOKUP(Daily_Work[[#This Row],[Emp_ID]],Master_Employee[Emp_ID],EmpDepts,"",0)
)</f>
        <v xml:space="preserve">الإدارة </v>
      </c>
      <c r="G40" s="31" t="s">
        <v>162</v>
      </c>
      <c r="H40" t="s">
        <v>797</v>
      </c>
      <c r="I40" t="str">
        <f>IF(Daily_Work[[#This Row],[Project_Name]]="","",_xlfn.XLOOKUP(Daily_Work[[#This Row],[Project_Name]],ProjectNames,ProjectList,"",0))</f>
        <v>J001C</v>
      </c>
      <c r="J40" t="s">
        <v>579</v>
      </c>
      <c r="K40">
        <f>IF(Daily_Work[[#This Row],[Emp_Status]]="Absent",0,1)</f>
        <v>1</v>
      </c>
      <c r="L40">
        <v>11</v>
      </c>
      <c r="M40" s="2"/>
      <c r="N40" s="2">
        <f>Daily_Work[[#This Row],[Days_Work]]*8</f>
        <v>88</v>
      </c>
      <c r="O40" s="73">
        <f>IFERROR(Daily_Work[[#This Row],[Days_Work]]*_xlfn.XLOOKUP(Daily_Work[[#This Row],[Emp_ID]],Master_Employee[Emp_ID],Master_Employee[Daily_Rate],"",0),0)</f>
        <v>660</v>
      </c>
      <c r="P40" s="75">
        <f>IFERROR(Daily_Work[[#This Row],[OT_Hrs]]*_xlfn.XLOOKUP(Daily_Work[[#This Row],[Emp_ID]],Master_Employee[Emp_ID],Master_Employee[OT_Hr_Rate],0),0)</f>
        <v>0</v>
      </c>
    </row>
    <row r="41" spans="1:16" ht="19.5" customHeight="1">
      <c r="A41" s="6">
        <v>36</v>
      </c>
      <c r="B41" s="72">
        <v>46113</v>
      </c>
      <c r="C41" t="s">
        <v>844</v>
      </c>
      <c r="D41" s="66" t="str">
        <f>_xlfn.XLOOKUP(Daily_Work[[#This Row],[Emp_ID]],Master_Employee[Emp_ID],Master_Employee[Name_AR],"",0)</f>
        <v>صلاح عبدالرحمن الحاج احمد</v>
      </c>
      <c r="E41" s="59">
        <f>_xlfn.XLOOKUP(Daily_Work[[#This Row],[Emp_ID]],Master_Employee[Emp_ID],Master_Employee[Name_EN],"",0)</f>
        <v>0</v>
      </c>
      <c r="F41" s="37" t="str" cm="1">
        <f t="array" ref="F41">IF(Daily_Work[[#This Row],[Emp_ID]]=0,"",
_xlfn.XLOOKUP(Daily_Work[[#This Row],[Emp_ID]],Master_Employee[Emp_ID],EmpDepts,"",0)
)</f>
        <v xml:space="preserve">الإدارة </v>
      </c>
      <c r="G41" s="31" t="s">
        <v>162</v>
      </c>
      <c r="H41" t="s">
        <v>754</v>
      </c>
      <c r="I41" t="str">
        <f>IF(Daily_Work[[#This Row],[Project_Name]]="","",_xlfn.XLOOKUP(Daily_Work[[#This Row],[Project_Name]],ProjectNames,ProjectList,"",0))</f>
        <v>A007F</v>
      </c>
      <c r="J41" t="s">
        <v>579</v>
      </c>
      <c r="K41">
        <f>IF(Daily_Work[[#This Row],[Emp_Status]]="Absent",0,1)</f>
        <v>1</v>
      </c>
      <c r="L41">
        <v>9</v>
      </c>
      <c r="M41" s="2"/>
      <c r="N41" s="2">
        <f>Daily_Work[[#This Row],[Days_Work]]*8</f>
        <v>72</v>
      </c>
      <c r="O41" s="73">
        <f>IFERROR(Daily_Work[[#This Row],[Days_Work]]*_xlfn.XLOOKUP(Daily_Work[[#This Row],[Emp_ID]],Master_Employee[Emp_ID],Master_Employee[Daily_Rate],"",0),0)</f>
        <v>540</v>
      </c>
      <c r="P41" s="75">
        <f>IFERROR(Daily_Work[[#This Row],[OT_Hrs]]*_xlfn.XLOOKUP(Daily_Work[[#This Row],[Emp_ID]],Master_Employee[Emp_ID],Master_Employee[OT_Hr_Rate],0),0)</f>
        <v>0</v>
      </c>
    </row>
    <row r="42" spans="1:16" ht="19.5" customHeight="1">
      <c r="A42" s="6">
        <v>37</v>
      </c>
      <c r="B42" s="72">
        <v>46113</v>
      </c>
      <c r="C42" t="s">
        <v>844</v>
      </c>
      <c r="D42" s="66" t="str">
        <f>_xlfn.XLOOKUP(Daily_Work[[#This Row],[Emp_ID]],Master_Employee[Emp_ID],Master_Employee[Name_AR],"",0)</f>
        <v>صلاح عبدالرحمن الحاج احمد</v>
      </c>
      <c r="E42" s="59">
        <f>_xlfn.XLOOKUP(Daily_Work[[#This Row],[Emp_ID]],Master_Employee[Emp_ID],Master_Employee[Name_EN],"",0)</f>
        <v>0</v>
      </c>
      <c r="F42" s="37" t="str" cm="1">
        <f t="array" ref="F42">IF(Daily_Work[[#This Row],[Emp_ID]]=0,"",
_xlfn.XLOOKUP(Daily_Work[[#This Row],[Emp_ID]],Master_Employee[Emp_ID],EmpDepts,"",0)
)</f>
        <v xml:space="preserve">الإدارة </v>
      </c>
      <c r="G42" s="31" t="s">
        <v>162</v>
      </c>
      <c r="H42" t="s">
        <v>757</v>
      </c>
      <c r="I42" t="str">
        <f>IF(Daily_Work[[#This Row],[Project_Name]]="","",_xlfn.XLOOKUP(Daily_Work[[#This Row],[Project_Name]],ProjectNames,ProjectList,"",0))</f>
        <v>S006F</v>
      </c>
      <c r="J42" t="s">
        <v>579</v>
      </c>
      <c r="K42">
        <f>IF(Daily_Work[[#This Row],[Emp_Status]]="Absent",0,1)</f>
        <v>1</v>
      </c>
      <c r="L42">
        <v>4</v>
      </c>
      <c r="M42" s="2"/>
      <c r="N42" s="2">
        <f>Daily_Work[[#This Row],[Days_Work]]*8</f>
        <v>32</v>
      </c>
      <c r="O42" s="73">
        <f>IFERROR(Daily_Work[[#This Row],[Days_Work]]*_xlfn.XLOOKUP(Daily_Work[[#This Row],[Emp_ID]],Master_Employee[Emp_ID],Master_Employee[Daily_Rate],"",0),0)</f>
        <v>240</v>
      </c>
      <c r="P42" s="75">
        <f>IFERROR(Daily_Work[[#This Row],[OT_Hrs]]*_xlfn.XLOOKUP(Daily_Work[[#This Row],[Emp_ID]],Master_Employee[Emp_ID],Master_Employee[OT_Hr_Rate],0),0)</f>
        <v>0</v>
      </c>
    </row>
    <row r="43" spans="1:16" ht="19.5" customHeight="1">
      <c r="A43" s="6">
        <v>38</v>
      </c>
      <c r="B43" s="72">
        <v>46113</v>
      </c>
      <c r="C43" t="s">
        <v>844</v>
      </c>
      <c r="D43" s="66" t="str">
        <f>_xlfn.XLOOKUP(Daily_Work[[#This Row],[Emp_ID]],Master_Employee[Emp_ID],Master_Employee[Name_AR],"",0)</f>
        <v>صلاح عبدالرحمن الحاج احمد</v>
      </c>
      <c r="E43" s="59">
        <f>_xlfn.XLOOKUP(Daily_Work[[#This Row],[Emp_ID]],Master_Employee[Emp_ID],Master_Employee[Name_EN],"",0)</f>
        <v>0</v>
      </c>
      <c r="F43" s="37" t="str" cm="1">
        <f t="array" ref="F43">IF(Daily_Work[[#This Row],[Emp_ID]]=0,"",
_xlfn.XLOOKUP(Daily_Work[[#This Row],[Emp_ID]],Master_Employee[Emp_ID],EmpDepts,"",0)
)</f>
        <v xml:space="preserve">الإدارة </v>
      </c>
      <c r="G43" s="31" t="s">
        <v>162</v>
      </c>
      <c r="H43" t="s">
        <v>742</v>
      </c>
      <c r="I43" t="str">
        <f>IF(Daily_Work[[#This Row],[Project_Name]]="","",_xlfn.XLOOKUP(Daily_Work[[#This Row],[Project_Name]],ProjectNames,ProjectList,"",0))</f>
        <v>EF0F</v>
      </c>
      <c r="J43" t="s">
        <v>799</v>
      </c>
      <c r="K43">
        <f>IF(Daily_Work[[#This Row],[Emp_Status]]="Absent",0,1)</f>
        <v>1</v>
      </c>
      <c r="L43">
        <v>4</v>
      </c>
      <c r="M43" s="2"/>
      <c r="N43" s="2">
        <f>Daily_Work[[#This Row],[Days_Work]]*8</f>
        <v>32</v>
      </c>
      <c r="O43" s="73">
        <f>IFERROR(Daily_Work[[#This Row],[Days_Work]]*_xlfn.XLOOKUP(Daily_Work[[#This Row],[Emp_ID]],Master_Employee[Emp_ID],Master_Employee[Daily_Rate],"",0),0)</f>
        <v>240</v>
      </c>
      <c r="P43" s="75">
        <f>IFERROR(Daily_Work[[#This Row],[OT_Hrs]]*_xlfn.XLOOKUP(Daily_Work[[#This Row],[Emp_ID]],Master_Employee[Emp_ID],Master_Employee[OT_Hr_Rate],0),0)</f>
        <v>0</v>
      </c>
    </row>
    <row r="44" spans="1:16" ht="19.5" customHeight="1">
      <c r="A44" s="6">
        <v>39</v>
      </c>
      <c r="B44" s="72">
        <v>46113</v>
      </c>
      <c r="C44" t="s">
        <v>844</v>
      </c>
      <c r="D44" s="66" t="str">
        <f>_xlfn.XLOOKUP(Daily_Work[[#This Row],[Emp_ID]],Master_Employee[Emp_ID],Master_Employee[Name_AR],"",0)</f>
        <v>صلاح عبدالرحمن الحاج احمد</v>
      </c>
      <c r="E44" s="59">
        <f>_xlfn.XLOOKUP(Daily_Work[[#This Row],[Emp_ID]],Master_Employee[Emp_ID],Master_Employee[Name_EN],"",0)</f>
        <v>0</v>
      </c>
      <c r="F44" s="37" t="str" cm="1">
        <f t="array" ref="F44">IF(Daily_Work[[#This Row],[Emp_ID]]=0,"",
_xlfn.XLOOKUP(Daily_Work[[#This Row],[Emp_ID]],Master_Employee[Emp_ID],EmpDepts,"",0)
)</f>
        <v xml:space="preserve">الإدارة </v>
      </c>
      <c r="G44" s="31" t="s">
        <v>162</v>
      </c>
      <c r="H44" t="s">
        <v>27</v>
      </c>
      <c r="I44" t="str">
        <f>IF(Daily_Work[[#This Row],[Project_Name]]="","",_xlfn.XLOOKUP(Daily_Work[[#This Row],[Project_Name]],ProjectNames,ProjectList,"",0))</f>
        <v>ST00</v>
      </c>
      <c r="J44" t="s">
        <v>580</v>
      </c>
      <c r="K44">
        <f>IF(Daily_Work[[#This Row],[Emp_Status]]="Absent",0,1)</f>
        <v>0</v>
      </c>
      <c r="M44" s="2"/>
      <c r="N44" s="2">
        <f>Daily_Work[[#This Row],[Days_Work]]*8</f>
        <v>0</v>
      </c>
      <c r="O44" s="73">
        <f>IFERROR(Daily_Work[[#This Row],[Days_Work]]*_xlfn.XLOOKUP(Daily_Work[[#This Row],[Emp_ID]],Master_Employee[Emp_ID],Master_Employee[Daily_Rate],"",0),0)</f>
        <v>0</v>
      </c>
      <c r="P44" s="75">
        <f>IFERROR(Daily_Work[[#This Row],[OT_Hrs]]*_xlfn.XLOOKUP(Daily_Work[[#This Row],[Emp_ID]],Master_Employee[Emp_ID],Master_Employee[OT_Hr_Rate],0),0)</f>
        <v>0</v>
      </c>
    </row>
    <row r="45" spans="1:16" ht="19.5" customHeight="1">
      <c r="A45" s="6">
        <v>40</v>
      </c>
      <c r="B45" s="72">
        <v>46113</v>
      </c>
      <c r="C45" t="s">
        <v>844</v>
      </c>
      <c r="D45" s="66" t="str">
        <f>_xlfn.XLOOKUP(Daily_Work[[#This Row],[Emp_ID]],Master_Employee[Emp_ID],Master_Employee[Name_AR],"",0)</f>
        <v>صلاح عبدالرحمن الحاج احمد</v>
      </c>
      <c r="E45" s="59">
        <f>_xlfn.XLOOKUP(Daily_Work[[#This Row],[Emp_ID]],Master_Employee[Emp_ID],Master_Employee[Name_EN],"",0)</f>
        <v>0</v>
      </c>
      <c r="F45" s="37" t="str" cm="1">
        <f t="array" ref="F45">IF(Daily_Work[[#This Row],[Emp_ID]]=0,"",
_xlfn.XLOOKUP(Daily_Work[[#This Row],[Emp_ID]],Master_Employee[Emp_ID],EmpDepts,"",0)
)</f>
        <v xml:space="preserve">الإدارة </v>
      </c>
      <c r="G45" s="31" t="s">
        <v>162</v>
      </c>
      <c r="H45" t="s">
        <v>735</v>
      </c>
      <c r="I45" t="str">
        <f>IF(Daily_Work[[#This Row],[Project_Name]]="","",_xlfn.XLOOKUP(Daily_Work[[#This Row],[Project_Name]],ProjectNames,ProjectList,"",0))</f>
        <v>J001F</v>
      </c>
      <c r="J45" t="s">
        <v>580</v>
      </c>
      <c r="K45">
        <f>IF(Daily_Work[[#This Row],[Emp_Status]]="Absent",0,1)</f>
        <v>0</v>
      </c>
      <c r="M45" s="2"/>
      <c r="N45" s="2">
        <f>Daily_Work[[#This Row],[Days_Work]]*8</f>
        <v>0</v>
      </c>
      <c r="O45" s="73">
        <f>IFERROR(Daily_Work[[#This Row],[Days_Work]]*_xlfn.XLOOKUP(Daily_Work[[#This Row],[Emp_ID]],Master_Employee[Emp_ID],Master_Employee[Daily_Rate],"",0),0)</f>
        <v>0</v>
      </c>
      <c r="P45" s="75">
        <f>IFERROR(Daily_Work[[#This Row],[OT_Hrs]]*_xlfn.XLOOKUP(Daily_Work[[#This Row],[Emp_ID]],Master_Employee[Emp_ID],Master_Employee[OT_Hr_Rate],0),0)</f>
        <v>0</v>
      </c>
    </row>
    <row r="46" spans="1:16" ht="19.5" customHeight="1">
      <c r="A46" s="6">
        <v>41</v>
      </c>
      <c r="B46" s="72"/>
      <c r="D46" s="66" t="str">
        <f>_xlfn.XLOOKUP(Daily_Work[[#This Row],[Emp_ID]],Master_Employee[Emp_ID],Master_Employee[Name_AR],"",0)</f>
        <v/>
      </c>
      <c r="E46" s="59" t="str">
        <f>_xlfn.XLOOKUP(Daily_Work[[#This Row],[Emp_ID]],Master_Employee[Emp_ID],Master_Employee[Name_EN],"",0)</f>
        <v/>
      </c>
      <c r="F46" s="37" t="str" cm="1">
        <f t="array" ref="F46">IF(Daily_Work[[#This Row],[Emp_ID]]=0,"",
_xlfn.XLOOKUP(Daily_Work[[#This Row],[Emp_ID]],Master_Employee[Emp_ID],EmpDepts,"",0)
)</f>
        <v/>
      </c>
      <c r="G46" s="31"/>
      <c r="I46" t="str">
        <f>IF(Daily_Work[[#This Row],[Project_Name]]="","",_xlfn.XLOOKUP(Daily_Work[[#This Row],[Project_Name]],ProjectNames,ProjectList,"",0))</f>
        <v/>
      </c>
      <c r="K46">
        <f>IF(Daily_Work[[#This Row],[Emp_Status]]="Absent",0,1)</f>
        <v>1</v>
      </c>
      <c r="M46" s="2"/>
      <c r="N46" s="2">
        <f>Daily_Work[[#This Row],[Days_Work]]*8</f>
        <v>0</v>
      </c>
      <c r="O46" s="73">
        <f>IFERROR(Daily_Work[[#This Row],[Days_Work]]*_xlfn.XLOOKUP(Daily_Work[[#This Row],[Emp_ID]],Master_Employee[Emp_ID],Master_Employee[Daily_Rate],"",0),0)</f>
        <v>0</v>
      </c>
      <c r="P46" s="75">
        <f>IFERROR(Daily_Work[[#This Row],[OT_Hrs]]*_xlfn.XLOOKUP(Daily_Work[[#This Row],[Emp_ID]],Master_Employee[Emp_ID],Master_Employee[OT_Hr_Rate],0),0)</f>
        <v>0</v>
      </c>
    </row>
    <row r="47" spans="1:16" ht="19.5" customHeight="1">
      <c r="A47" s="6">
        <v>42</v>
      </c>
      <c r="B47" s="72"/>
      <c r="D47" s="66" t="str">
        <f>_xlfn.XLOOKUP(Daily_Work[[#This Row],[Emp_ID]],Master_Employee[Emp_ID],Master_Employee[Name_AR],"",0)</f>
        <v/>
      </c>
      <c r="E47" s="59" t="str">
        <f>_xlfn.XLOOKUP(Daily_Work[[#This Row],[Emp_ID]],Master_Employee[Emp_ID],Master_Employee[Name_EN],"",0)</f>
        <v/>
      </c>
      <c r="F47" s="37" t="str" cm="1">
        <f t="array" ref="F47">IF(Daily_Work[[#This Row],[Emp_ID]]=0,"",
_xlfn.XLOOKUP(Daily_Work[[#This Row],[Emp_ID]],Master_Employee[Emp_ID],EmpDepts,"",0)
)</f>
        <v/>
      </c>
      <c r="G47" s="31"/>
      <c r="I47" t="str">
        <f>IF(Daily_Work[[#This Row],[Project_Name]]="","",_xlfn.XLOOKUP(Daily_Work[[#This Row],[Project_Name]],ProjectNames,ProjectList,"",0))</f>
        <v/>
      </c>
      <c r="K47">
        <f>IF(Daily_Work[[#This Row],[Emp_Status]]="Absent",0,1)</f>
        <v>1</v>
      </c>
      <c r="M47" s="2"/>
      <c r="N47" s="2">
        <f>Daily_Work[[#This Row],[Days_Work]]*8</f>
        <v>0</v>
      </c>
      <c r="O47" s="73">
        <f>IFERROR(Daily_Work[[#This Row],[Days_Work]]*_xlfn.XLOOKUP(Daily_Work[[#This Row],[Emp_ID]],Master_Employee[Emp_ID],Master_Employee[Daily_Rate],"",0),0)</f>
        <v>0</v>
      </c>
      <c r="P47" s="75">
        <f>IFERROR(Daily_Work[[#This Row],[OT_Hrs]]*_xlfn.XLOOKUP(Daily_Work[[#This Row],[Emp_ID]],Master_Employee[Emp_ID],Master_Employee[OT_Hr_Rate],0),0)</f>
        <v>0</v>
      </c>
    </row>
    <row r="48" spans="1:16" ht="19.5" customHeight="1">
      <c r="A48" s="6">
        <v>43</v>
      </c>
      <c r="B48" s="72"/>
      <c r="D48" s="66" t="str">
        <f>_xlfn.XLOOKUP(Daily_Work[[#This Row],[Emp_ID]],Master_Employee[Emp_ID],Master_Employee[Name_AR],"",0)</f>
        <v/>
      </c>
      <c r="E48" s="59" t="str">
        <f>_xlfn.XLOOKUP(Daily_Work[[#This Row],[Emp_ID]],Master_Employee[Emp_ID],Master_Employee[Name_EN],"",0)</f>
        <v/>
      </c>
      <c r="F48" s="37" t="str" cm="1">
        <f t="array" ref="F48">IF(Daily_Work[[#This Row],[Emp_ID]]=0,"",
_xlfn.XLOOKUP(Daily_Work[[#This Row],[Emp_ID]],Master_Employee[Emp_ID],EmpDepts,"",0)
)</f>
        <v/>
      </c>
      <c r="G48" s="31"/>
      <c r="I48" t="str">
        <f>IF(Daily_Work[[#This Row],[Project_Name]]="","",_xlfn.XLOOKUP(Daily_Work[[#This Row],[Project_Name]],ProjectNames,ProjectList,"",0))</f>
        <v/>
      </c>
      <c r="K48">
        <f>IF(Daily_Work[[#This Row],[Emp_Status]]="Absent",0,1)</f>
        <v>1</v>
      </c>
      <c r="M48" s="2"/>
      <c r="N48" s="2">
        <f>Daily_Work[[#This Row],[Days_Work]]*8</f>
        <v>0</v>
      </c>
      <c r="O48" s="73">
        <f>IFERROR(Daily_Work[[#This Row],[Days_Work]]*_xlfn.XLOOKUP(Daily_Work[[#This Row],[Emp_ID]],Master_Employee[Emp_ID],Master_Employee[Daily_Rate],"",0),0)</f>
        <v>0</v>
      </c>
      <c r="P48" s="75">
        <f>IFERROR(Daily_Work[[#This Row],[OT_Hrs]]*_xlfn.XLOOKUP(Daily_Work[[#This Row],[Emp_ID]],Master_Employee[Emp_ID],Master_Employee[OT_Hr_Rate],0),0)</f>
        <v>0</v>
      </c>
    </row>
    <row r="49" spans="1:16" ht="19.5" customHeight="1">
      <c r="A49" s="6">
        <v>44</v>
      </c>
      <c r="B49" s="72"/>
      <c r="D49" s="66" t="str">
        <f>_xlfn.XLOOKUP(Daily_Work[[#This Row],[Emp_ID]],Master_Employee[Emp_ID],Master_Employee[Name_AR],"",0)</f>
        <v/>
      </c>
      <c r="E49" s="59" t="str">
        <f>_xlfn.XLOOKUP(Daily_Work[[#This Row],[Emp_ID]],Master_Employee[Emp_ID],Master_Employee[Name_EN],"",0)</f>
        <v/>
      </c>
      <c r="F49" s="37" t="str" cm="1">
        <f t="array" ref="F49">IF(Daily_Work[[#This Row],[Emp_ID]]=0,"",
_xlfn.XLOOKUP(Daily_Work[[#This Row],[Emp_ID]],Master_Employee[Emp_ID],EmpDepts,"",0)
)</f>
        <v/>
      </c>
      <c r="G49" s="31"/>
      <c r="I49" t="str">
        <f>IF(Daily_Work[[#This Row],[Project_Name]]="","",_xlfn.XLOOKUP(Daily_Work[[#This Row],[Project_Name]],ProjectNames,ProjectList,"",0))</f>
        <v/>
      </c>
      <c r="K49">
        <f>IF(Daily_Work[[#This Row],[Emp_Status]]="Absent",0,1)</f>
        <v>1</v>
      </c>
      <c r="M49" s="2"/>
      <c r="N49" s="2">
        <f>Daily_Work[[#This Row],[Days_Work]]*8</f>
        <v>0</v>
      </c>
      <c r="O49" s="73">
        <f>IFERROR(Daily_Work[[#This Row],[Days_Work]]*_xlfn.XLOOKUP(Daily_Work[[#This Row],[Emp_ID]],Master_Employee[Emp_ID],Master_Employee[Daily_Rate],"",0),0)</f>
        <v>0</v>
      </c>
      <c r="P49" s="75">
        <f>IFERROR(Daily_Work[[#This Row],[OT_Hrs]]*_xlfn.XLOOKUP(Daily_Work[[#This Row],[Emp_ID]],Master_Employee[Emp_ID],Master_Employee[OT_Hr_Rate],0),0)</f>
        <v>0</v>
      </c>
    </row>
    <row r="50" spans="1:16" ht="19.5" customHeight="1">
      <c r="A50" s="6">
        <v>45</v>
      </c>
      <c r="B50" s="72"/>
      <c r="D50" s="66" t="str">
        <f>_xlfn.XLOOKUP(Daily_Work[[#This Row],[Emp_ID]],Master_Employee[Emp_ID],Master_Employee[Name_AR],"",0)</f>
        <v/>
      </c>
      <c r="E50" s="59" t="str">
        <f>_xlfn.XLOOKUP(Daily_Work[[#This Row],[Emp_ID]],Master_Employee[Emp_ID],Master_Employee[Name_EN],"",0)</f>
        <v/>
      </c>
      <c r="F50" s="37" t="str" cm="1">
        <f t="array" ref="F50">IF(Daily_Work[[#This Row],[Emp_ID]]=0,"",
_xlfn.XLOOKUP(Daily_Work[[#This Row],[Emp_ID]],Master_Employee[Emp_ID],EmpDepts,"",0)
)</f>
        <v/>
      </c>
      <c r="G50" s="31"/>
      <c r="I50" t="str">
        <f>IF(Daily_Work[[#This Row],[Project_Name]]="","",_xlfn.XLOOKUP(Daily_Work[[#This Row],[Project_Name]],ProjectNames,ProjectList,"",0))</f>
        <v/>
      </c>
      <c r="K50">
        <f>IF(Daily_Work[[#This Row],[Emp_Status]]="Absent",0,1)</f>
        <v>1</v>
      </c>
      <c r="M50" s="2"/>
      <c r="N50" s="2">
        <f>Daily_Work[[#This Row],[Days_Work]]*8</f>
        <v>0</v>
      </c>
      <c r="O50" s="73">
        <f>IFERROR(Daily_Work[[#This Row],[Days_Work]]*_xlfn.XLOOKUP(Daily_Work[[#This Row],[Emp_ID]],Master_Employee[Emp_ID],Master_Employee[Daily_Rate],"",0),0)</f>
        <v>0</v>
      </c>
      <c r="P50" s="75">
        <f>IFERROR(Daily_Work[[#This Row],[OT_Hrs]]*_xlfn.XLOOKUP(Daily_Work[[#This Row],[Emp_ID]],Master_Employee[Emp_ID],Master_Employee[OT_Hr_Rate],0),0)</f>
        <v>0</v>
      </c>
    </row>
    <row r="51" spans="1:16" ht="19.5" customHeight="1">
      <c r="A51" s="6">
        <v>46</v>
      </c>
      <c r="B51" s="72"/>
      <c r="D51" s="66" t="str">
        <f>_xlfn.XLOOKUP(Daily_Work[[#This Row],[Emp_ID]],Master_Employee[Emp_ID],Master_Employee[Name_AR],"",0)</f>
        <v/>
      </c>
      <c r="E51" s="59" t="str">
        <f>_xlfn.XLOOKUP(Daily_Work[[#This Row],[Emp_ID]],Master_Employee[Emp_ID],Master_Employee[Name_EN],"",0)</f>
        <v/>
      </c>
      <c r="F51" s="37" t="str" cm="1">
        <f t="array" ref="F51">IF(Daily_Work[[#This Row],[Emp_ID]]=0,"",
_xlfn.XLOOKUP(Daily_Work[[#This Row],[Emp_ID]],Master_Employee[Emp_ID],EmpDepts,"",0)
)</f>
        <v/>
      </c>
      <c r="G51" s="31"/>
      <c r="I51" t="str">
        <f>IF(Daily_Work[[#This Row],[Project_Name]]="","",_xlfn.XLOOKUP(Daily_Work[[#This Row],[Project_Name]],ProjectNames,ProjectList,"",0))</f>
        <v/>
      </c>
      <c r="K51">
        <f>IF(Daily_Work[[#This Row],[Emp_Status]]="Absent",0,1)</f>
        <v>1</v>
      </c>
      <c r="M51" s="2"/>
      <c r="N51" s="2">
        <f>Daily_Work[[#This Row],[Days_Work]]*8</f>
        <v>0</v>
      </c>
      <c r="O51" s="73">
        <f>IFERROR(Daily_Work[[#This Row],[Days_Work]]*_xlfn.XLOOKUP(Daily_Work[[#This Row],[Emp_ID]],Master_Employee[Emp_ID],Master_Employee[Daily_Rate],"",0),0)</f>
        <v>0</v>
      </c>
      <c r="P51" s="75">
        <f>IFERROR(Daily_Work[[#This Row],[OT_Hrs]]*_xlfn.XLOOKUP(Daily_Work[[#This Row],[Emp_ID]],Master_Employee[Emp_ID],Master_Employee[OT_Hr_Rate],0),0)</f>
        <v>0</v>
      </c>
    </row>
    <row r="52" spans="1:16" ht="19.5" customHeight="1">
      <c r="A52" s="6">
        <v>47</v>
      </c>
      <c r="B52" s="72"/>
      <c r="D52" s="66" t="str">
        <f>_xlfn.XLOOKUP(Daily_Work[[#This Row],[Emp_ID]],Master_Employee[Emp_ID],Master_Employee[Name_AR],"",0)</f>
        <v/>
      </c>
      <c r="E52" s="59" t="str">
        <f>_xlfn.XLOOKUP(Daily_Work[[#This Row],[Emp_ID]],Master_Employee[Emp_ID],Master_Employee[Name_EN],"",0)</f>
        <v/>
      </c>
      <c r="F52" s="37" t="str" cm="1">
        <f t="array" ref="F52">IF(Daily_Work[[#This Row],[Emp_ID]]=0,"",
_xlfn.XLOOKUP(Daily_Work[[#This Row],[Emp_ID]],Master_Employee[Emp_ID],EmpDepts,"",0)
)</f>
        <v/>
      </c>
      <c r="G52" s="31"/>
      <c r="I52" t="str">
        <f>IF(Daily_Work[[#This Row],[Project_Name]]="","",_xlfn.XLOOKUP(Daily_Work[[#This Row],[Project_Name]],ProjectNames,ProjectList,"",0))</f>
        <v/>
      </c>
      <c r="K52">
        <f>IF(Daily_Work[[#This Row],[Emp_Status]]="Absent",0,1)</f>
        <v>1</v>
      </c>
      <c r="M52" s="2"/>
      <c r="N52" s="2">
        <f>Daily_Work[[#This Row],[Days_Work]]*8</f>
        <v>0</v>
      </c>
      <c r="O52" s="73">
        <f>IFERROR(Daily_Work[[#This Row],[Days_Work]]*_xlfn.XLOOKUP(Daily_Work[[#This Row],[Emp_ID]],Master_Employee[Emp_ID],Master_Employee[Daily_Rate],"",0),0)</f>
        <v>0</v>
      </c>
      <c r="P52" s="75">
        <f>IFERROR(Daily_Work[[#This Row],[OT_Hrs]]*_xlfn.XLOOKUP(Daily_Work[[#This Row],[Emp_ID]],Master_Employee[Emp_ID],Master_Employee[OT_Hr_Rate],0),0)</f>
        <v>0</v>
      </c>
    </row>
    <row r="53" spans="1:16" ht="19.5" customHeight="1">
      <c r="A53" s="6">
        <v>48</v>
      </c>
      <c r="B53" s="72"/>
      <c r="D53" s="66" t="str">
        <f>_xlfn.XLOOKUP(Daily_Work[[#This Row],[Emp_ID]],Master_Employee[Emp_ID],Master_Employee[Name_AR],"",0)</f>
        <v/>
      </c>
      <c r="E53" s="59" t="str">
        <f>_xlfn.XLOOKUP(Daily_Work[[#This Row],[Emp_ID]],Master_Employee[Emp_ID],Master_Employee[Name_EN],"",0)</f>
        <v/>
      </c>
      <c r="F53" s="37" t="str" cm="1">
        <f t="array" ref="F53">IF(Daily_Work[[#This Row],[Emp_ID]]=0,"",
_xlfn.XLOOKUP(Daily_Work[[#This Row],[Emp_ID]],Master_Employee[Emp_ID],EmpDepts,"",0)
)</f>
        <v/>
      </c>
      <c r="G53" s="31"/>
      <c r="I53" t="str">
        <f>IF(Daily_Work[[#This Row],[Project_Name]]="","",_xlfn.XLOOKUP(Daily_Work[[#This Row],[Project_Name]],ProjectNames,ProjectList,"",0))</f>
        <v/>
      </c>
      <c r="K53">
        <f>IF(Daily_Work[[#This Row],[Emp_Status]]="Absent",0,1)</f>
        <v>1</v>
      </c>
      <c r="M53" s="2"/>
      <c r="N53" s="2">
        <f>Daily_Work[[#This Row],[Days_Work]]*8</f>
        <v>0</v>
      </c>
      <c r="O53" s="73">
        <f>IFERROR(Daily_Work[[#This Row],[Days_Work]]*_xlfn.XLOOKUP(Daily_Work[[#This Row],[Emp_ID]],Master_Employee[Emp_ID],Master_Employee[Daily_Rate],"",0),0)</f>
        <v>0</v>
      </c>
      <c r="P53" s="75">
        <f>IFERROR(Daily_Work[[#This Row],[OT_Hrs]]*_xlfn.XLOOKUP(Daily_Work[[#This Row],[Emp_ID]],Master_Employee[Emp_ID],Master_Employee[OT_Hr_Rate],0),0)</f>
        <v>0</v>
      </c>
    </row>
    <row r="54" spans="1:16" ht="19.5" customHeight="1">
      <c r="A54" s="6">
        <v>49</v>
      </c>
      <c r="B54" s="72"/>
      <c r="D54" s="66" t="str">
        <f>_xlfn.XLOOKUP(Daily_Work[[#This Row],[Emp_ID]],Master_Employee[Emp_ID],Master_Employee[Name_AR],"",0)</f>
        <v/>
      </c>
      <c r="E54" s="59" t="str">
        <f>_xlfn.XLOOKUP(Daily_Work[[#This Row],[Emp_ID]],Master_Employee[Emp_ID],Master_Employee[Name_EN],"",0)</f>
        <v/>
      </c>
      <c r="F54" s="37" t="str" cm="1">
        <f t="array" ref="F54">IF(Daily_Work[[#This Row],[Emp_ID]]=0,"",
_xlfn.XLOOKUP(Daily_Work[[#This Row],[Emp_ID]],Master_Employee[Emp_ID],EmpDepts,"",0)
)</f>
        <v/>
      </c>
      <c r="G54" s="31"/>
      <c r="I54" t="str">
        <f>IF(Daily_Work[[#This Row],[Project_Name]]="","",_xlfn.XLOOKUP(Daily_Work[[#This Row],[Project_Name]],ProjectNames,ProjectList,"",0))</f>
        <v/>
      </c>
      <c r="K54">
        <f>IF(Daily_Work[[#This Row],[Emp_Status]]="Absent",0,1)</f>
        <v>1</v>
      </c>
      <c r="M54" s="2"/>
      <c r="N54" s="2">
        <f>Daily_Work[[#This Row],[Days_Work]]*8</f>
        <v>0</v>
      </c>
      <c r="O54" s="73">
        <f>IFERROR(Daily_Work[[#This Row],[Days_Work]]*_xlfn.XLOOKUP(Daily_Work[[#This Row],[Emp_ID]],Master_Employee[Emp_ID],Master_Employee[Daily_Rate],"",0),0)</f>
        <v>0</v>
      </c>
      <c r="P54" s="75">
        <f>IFERROR(Daily_Work[[#This Row],[OT_Hrs]]*_xlfn.XLOOKUP(Daily_Work[[#This Row],[Emp_ID]],Master_Employee[Emp_ID],Master_Employee[OT_Hr_Rate],0),0)</f>
        <v>0</v>
      </c>
    </row>
    <row r="55" spans="1:16" ht="19.5" customHeight="1">
      <c r="A55" s="6">
        <v>50</v>
      </c>
      <c r="B55" s="72"/>
      <c r="D55" s="66" t="str">
        <f>_xlfn.XLOOKUP(Daily_Work[[#This Row],[Emp_ID]],Master_Employee[Emp_ID],Master_Employee[Name_AR],"",0)</f>
        <v/>
      </c>
      <c r="E55" s="59" t="str">
        <f>_xlfn.XLOOKUP(Daily_Work[[#This Row],[Emp_ID]],Master_Employee[Emp_ID],Master_Employee[Name_EN],"",0)</f>
        <v/>
      </c>
      <c r="F55" s="37" t="str" cm="1">
        <f t="array" ref="F55">IF(Daily_Work[[#This Row],[Emp_ID]]=0,"",
_xlfn.XLOOKUP(Daily_Work[[#This Row],[Emp_ID]],Master_Employee[Emp_ID],EmpDepts,"",0)
)</f>
        <v/>
      </c>
      <c r="G55" s="31"/>
      <c r="I55" t="str">
        <f>IF(Daily_Work[[#This Row],[Project_Name]]="","",_xlfn.XLOOKUP(Daily_Work[[#This Row],[Project_Name]],ProjectNames,ProjectList,"",0))</f>
        <v/>
      </c>
      <c r="K55">
        <f>IF(Daily_Work[[#This Row],[Emp_Status]]="Absent",0,1)</f>
        <v>1</v>
      </c>
      <c r="M55" s="2"/>
      <c r="N55" s="2">
        <f>Daily_Work[[#This Row],[Days_Work]]*8</f>
        <v>0</v>
      </c>
      <c r="O55" s="73">
        <f>IFERROR(Daily_Work[[#This Row],[Days_Work]]*_xlfn.XLOOKUP(Daily_Work[[#This Row],[Emp_ID]],Master_Employee[Emp_ID],Master_Employee[Daily_Rate],"",0),0)</f>
        <v>0</v>
      </c>
      <c r="P55" s="75">
        <f>IFERROR(Daily_Work[[#This Row],[OT_Hrs]]*_xlfn.XLOOKUP(Daily_Work[[#This Row],[Emp_ID]],Master_Employee[Emp_ID],Master_Employee[OT_Hr_Rate],0),0)</f>
        <v>0</v>
      </c>
    </row>
    <row r="56" spans="1:16" ht="19.5" customHeight="1">
      <c r="A56" s="6">
        <v>51</v>
      </c>
      <c r="B56" s="72"/>
      <c r="D56" s="66" t="str">
        <f>_xlfn.XLOOKUP(Daily_Work[[#This Row],[Emp_ID]],Master_Employee[Emp_ID],Master_Employee[Name_AR],"",0)</f>
        <v/>
      </c>
      <c r="E56" s="59" t="str">
        <f>_xlfn.XLOOKUP(Daily_Work[[#This Row],[Emp_ID]],Master_Employee[Emp_ID],Master_Employee[Name_EN],"",0)</f>
        <v/>
      </c>
      <c r="F56" s="37" t="str" cm="1">
        <f t="array" ref="F56">IF(Daily_Work[[#This Row],[Emp_ID]]=0,"",
_xlfn.XLOOKUP(Daily_Work[[#This Row],[Emp_ID]],Master_Employee[Emp_ID],EmpDepts,"",0)
)</f>
        <v/>
      </c>
      <c r="G56" s="31"/>
      <c r="I56" t="str">
        <f>IF(Daily_Work[[#This Row],[Project_Name]]="","",_xlfn.XLOOKUP(Daily_Work[[#This Row],[Project_Name]],ProjectNames,ProjectList,"",0))</f>
        <v/>
      </c>
      <c r="K56">
        <f>IF(Daily_Work[[#This Row],[Emp_Status]]="Absent",0,1)</f>
        <v>1</v>
      </c>
      <c r="M56" s="2"/>
      <c r="N56" s="2">
        <f>Daily_Work[[#This Row],[Days_Work]]*8</f>
        <v>0</v>
      </c>
      <c r="O56" s="73">
        <f>IFERROR(Daily_Work[[#This Row],[Days_Work]]*_xlfn.XLOOKUP(Daily_Work[[#This Row],[Emp_ID]],Master_Employee[Emp_ID],Master_Employee[Daily_Rate],"",0),0)</f>
        <v>0</v>
      </c>
      <c r="P56" s="75">
        <f>IFERROR(Daily_Work[[#This Row],[OT_Hrs]]*_xlfn.XLOOKUP(Daily_Work[[#This Row],[Emp_ID]],Master_Employee[Emp_ID],Master_Employee[OT_Hr_Rate],0),0)</f>
        <v>0</v>
      </c>
    </row>
    <row r="57" spans="1:16" ht="19.5" customHeight="1">
      <c r="A57" s="6">
        <v>52</v>
      </c>
      <c r="B57" s="72"/>
      <c r="D57" s="66" t="str">
        <f>_xlfn.XLOOKUP(Daily_Work[[#This Row],[Emp_ID]],Master_Employee[Emp_ID],Master_Employee[Name_AR],"",0)</f>
        <v/>
      </c>
      <c r="E57" s="59" t="str">
        <f>_xlfn.XLOOKUP(Daily_Work[[#This Row],[Emp_ID]],Master_Employee[Emp_ID],Master_Employee[Name_EN],"",0)</f>
        <v/>
      </c>
      <c r="F57" s="37" t="str" cm="1">
        <f t="array" ref="F57">IF(Daily_Work[[#This Row],[Emp_ID]]=0,"",
_xlfn.XLOOKUP(Daily_Work[[#This Row],[Emp_ID]],Master_Employee[Emp_ID],EmpDepts,"",0)
)</f>
        <v/>
      </c>
      <c r="G57" s="31"/>
      <c r="I57" t="str">
        <f>IF(Daily_Work[[#This Row],[Project_Name]]="","",_xlfn.XLOOKUP(Daily_Work[[#This Row],[Project_Name]],ProjectNames,ProjectList,"",0))</f>
        <v/>
      </c>
      <c r="K57">
        <f>IF(Daily_Work[[#This Row],[Emp_Status]]="Absent",0,1)</f>
        <v>1</v>
      </c>
      <c r="M57" s="2"/>
      <c r="N57" s="2">
        <f>Daily_Work[[#This Row],[Days_Work]]*8</f>
        <v>0</v>
      </c>
      <c r="O57" s="73">
        <f>IFERROR(Daily_Work[[#This Row],[Days_Work]]*_xlfn.XLOOKUP(Daily_Work[[#This Row],[Emp_ID]],Master_Employee[Emp_ID],Master_Employee[Daily_Rate],"",0),0)</f>
        <v>0</v>
      </c>
      <c r="P57" s="75">
        <f>IFERROR(Daily_Work[[#This Row],[OT_Hrs]]*_xlfn.XLOOKUP(Daily_Work[[#This Row],[Emp_ID]],Master_Employee[Emp_ID],Master_Employee[OT_Hr_Rate],0),0)</f>
        <v>0</v>
      </c>
    </row>
    <row r="58" spans="1:16" ht="19.5" customHeight="1">
      <c r="A58" s="6">
        <v>53</v>
      </c>
      <c r="B58" s="72"/>
      <c r="D58" s="66" t="str">
        <f>_xlfn.XLOOKUP(Daily_Work[[#This Row],[Emp_ID]],Master_Employee[Emp_ID],Master_Employee[Name_AR],"",0)</f>
        <v/>
      </c>
      <c r="E58" s="59" t="str">
        <f>_xlfn.XLOOKUP(Daily_Work[[#This Row],[Emp_ID]],Master_Employee[Emp_ID],Master_Employee[Name_EN],"",0)</f>
        <v/>
      </c>
      <c r="F58" s="37" t="str" cm="1">
        <f t="array" ref="F58">IF(Daily_Work[[#This Row],[Emp_ID]]=0,"",
_xlfn.XLOOKUP(Daily_Work[[#This Row],[Emp_ID]],Master_Employee[Emp_ID],EmpDepts,"",0)
)</f>
        <v/>
      </c>
      <c r="G58" s="31"/>
      <c r="I58" t="str">
        <f>IF(Daily_Work[[#This Row],[Project_Name]]="","",_xlfn.XLOOKUP(Daily_Work[[#This Row],[Project_Name]],ProjectNames,ProjectList,"",0))</f>
        <v/>
      </c>
      <c r="K58">
        <f>IF(Daily_Work[[#This Row],[Emp_Status]]="Absent",0,1)</f>
        <v>1</v>
      </c>
      <c r="M58" s="2"/>
      <c r="N58" s="2">
        <f>Daily_Work[[#This Row],[Days_Work]]*8</f>
        <v>0</v>
      </c>
      <c r="O58" s="73">
        <f>IFERROR(Daily_Work[[#This Row],[Days_Work]]*_xlfn.XLOOKUP(Daily_Work[[#This Row],[Emp_ID]],Master_Employee[Emp_ID],Master_Employee[Daily_Rate],"",0),0)</f>
        <v>0</v>
      </c>
      <c r="P58" s="75">
        <f>IFERROR(Daily_Work[[#This Row],[OT_Hrs]]*_xlfn.XLOOKUP(Daily_Work[[#This Row],[Emp_ID]],Master_Employee[Emp_ID],Master_Employee[OT_Hr_Rate],0),0)</f>
        <v>0</v>
      </c>
    </row>
    <row r="59" spans="1:16" ht="19.5" customHeight="1">
      <c r="A59" s="6">
        <v>54</v>
      </c>
      <c r="B59" s="72"/>
      <c r="D59" s="66" t="str">
        <f>_xlfn.XLOOKUP(Daily_Work[[#This Row],[Emp_ID]],Master_Employee[Emp_ID],Master_Employee[Name_AR],"",0)</f>
        <v/>
      </c>
      <c r="E59" s="59" t="str">
        <f>_xlfn.XLOOKUP(Daily_Work[[#This Row],[Emp_ID]],Master_Employee[Emp_ID],Master_Employee[Name_EN],"",0)</f>
        <v/>
      </c>
      <c r="F59" s="37" t="str" cm="1">
        <f t="array" ref="F59">IF(Daily_Work[[#This Row],[Emp_ID]]=0,"",
_xlfn.XLOOKUP(Daily_Work[[#This Row],[Emp_ID]],Master_Employee[Emp_ID],EmpDepts,"",0)
)</f>
        <v/>
      </c>
      <c r="G59" s="31"/>
      <c r="I59" t="str">
        <f>IF(Daily_Work[[#This Row],[Project_Name]]="","",_xlfn.XLOOKUP(Daily_Work[[#This Row],[Project_Name]],ProjectNames,ProjectList,"",0))</f>
        <v/>
      </c>
      <c r="K59">
        <f>IF(Daily_Work[[#This Row],[Emp_Status]]="Absent",0,1)</f>
        <v>1</v>
      </c>
      <c r="M59" s="2"/>
      <c r="N59" s="2">
        <f>Daily_Work[[#This Row],[Days_Work]]*8</f>
        <v>0</v>
      </c>
      <c r="O59" s="73">
        <f>IFERROR(Daily_Work[[#This Row],[Days_Work]]*_xlfn.XLOOKUP(Daily_Work[[#This Row],[Emp_ID]],Master_Employee[Emp_ID],Master_Employee[Daily_Rate],"",0),0)</f>
        <v>0</v>
      </c>
      <c r="P59" s="75">
        <f>IFERROR(Daily_Work[[#This Row],[OT_Hrs]]*_xlfn.XLOOKUP(Daily_Work[[#This Row],[Emp_ID]],Master_Employee[Emp_ID],Master_Employee[OT_Hr_Rate],0),0)</f>
        <v>0</v>
      </c>
    </row>
    <row r="60" spans="1:16" ht="19.5" customHeight="1">
      <c r="A60" s="6">
        <v>55</v>
      </c>
      <c r="B60" s="72"/>
      <c r="D60" s="66" t="str">
        <f>_xlfn.XLOOKUP(Daily_Work[[#This Row],[Emp_ID]],Master_Employee[Emp_ID],Master_Employee[Name_AR],"",0)</f>
        <v/>
      </c>
      <c r="E60" s="59" t="str">
        <f>_xlfn.XLOOKUP(Daily_Work[[#This Row],[Emp_ID]],Master_Employee[Emp_ID],Master_Employee[Name_EN],"",0)</f>
        <v/>
      </c>
      <c r="F60" s="37" t="str" cm="1">
        <f t="array" ref="F60">IF(Daily_Work[[#This Row],[Emp_ID]]=0,"",
_xlfn.XLOOKUP(Daily_Work[[#This Row],[Emp_ID]],Master_Employee[Emp_ID],EmpDepts,"",0)
)</f>
        <v/>
      </c>
      <c r="G60" s="31"/>
      <c r="I60" t="str">
        <f>IF(Daily_Work[[#This Row],[Project_Name]]="","",_xlfn.XLOOKUP(Daily_Work[[#This Row],[Project_Name]],ProjectNames,ProjectList,"",0))</f>
        <v/>
      </c>
      <c r="K60">
        <f>IF(Daily_Work[[#This Row],[Emp_Status]]="Absent",0,1)</f>
        <v>1</v>
      </c>
      <c r="M60" s="2"/>
      <c r="N60" s="2">
        <f>Daily_Work[[#This Row],[Days_Work]]*8</f>
        <v>0</v>
      </c>
      <c r="O60" s="73">
        <f>IFERROR(Daily_Work[[#This Row],[Days_Work]]*_xlfn.XLOOKUP(Daily_Work[[#This Row],[Emp_ID]],Master_Employee[Emp_ID],Master_Employee[Daily_Rate],"",0),0)</f>
        <v>0</v>
      </c>
      <c r="P60" s="75">
        <f>IFERROR(Daily_Work[[#This Row],[OT_Hrs]]*_xlfn.XLOOKUP(Daily_Work[[#This Row],[Emp_ID]],Master_Employee[Emp_ID],Master_Employee[OT_Hr_Rate],0),0)</f>
        <v>0</v>
      </c>
    </row>
    <row r="61" spans="1:16" ht="19.5" customHeight="1">
      <c r="A61" s="6">
        <v>56</v>
      </c>
      <c r="B61" s="72"/>
      <c r="D61" s="66" t="str">
        <f>_xlfn.XLOOKUP(Daily_Work[[#This Row],[Emp_ID]],Master_Employee[Emp_ID],Master_Employee[Name_AR],"",0)</f>
        <v/>
      </c>
      <c r="E61" s="59" t="str">
        <f>_xlfn.XLOOKUP(Daily_Work[[#This Row],[Emp_ID]],Master_Employee[Emp_ID],Master_Employee[Name_EN],"",0)</f>
        <v/>
      </c>
      <c r="F61" s="37" t="str" cm="1">
        <f t="array" ref="F61">IF(Daily_Work[[#This Row],[Emp_ID]]=0,"",
_xlfn.XLOOKUP(Daily_Work[[#This Row],[Emp_ID]],Master_Employee[Emp_ID],EmpDepts,"",0)
)</f>
        <v/>
      </c>
      <c r="G61" s="31"/>
      <c r="I61" t="str">
        <f>IF(Daily_Work[[#This Row],[Project_Name]]="","",_xlfn.XLOOKUP(Daily_Work[[#This Row],[Project_Name]],ProjectNames,ProjectList,"",0))</f>
        <v/>
      </c>
      <c r="K61">
        <f>IF(Daily_Work[[#This Row],[Emp_Status]]="Absent",0,1)</f>
        <v>1</v>
      </c>
      <c r="M61" s="2"/>
      <c r="N61" s="2">
        <f>Daily_Work[[#This Row],[Days_Work]]*8</f>
        <v>0</v>
      </c>
      <c r="O61" s="73">
        <f>IFERROR(Daily_Work[[#This Row],[Days_Work]]*_xlfn.XLOOKUP(Daily_Work[[#This Row],[Emp_ID]],Master_Employee[Emp_ID],Master_Employee[Daily_Rate],"",0),0)</f>
        <v>0</v>
      </c>
      <c r="P61" s="75">
        <f>IFERROR(Daily_Work[[#This Row],[OT_Hrs]]*_xlfn.XLOOKUP(Daily_Work[[#This Row],[Emp_ID]],Master_Employee[Emp_ID],Master_Employee[OT_Hr_Rate],0),0)</f>
        <v>0</v>
      </c>
    </row>
    <row r="62" spans="1:16" ht="19.5" customHeight="1">
      <c r="A62" s="6">
        <v>57</v>
      </c>
      <c r="B62" s="72"/>
      <c r="D62" s="66" t="str">
        <f>_xlfn.XLOOKUP(Daily_Work[[#This Row],[Emp_ID]],Master_Employee[Emp_ID],Master_Employee[Name_AR],"",0)</f>
        <v/>
      </c>
      <c r="E62" s="59" t="str">
        <f>_xlfn.XLOOKUP(Daily_Work[[#This Row],[Emp_ID]],Master_Employee[Emp_ID],Master_Employee[Name_EN],"",0)</f>
        <v/>
      </c>
      <c r="F62" s="37" t="str" cm="1">
        <f t="array" ref="F62">IF(Daily_Work[[#This Row],[Emp_ID]]=0,"",
_xlfn.XLOOKUP(Daily_Work[[#This Row],[Emp_ID]],Master_Employee[Emp_ID],EmpDepts,"",0)
)</f>
        <v/>
      </c>
      <c r="G62" s="31"/>
      <c r="I62" t="str">
        <f>IF(Daily_Work[[#This Row],[Project_Name]]="","",_xlfn.XLOOKUP(Daily_Work[[#This Row],[Project_Name]],ProjectNames,ProjectList,"",0))</f>
        <v/>
      </c>
      <c r="K62">
        <f>IF(Daily_Work[[#This Row],[Emp_Status]]="Absent",0,1)</f>
        <v>1</v>
      </c>
      <c r="M62" s="2"/>
      <c r="N62" s="2">
        <f>Daily_Work[[#This Row],[Days_Work]]*8</f>
        <v>0</v>
      </c>
      <c r="O62" s="73">
        <f>IFERROR(Daily_Work[[#This Row],[Days_Work]]*_xlfn.XLOOKUP(Daily_Work[[#This Row],[Emp_ID]],Master_Employee[Emp_ID],Master_Employee[Daily_Rate],"",0),0)</f>
        <v>0</v>
      </c>
      <c r="P62" s="75">
        <f>IFERROR(Daily_Work[[#This Row],[OT_Hrs]]*_xlfn.XLOOKUP(Daily_Work[[#This Row],[Emp_ID]],Master_Employee[Emp_ID],Master_Employee[OT_Hr_Rate],0),0)</f>
        <v>0</v>
      </c>
    </row>
    <row r="63" spans="1:16" ht="19.5" customHeight="1">
      <c r="A63" s="6">
        <v>58</v>
      </c>
      <c r="B63" s="72"/>
      <c r="D63" s="66" t="str">
        <f>_xlfn.XLOOKUP(Daily_Work[[#This Row],[Emp_ID]],Master_Employee[Emp_ID],Master_Employee[Name_AR],"",0)</f>
        <v/>
      </c>
      <c r="E63" s="59" t="str">
        <f>_xlfn.XLOOKUP(Daily_Work[[#This Row],[Emp_ID]],Master_Employee[Emp_ID],Master_Employee[Name_EN],"",0)</f>
        <v/>
      </c>
      <c r="F63" s="37" t="str" cm="1">
        <f t="array" ref="F63">IF(Daily_Work[[#This Row],[Emp_ID]]=0,"",
_xlfn.XLOOKUP(Daily_Work[[#This Row],[Emp_ID]],Master_Employee[Emp_ID],EmpDepts,"",0)
)</f>
        <v/>
      </c>
      <c r="G63" s="31"/>
      <c r="I63" t="str">
        <f>IF(Daily_Work[[#This Row],[Project_Name]]="","",_xlfn.XLOOKUP(Daily_Work[[#This Row],[Project_Name]],ProjectNames,ProjectList,"",0))</f>
        <v/>
      </c>
      <c r="K63">
        <f>IF(Daily_Work[[#This Row],[Emp_Status]]="Absent",0,1)</f>
        <v>1</v>
      </c>
      <c r="M63" s="2"/>
      <c r="N63" s="2">
        <f>Daily_Work[[#This Row],[Days_Work]]*8</f>
        <v>0</v>
      </c>
      <c r="O63" s="73">
        <f>IFERROR(Daily_Work[[#This Row],[Days_Work]]*_xlfn.XLOOKUP(Daily_Work[[#This Row],[Emp_ID]],Master_Employee[Emp_ID],Master_Employee[Daily_Rate],"",0),0)</f>
        <v>0</v>
      </c>
      <c r="P63" s="75">
        <f>IFERROR(Daily_Work[[#This Row],[OT_Hrs]]*_xlfn.XLOOKUP(Daily_Work[[#This Row],[Emp_ID]],Master_Employee[Emp_ID],Master_Employee[OT_Hr_Rate],0),0)</f>
        <v>0</v>
      </c>
    </row>
    <row r="64" spans="1:16" ht="19.5" customHeight="1">
      <c r="A64" s="6">
        <v>59</v>
      </c>
      <c r="B64" s="72"/>
      <c r="D64" s="66" t="str">
        <f>_xlfn.XLOOKUP(Daily_Work[[#This Row],[Emp_ID]],Master_Employee[Emp_ID],Master_Employee[Name_AR],"",0)</f>
        <v/>
      </c>
      <c r="E64" s="59" t="str">
        <f>_xlfn.XLOOKUP(Daily_Work[[#This Row],[Emp_ID]],Master_Employee[Emp_ID],Master_Employee[Name_EN],"",0)</f>
        <v/>
      </c>
      <c r="F64" s="37" t="str" cm="1">
        <f t="array" ref="F64">IF(Daily_Work[[#This Row],[Emp_ID]]=0,"",
_xlfn.XLOOKUP(Daily_Work[[#This Row],[Emp_ID]],Master_Employee[Emp_ID],EmpDepts,"",0)
)</f>
        <v/>
      </c>
      <c r="G64" s="31"/>
      <c r="I64" t="str">
        <f>IF(Daily_Work[[#This Row],[Project_Name]]="","",_xlfn.XLOOKUP(Daily_Work[[#This Row],[Project_Name]],ProjectNames,ProjectList,"",0))</f>
        <v/>
      </c>
      <c r="K64">
        <f>IF(Daily_Work[[#This Row],[Emp_Status]]="Absent",0,1)</f>
        <v>1</v>
      </c>
      <c r="M64" s="2"/>
      <c r="N64" s="2">
        <f>Daily_Work[[#This Row],[Days_Work]]*8</f>
        <v>0</v>
      </c>
      <c r="O64" s="73">
        <f>IFERROR(Daily_Work[[#This Row],[Days_Work]]*_xlfn.XLOOKUP(Daily_Work[[#This Row],[Emp_ID]],Master_Employee[Emp_ID],Master_Employee[Daily_Rate],"",0),0)</f>
        <v>0</v>
      </c>
      <c r="P64" s="75">
        <f>IFERROR(Daily_Work[[#This Row],[OT_Hrs]]*_xlfn.XLOOKUP(Daily_Work[[#This Row],[Emp_ID]],Master_Employee[Emp_ID],Master_Employee[OT_Hr_Rate],0),0)</f>
        <v>0</v>
      </c>
    </row>
    <row r="65" spans="1:16" ht="19.5" customHeight="1">
      <c r="A65" s="6">
        <v>60</v>
      </c>
      <c r="B65" s="72"/>
      <c r="D65" s="66" t="str">
        <f>_xlfn.XLOOKUP(Daily_Work[[#This Row],[Emp_ID]],Master_Employee[Emp_ID],Master_Employee[Name_AR],"",0)</f>
        <v/>
      </c>
      <c r="E65" s="59" t="str">
        <f>_xlfn.XLOOKUP(Daily_Work[[#This Row],[Emp_ID]],Master_Employee[Emp_ID],Master_Employee[Name_EN],"",0)</f>
        <v/>
      </c>
      <c r="F65" s="37" t="str" cm="1">
        <f t="array" ref="F65">IF(Daily_Work[[#This Row],[Emp_ID]]=0,"",
_xlfn.XLOOKUP(Daily_Work[[#This Row],[Emp_ID]],Master_Employee[Emp_ID],EmpDepts,"",0)
)</f>
        <v/>
      </c>
      <c r="G65" s="31"/>
      <c r="I65" t="str">
        <f>IF(Daily_Work[[#This Row],[Project_Name]]="","",_xlfn.XLOOKUP(Daily_Work[[#This Row],[Project_Name]],ProjectNames,ProjectList,"",0))</f>
        <v/>
      </c>
      <c r="K65">
        <f>IF(Daily_Work[[#This Row],[Emp_Status]]="Absent",0,1)</f>
        <v>1</v>
      </c>
      <c r="M65" s="2"/>
      <c r="N65" s="2">
        <f>Daily_Work[[#This Row],[Days_Work]]*8</f>
        <v>0</v>
      </c>
      <c r="O65" s="73">
        <f>IFERROR(Daily_Work[[#This Row],[Days_Work]]*_xlfn.XLOOKUP(Daily_Work[[#This Row],[Emp_ID]],Master_Employee[Emp_ID],Master_Employee[Daily_Rate],"",0),0)</f>
        <v>0</v>
      </c>
      <c r="P65" s="75">
        <f>IFERROR(Daily_Work[[#This Row],[OT_Hrs]]*_xlfn.XLOOKUP(Daily_Work[[#This Row],[Emp_ID]],Master_Employee[Emp_ID],Master_Employee[OT_Hr_Rate],0),0)</f>
        <v>0</v>
      </c>
    </row>
    <row r="66" spans="1:16" ht="19.5" customHeight="1">
      <c r="A66" s="6">
        <v>61</v>
      </c>
      <c r="B66" s="72"/>
      <c r="D66" s="66" t="str">
        <f>_xlfn.XLOOKUP(Daily_Work[[#This Row],[Emp_ID]],Master_Employee[Emp_ID],Master_Employee[Name_AR],"",0)</f>
        <v/>
      </c>
      <c r="E66" s="59" t="str">
        <f>_xlfn.XLOOKUP(Daily_Work[[#This Row],[Emp_ID]],Master_Employee[Emp_ID],Master_Employee[Name_EN],"",0)</f>
        <v/>
      </c>
      <c r="F66" s="37" t="str" cm="1">
        <f t="array" ref="F66">IF(Daily_Work[[#This Row],[Emp_ID]]=0,"",
_xlfn.XLOOKUP(Daily_Work[[#This Row],[Emp_ID]],Master_Employee[Emp_ID],EmpDepts,"",0)
)</f>
        <v/>
      </c>
      <c r="G66" s="31"/>
      <c r="I66" t="str">
        <f>IF(Daily_Work[[#This Row],[Project_Name]]="","",_xlfn.XLOOKUP(Daily_Work[[#This Row],[Project_Name]],ProjectNames,ProjectList,"",0))</f>
        <v/>
      </c>
      <c r="K66">
        <f>IF(Daily_Work[[#This Row],[Emp_Status]]="Absent",0,1)</f>
        <v>1</v>
      </c>
      <c r="M66" s="2"/>
      <c r="N66" s="2">
        <f>Daily_Work[[#This Row],[Days_Work]]*8</f>
        <v>0</v>
      </c>
      <c r="O66" s="73">
        <f>IFERROR(Daily_Work[[#This Row],[Days_Work]]*_xlfn.XLOOKUP(Daily_Work[[#This Row],[Emp_ID]],Master_Employee[Emp_ID],Master_Employee[Daily_Rate],"",0),0)</f>
        <v>0</v>
      </c>
      <c r="P66" s="75">
        <f>IFERROR(Daily_Work[[#This Row],[OT_Hrs]]*_xlfn.XLOOKUP(Daily_Work[[#This Row],[Emp_ID]],Master_Employee[Emp_ID],Master_Employee[OT_Hr_Rate],0),0)</f>
        <v>0</v>
      </c>
    </row>
    <row r="67" spans="1:16" ht="19.5" customHeight="1">
      <c r="A67" s="6">
        <v>62</v>
      </c>
      <c r="B67" s="72"/>
      <c r="D67" s="66" t="str">
        <f>_xlfn.XLOOKUP(Daily_Work[[#This Row],[Emp_ID]],Master_Employee[Emp_ID],Master_Employee[Name_AR],"",0)</f>
        <v/>
      </c>
      <c r="E67" s="59" t="str">
        <f>_xlfn.XLOOKUP(Daily_Work[[#This Row],[Emp_ID]],Master_Employee[Emp_ID],Master_Employee[Name_EN],"",0)</f>
        <v/>
      </c>
      <c r="F67" s="37" t="str" cm="1">
        <f t="array" ref="F67">IF(Daily_Work[[#This Row],[Emp_ID]]=0,"",
_xlfn.XLOOKUP(Daily_Work[[#This Row],[Emp_ID]],Master_Employee[Emp_ID],EmpDepts,"",0)
)</f>
        <v/>
      </c>
      <c r="G67" s="31"/>
      <c r="I67" t="str">
        <f>IF(Daily_Work[[#This Row],[Project_Name]]="","",_xlfn.XLOOKUP(Daily_Work[[#This Row],[Project_Name]],ProjectNames,ProjectList,"",0))</f>
        <v/>
      </c>
      <c r="K67">
        <f>IF(Daily_Work[[#This Row],[Emp_Status]]="Absent",0,1)</f>
        <v>1</v>
      </c>
      <c r="M67" s="2"/>
      <c r="N67" s="2">
        <f>Daily_Work[[#This Row],[Days_Work]]*8</f>
        <v>0</v>
      </c>
      <c r="O67" s="73">
        <f>IFERROR(Daily_Work[[#This Row],[Days_Work]]*_xlfn.XLOOKUP(Daily_Work[[#This Row],[Emp_ID]],Master_Employee[Emp_ID],Master_Employee[Daily_Rate],"",0),0)</f>
        <v>0</v>
      </c>
      <c r="P67" s="75">
        <f>IFERROR(Daily_Work[[#This Row],[OT_Hrs]]*_xlfn.XLOOKUP(Daily_Work[[#This Row],[Emp_ID]],Master_Employee[Emp_ID],Master_Employee[OT_Hr_Rate],0),0)</f>
        <v>0</v>
      </c>
    </row>
    <row r="68" spans="1:16" ht="19.5" customHeight="1">
      <c r="A68" s="6">
        <v>63</v>
      </c>
      <c r="B68" s="72"/>
      <c r="D68" s="66" t="str">
        <f>_xlfn.XLOOKUP(Daily_Work[[#This Row],[Emp_ID]],Master_Employee[Emp_ID],Master_Employee[Name_AR],"",0)</f>
        <v/>
      </c>
      <c r="E68" s="59" t="str">
        <f>_xlfn.XLOOKUP(Daily_Work[[#This Row],[Emp_ID]],Master_Employee[Emp_ID],Master_Employee[Name_EN],"",0)</f>
        <v/>
      </c>
      <c r="F68" s="37" t="str" cm="1">
        <f t="array" ref="F68">IF(Daily_Work[[#This Row],[Emp_ID]]=0,"",
_xlfn.XLOOKUP(Daily_Work[[#This Row],[Emp_ID]],Master_Employee[Emp_ID],EmpDepts,"",0)
)</f>
        <v/>
      </c>
      <c r="G68" s="31"/>
      <c r="I68" t="str">
        <f>IF(Daily_Work[[#This Row],[Project_Name]]="","",_xlfn.XLOOKUP(Daily_Work[[#This Row],[Project_Name]],ProjectNames,ProjectList,"",0))</f>
        <v/>
      </c>
      <c r="K68">
        <f>IF(Daily_Work[[#This Row],[Emp_Status]]="Absent",0,1)</f>
        <v>1</v>
      </c>
      <c r="M68" s="2"/>
      <c r="N68" s="2">
        <f>Daily_Work[[#This Row],[Days_Work]]*8</f>
        <v>0</v>
      </c>
      <c r="O68" s="73">
        <f>IFERROR(Daily_Work[[#This Row],[Days_Work]]*_xlfn.XLOOKUP(Daily_Work[[#This Row],[Emp_ID]],Master_Employee[Emp_ID],Master_Employee[Daily_Rate],"",0),0)</f>
        <v>0</v>
      </c>
      <c r="P68" s="75">
        <f>IFERROR(Daily_Work[[#This Row],[OT_Hrs]]*_xlfn.XLOOKUP(Daily_Work[[#This Row],[Emp_ID]],Master_Employee[Emp_ID],Master_Employee[OT_Hr_Rate],0),0)</f>
        <v>0</v>
      </c>
    </row>
    <row r="69" spans="1:16" ht="19.5" customHeight="1">
      <c r="A69" s="6">
        <v>64</v>
      </c>
      <c r="B69" s="72"/>
      <c r="D69" s="66" t="str">
        <f>_xlfn.XLOOKUP(Daily_Work[[#This Row],[Emp_ID]],Master_Employee[Emp_ID],Master_Employee[Name_AR],"",0)</f>
        <v/>
      </c>
      <c r="E69" s="59" t="str">
        <f>_xlfn.XLOOKUP(Daily_Work[[#This Row],[Emp_ID]],Master_Employee[Emp_ID],Master_Employee[Name_EN],"",0)</f>
        <v/>
      </c>
      <c r="F69" s="37" t="str" cm="1">
        <f t="array" ref="F69">IF(Daily_Work[[#This Row],[Emp_ID]]=0,"",
_xlfn.XLOOKUP(Daily_Work[[#This Row],[Emp_ID]],Master_Employee[Emp_ID],EmpDepts,"",0)
)</f>
        <v/>
      </c>
      <c r="G69" s="31"/>
      <c r="I69" t="str">
        <f>IF(Daily_Work[[#This Row],[Project_Name]]="","",_xlfn.XLOOKUP(Daily_Work[[#This Row],[Project_Name]],ProjectNames,ProjectList,"",0))</f>
        <v/>
      </c>
      <c r="K69">
        <f>IF(Daily_Work[[#This Row],[Emp_Status]]="Absent",0,1)</f>
        <v>1</v>
      </c>
      <c r="M69" s="2"/>
      <c r="N69" s="2">
        <f>Daily_Work[[#This Row],[Days_Work]]*8</f>
        <v>0</v>
      </c>
      <c r="O69" s="73">
        <f>IFERROR(Daily_Work[[#This Row],[Days_Work]]*_xlfn.XLOOKUP(Daily_Work[[#This Row],[Emp_ID]],Master_Employee[Emp_ID],Master_Employee[Daily_Rate],"",0),0)</f>
        <v>0</v>
      </c>
      <c r="P69" s="75">
        <f>IFERROR(Daily_Work[[#This Row],[OT_Hrs]]*_xlfn.XLOOKUP(Daily_Work[[#This Row],[Emp_ID]],Master_Employee[Emp_ID],Master_Employee[OT_Hr_Rate],0),0)</f>
        <v>0</v>
      </c>
    </row>
    <row r="70" spans="1:16" ht="19.5" customHeight="1">
      <c r="A70" s="6">
        <v>65</v>
      </c>
      <c r="B70" s="72"/>
      <c r="D70" s="66" t="str">
        <f>_xlfn.XLOOKUP(Daily_Work[[#This Row],[Emp_ID]],Master_Employee[Emp_ID],Master_Employee[Name_AR],"",0)</f>
        <v/>
      </c>
      <c r="E70" s="59" t="str">
        <f>_xlfn.XLOOKUP(Daily_Work[[#This Row],[Emp_ID]],Master_Employee[Emp_ID],Master_Employee[Name_EN],"",0)</f>
        <v/>
      </c>
      <c r="F70" s="37" t="str" cm="1">
        <f t="array" ref="F70">IF(Daily_Work[[#This Row],[Emp_ID]]=0,"",
_xlfn.XLOOKUP(Daily_Work[[#This Row],[Emp_ID]],Master_Employee[Emp_ID],EmpDepts,"",0)
)</f>
        <v/>
      </c>
      <c r="G70" s="31"/>
      <c r="I70" t="str">
        <f>IF(Daily_Work[[#This Row],[Project_Name]]="","",_xlfn.XLOOKUP(Daily_Work[[#This Row],[Project_Name]],ProjectNames,ProjectList,"",0))</f>
        <v/>
      </c>
      <c r="K70">
        <f>IF(Daily_Work[[#This Row],[Emp_Status]]="Absent",0,1)</f>
        <v>1</v>
      </c>
      <c r="M70" s="2"/>
      <c r="N70" s="2">
        <f>Daily_Work[[#This Row],[Days_Work]]*8</f>
        <v>0</v>
      </c>
      <c r="O70" s="73">
        <f>IFERROR(Daily_Work[[#This Row],[Days_Work]]*_xlfn.XLOOKUP(Daily_Work[[#This Row],[Emp_ID]],Master_Employee[Emp_ID],Master_Employee[Daily_Rate],"",0),0)</f>
        <v>0</v>
      </c>
      <c r="P70" s="75">
        <f>IFERROR(Daily_Work[[#This Row],[OT_Hrs]]*_xlfn.XLOOKUP(Daily_Work[[#This Row],[Emp_ID]],Master_Employee[Emp_ID],Master_Employee[OT_Hr_Rate],0),0)</f>
        <v>0</v>
      </c>
    </row>
    <row r="71" spans="1:16" ht="19.5" customHeight="1">
      <c r="A71" s="6">
        <v>66</v>
      </c>
      <c r="B71" s="72"/>
      <c r="D71" s="66" t="str">
        <f>_xlfn.XLOOKUP(Daily_Work[[#This Row],[Emp_ID]],Master_Employee[Emp_ID],Master_Employee[Name_AR],"",0)</f>
        <v/>
      </c>
      <c r="E71" s="59" t="str">
        <f>_xlfn.XLOOKUP(Daily_Work[[#This Row],[Emp_ID]],Master_Employee[Emp_ID],Master_Employee[Name_EN],"",0)</f>
        <v/>
      </c>
      <c r="F71" s="37" t="str" cm="1">
        <f t="array" ref="F71">IF(Daily_Work[[#This Row],[Emp_ID]]=0,"",
_xlfn.XLOOKUP(Daily_Work[[#This Row],[Emp_ID]],Master_Employee[Emp_ID],EmpDepts,"",0)
)</f>
        <v/>
      </c>
      <c r="G71" s="31"/>
      <c r="I71" t="str">
        <f>IF(Daily_Work[[#This Row],[Project_Name]]="","",_xlfn.XLOOKUP(Daily_Work[[#This Row],[Project_Name]],ProjectNames,ProjectList,"",0))</f>
        <v/>
      </c>
      <c r="K71">
        <f>IF(Daily_Work[[#This Row],[Emp_Status]]="Absent",0,1)</f>
        <v>1</v>
      </c>
      <c r="M71" s="2"/>
      <c r="N71" s="2">
        <f>Daily_Work[[#This Row],[Days_Work]]*8</f>
        <v>0</v>
      </c>
      <c r="O71" s="73">
        <f>IFERROR(Daily_Work[[#This Row],[Days_Work]]*_xlfn.XLOOKUP(Daily_Work[[#This Row],[Emp_ID]],Master_Employee[Emp_ID],Master_Employee[Daily_Rate],"",0),0)</f>
        <v>0</v>
      </c>
      <c r="P71" s="75">
        <f>IFERROR(Daily_Work[[#This Row],[OT_Hrs]]*_xlfn.XLOOKUP(Daily_Work[[#This Row],[Emp_ID]],Master_Employee[Emp_ID],Master_Employee[OT_Hr_Rate],0),0)</f>
        <v>0</v>
      </c>
    </row>
    <row r="72" spans="1:16" ht="19.5" customHeight="1">
      <c r="A72" s="6">
        <v>67</v>
      </c>
      <c r="B72" s="72"/>
      <c r="D72" s="66" t="str">
        <f>_xlfn.XLOOKUP(Daily_Work[[#This Row],[Emp_ID]],Master_Employee[Emp_ID],Master_Employee[Name_AR],"",0)</f>
        <v/>
      </c>
      <c r="E72" s="59" t="str">
        <f>_xlfn.XLOOKUP(Daily_Work[[#This Row],[Emp_ID]],Master_Employee[Emp_ID],Master_Employee[Name_EN],"",0)</f>
        <v/>
      </c>
      <c r="F72" s="37" t="str" cm="1">
        <f t="array" ref="F72">IF(Daily_Work[[#This Row],[Emp_ID]]=0,"",
_xlfn.XLOOKUP(Daily_Work[[#This Row],[Emp_ID]],Master_Employee[Emp_ID],EmpDepts,"",0)
)</f>
        <v/>
      </c>
      <c r="G72" s="31"/>
      <c r="I72" t="str">
        <f>IF(Daily_Work[[#This Row],[Project_Name]]="","",_xlfn.XLOOKUP(Daily_Work[[#This Row],[Project_Name]],ProjectNames,ProjectList,"",0))</f>
        <v/>
      </c>
      <c r="K72">
        <f>IF(Daily_Work[[#This Row],[Emp_Status]]="Absent",0,1)</f>
        <v>1</v>
      </c>
      <c r="M72" s="2"/>
      <c r="N72" s="2">
        <f>Daily_Work[[#This Row],[Days_Work]]*8</f>
        <v>0</v>
      </c>
      <c r="O72" s="73">
        <f>IFERROR(Daily_Work[[#This Row],[Days_Work]]*_xlfn.XLOOKUP(Daily_Work[[#This Row],[Emp_ID]],Master_Employee[Emp_ID],Master_Employee[Daily_Rate],"",0),0)</f>
        <v>0</v>
      </c>
      <c r="P72" s="75">
        <f>IFERROR(Daily_Work[[#This Row],[OT_Hrs]]*_xlfn.XLOOKUP(Daily_Work[[#This Row],[Emp_ID]],Master_Employee[Emp_ID],Master_Employee[OT_Hr_Rate],0),0)</f>
        <v>0</v>
      </c>
    </row>
    <row r="73" spans="1:16" ht="19.5" customHeight="1">
      <c r="A73" s="6">
        <v>68</v>
      </c>
      <c r="B73" s="72"/>
      <c r="D73" s="66" t="str">
        <f>_xlfn.XLOOKUP(Daily_Work[[#This Row],[Emp_ID]],Master_Employee[Emp_ID],Master_Employee[Name_AR],"",0)</f>
        <v/>
      </c>
      <c r="E73" s="59" t="str">
        <f>_xlfn.XLOOKUP(Daily_Work[[#This Row],[Emp_ID]],Master_Employee[Emp_ID],Master_Employee[Name_EN],"",0)</f>
        <v/>
      </c>
      <c r="F73" s="37" t="str" cm="1">
        <f t="array" ref="F73">IF(Daily_Work[[#This Row],[Emp_ID]]=0,"",
_xlfn.XLOOKUP(Daily_Work[[#This Row],[Emp_ID]],Master_Employee[Emp_ID],EmpDepts,"",0)
)</f>
        <v/>
      </c>
      <c r="G73" s="31"/>
      <c r="I73" t="str">
        <f>IF(Daily_Work[[#This Row],[Project_Name]]="","",_xlfn.XLOOKUP(Daily_Work[[#This Row],[Project_Name]],ProjectNames,ProjectList,"",0))</f>
        <v/>
      </c>
      <c r="K73">
        <f>IF(Daily_Work[[#This Row],[Emp_Status]]="Absent",0,1)</f>
        <v>1</v>
      </c>
      <c r="M73" s="2"/>
      <c r="N73" s="2">
        <f>Daily_Work[[#This Row],[Days_Work]]*8</f>
        <v>0</v>
      </c>
      <c r="O73" s="73">
        <f>IFERROR(Daily_Work[[#This Row],[Days_Work]]*_xlfn.XLOOKUP(Daily_Work[[#This Row],[Emp_ID]],Master_Employee[Emp_ID],Master_Employee[Daily_Rate],"",0),0)</f>
        <v>0</v>
      </c>
      <c r="P73" s="75">
        <f>IFERROR(Daily_Work[[#This Row],[OT_Hrs]]*_xlfn.XLOOKUP(Daily_Work[[#This Row],[Emp_ID]],Master_Employee[Emp_ID],Master_Employee[OT_Hr_Rate],0),0)</f>
        <v>0</v>
      </c>
    </row>
    <row r="74" spans="1:16" ht="19.5" customHeight="1">
      <c r="A74" s="6">
        <v>69</v>
      </c>
      <c r="B74" s="72"/>
      <c r="D74" s="66" t="str">
        <f>_xlfn.XLOOKUP(Daily_Work[[#This Row],[Emp_ID]],Master_Employee[Emp_ID],Master_Employee[Name_AR],"",0)</f>
        <v/>
      </c>
      <c r="E74" s="59" t="str">
        <f>_xlfn.XLOOKUP(Daily_Work[[#This Row],[Emp_ID]],Master_Employee[Emp_ID],Master_Employee[Name_EN],"",0)</f>
        <v/>
      </c>
      <c r="F74" s="37" t="str" cm="1">
        <f t="array" ref="F74">IF(Daily_Work[[#This Row],[Emp_ID]]=0,"",
_xlfn.XLOOKUP(Daily_Work[[#This Row],[Emp_ID]],Master_Employee[Emp_ID],EmpDepts,"",0)
)</f>
        <v/>
      </c>
      <c r="G74" s="31"/>
      <c r="I74" t="str">
        <f>IF(Daily_Work[[#This Row],[Project_Name]]="","",_xlfn.XLOOKUP(Daily_Work[[#This Row],[Project_Name]],ProjectNames,ProjectList,"",0))</f>
        <v/>
      </c>
      <c r="K74">
        <f>IF(Daily_Work[[#This Row],[Emp_Status]]="Absent",0,1)</f>
        <v>1</v>
      </c>
      <c r="M74" s="2"/>
      <c r="N74" s="2">
        <f>Daily_Work[[#This Row],[Days_Work]]*8</f>
        <v>0</v>
      </c>
      <c r="O74" s="73">
        <f>IFERROR(Daily_Work[[#This Row],[Days_Work]]*_xlfn.XLOOKUP(Daily_Work[[#This Row],[Emp_ID]],Master_Employee[Emp_ID],Master_Employee[Daily_Rate],"",0),0)</f>
        <v>0</v>
      </c>
      <c r="P74" s="75">
        <f>IFERROR(Daily_Work[[#This Row],[OT_Hrs]]*_xlfn.XLOOKUP(Daily_Work[[#This Row],[Emp_ID]],Master_Employee[Emp_ID],Master_Employee[OT_Hr_Rate],0),0)</f>
        <v>0</v>
      </c>
    </row>
    <row r="75" spans="1:16" ht="19.5" customHeight="1">
      <c r="A75" s="6">
        <v>70</v>
      </c>
      <c r="B75" s="72"/>
      <c r="D75" s="66" t="str">
        <f>_xlfn.XLOOKUP(Daily_Work[[#This Row],[Emp_ID]],Master_Employee[Emp_ID],Master_Employee[Name_AR],"",0)</f>
        <v/>
      </c>
      <c r="E75" s="59" t="str">
        <f>_xlfn.XLOOKUP(Daily_Work[[#This Row],[Emp_ID]],Master_Employee[Emp_ID],Master_Employee[Name_EN],"",0)</f>
        <v/>
      </c>
      <c r="F75" s="37" t="str" cm="1">
        <f t="array" ref="F75">IF(Daily_Work[[#This Row],[Emp_ID]]=0,"",
_xlfn.XLOOKUP(Daily_Work[[#This Row],[Emp_ID]],Master_Employee[Emp_ID],EmpDepts,"",0)
)</f>
        <v/>
      </c>
      <c r="G75" s="31"/>
      <c r="I75" t="str">
        <f>IF(Daily_Work[[#This Row],[Project_Name]]="","",_xlfn.XLOOKUP(Daily_Work[[#This Row],[Project_Name]],ProjectNames,ProjectList,"",0))</f>
        <v/>
      </c>
      <c r="K75">
        <f>IF(Daily_Work[[#This Row],[Emp_Status]]="Absent",0,1)</f>
        <v>1</v>
      </c>
      <c r="M75" s="2"/>
      <c r="N75" s="2">
        <f>Daily_Work[[#This Row],[Days_Work]]*8</f>
        <v>0</v>
      </c>
      <c r="O75" s="73">
        <f>IFERROR(Daily_Work[[#This Row],[Days_Work]]*_xlfn.XLOOKUP(Daily_Work[[#This Row],[Emp_ID]],Master_Employee[Emp_ID],Master_Employee[Daily_Rate],"",0),0)</f>
        <v>0</v>
      </c>
      <c r="P75" s="75">
        <f>IFERROR(Daily_Work[[#This Row],[OT_Hrs]]*_xlfn.XLOOKUP(Daily_Work[[#This Row],[Emp_ID]],Master_Employee[Emp_ID],Master_Employee[OT_Hr_Rate],0),0)</f>
        <v>0</v>
      </c>
    </row>
    <row r="76" spans="1:16" ht="19.5" customHeight="1">
      <c r="A76" s="6">
        <v>71</v>
      </c>
      <c r="B76" s="72"/>
      <c r="D76" s="66" t="str">
        <f>_xlfn.XLOOKUP(Daily_Work[[#This Row],[Emp_ID]],Master_Employee[Emp_ID],Master_Employee[Name_AR],"",0)</f>
        <v/>
      </c>
      <c r="E76" s="59" t="str">
        <f>_xlfn.XLOOKUP(Daily_Work[[#This Row],[Emp_ID]],Master_Employee[Emp_ID],Master_Employee[Name_EN],"",0)</f>
        <v/>
      </c>
      <c r="F76" s="37" t="str" cm="1">
        <f t="array" ref="F76">IF(Daily_Work[[#This Row],[Emp_ID]]=0,"",
_xlfn.XLOOKUP(Daily_Work[[#This Row],[Emp_ID]],Master_Employee[Emp_ID],EmpDepts,"",0)
)</f>
        <v/>
      </c>
      <c r="G76" s="31"/>
      <c r="I76" t="str">
        <f>IF(Daily_Work[[#This Row],[Project_Name]]="","",_xlfn.XLOOKUP(Daily_Work[[#This Row],[Project_Name]],ProjectNames,ProjectList,"",0))</f>
        <v/>
      </c>
      <c r="K76">
        <f>IF(Daily_Work[[#This Row],[Emp_Status]]="Absent",0,1)</f>
        <v>1</v>
      </c>
      <c r="M76" s="2"/>
      <c r="N76" s="2">
        <f>Daily_Work[[#This Row],[Days_Work]]*8</f>
        <v>0</v>
      </c>
      <c r="O76" s="73">
        <f>IFERROR(Daily_Work[[#This Row],[Days_Work]]*_xlfn.XLOOKUP(Daily_Work[[#This Row],[Emp_ID]],Master_Employee[Emp_ID],Master_Employee[Daily_Rate],"",0),0)</f>
        <v>0</v>
      </c>
      <c r="P76" s="75">
        <f>IFERROR(Daily_Work[[#This Row],[OT_Hrs]]*_xlfn.XLOOKUP(Daily_Work[[#This Row],[Emp_ID]],Master_Employee[Emp_ID],Master_Employee[OT_Hr_Rate],0),0)</f>
        <v>0</v>
      </c>
    </row>
    <row r="77" spans="1:16" ht="19.5" customHeight="1">
      <c r="A77" s="6">
        <v>72</v>
      </c>
      <c r="B77" s="72"/>
      <c r="D77" s="66" t="str">
        <f>_xlfn.XLOOKUP(Daily_Work[[#This Row],[Emp_ID]],Master_Employee[Emp_ID],Master_Employee[Name_AR],"",0)</f>
        <v/>
      </c>
      <c r="E77" s="59" t="str">
        <f>_xlfn.XLOOKUP(Daily_Work[[#This Row],[Emp_ID]],Master_Employee[Emp_ID],Master_Employee[Name_EN],"",0)</f>
        <v/>
      </c>
      <c r="F77" s="37" t="str" cm="1">
        <f t="array" ref="F77">IF(Daily_Work[[#This Row],[Emp_ID]]=0,"",
_xlfn.XLOOKUP(Daily_Work[[#This Row],[Emp_ID]],Master_Employee[Emp_ID],EmpDepts,"",0)
)</f>
        <v/>
      </c>
      <c r="G77" s="31"/>
      <c r="I77" t="str">
        <f>IF(Daily_Work[[#This Row],[Project_Name]]="","",_xlfn.XLOOKUP(Daily_Work[[#This Row],[Project_Name]],ProjectNames,ProjectList,"",0))</f>
        <v/>
      </c>
      <c r="K77">
        <f>IF(Daily_Work[[#This Row],[Emp_Status]]="Absent",0,1)</f>
        <v>1</v>
      </c>
      <c r="M77" s="2"/>
      <c r="N77" s="2">
        <f>Daily_Work[[#This Row],[Days_Work]]*8</f>
        <v>0</v>
      </c>
      <c r="O77" s="73">
        <f>IFERROR(Daily_Work[[#This Row],[Days_Work]]*_xlfn.XLOOKUP(Daily_Work[[#This Row],[Emp_ID]],Master_Employee[Emp_ID],Master_Employee[Daily_Rate],"",0),0)</f>
        <v>0</v>
      </c>
      <c r="P77" s="75">
        <f>IFERROR(Daily_Work[[#This Row],[OT_Hrs]]*_xlfn.XLOOKUP(Daily_Work[[#This Row],[Emp_ID]],Master_Employee[Emp_ID],Master_Employee[OT_Hr_Rate],0),0)</f>
        <v>0</v>
      </c>
    </row>
    <row r="78" spans="1:16" ht="19.5" customHeight="1">
      <c r="A78" s="6">
        <v>73</v>
      </c>
      <c r="B78" s="72"/>
      <c r="D78" s="66" t="str">
        <f>_xlfn.XLOOKUP(Daily_Work[[#This Row],[Emp_ID]],Master_Employee[Emp_ID],Master_Employee[Name_AR],"",0)</f>
        <v/>
      </c>
      <c r="E78" s="59" t="str">
        <f>_xlfn.XLOOKUP(Daily_Work[[#This Row],[Emp_ID]],Master_Employee[Emp_ID],Master_Employee[Name_EN],"",0)</f>
        <v/>
      </c>
      <c r="F78" s="37" t="str" cm="1">
        <f t="array" ref="F78">IF(Daily_Work[[#This Row],[Emp_ID]]=0,"",
_xlfn.XLOOKUP(Daily_Work[[#This Row],[Emp_ID]],Master_Employee[Emp_ID],EmpDepts,"",0)
)</f>
        <v/>
      </c>
      <c r="G78" s="31"/>
      <c r="I78" t="str">
        <f>IF(Daily_Work[[#This Row],[Project_Name]]="","",_xlfn.XLOOKUP(Daily_Work[[#This Row],[Project_Name]],ProjectNames,ProjectList,"",0))</f>
        <v/>
      </c>
      <c r="K78">
        <f>IF(Daily_Work[[#This Row],[Emp_Status]]="Absent",0,1)</f>
        <v>1</v>
      </c>
      <c r="M78" s="2"/>
      <c r="N78" s="2">
        <f>Daily_Work[[#This Row],[Days_Work]]*8</f>
        <v>0</v>
      </c>
      <c r="O78" s="73">
        <f>IFERROR(Daily_Work[[#This Row],[Days_Work]]*_xlfn.XLOOKUP(Daily_Work[[#This Row],[Emp_ID]],Master_Employee[Emp_ID],Master_Employee[Daily_Rate],"",0),0)</f>
        <v>0</v>
      </c>
      <c r="P78" s="75">
        <f>IFERROR(Daily_Work[[#This Row],[OT_Hrs]]*_xlfn.XLOOKUP(Daily_Work[[#This Row],[Emp_ID]],Master_Employee[Emp_ID],Master_Employee[OT_Hr_Rate],0),0)</f>
        <v>0</v>
      </c>
    </row>
    <row r="79" spans="1:16" ht="19.5" customHeight="1">
      <c r="A79" s="6">
        <v>74</v>
      </c>
      <c r="B79" s="72"/>
      <c r="D79" s="66" t="str">
        <f>_xlfn.XLOOKUP(Daily_Work[[#This Row],[Emp_ID]],Master_Employee[Emp_ID],Master_Employee[Name_AR],"",0)</f>
        <v/>
      </c>
      <c r="E79" s="59" t="str">
        <f>_xlfn.XLOOKUP(Daily_Work[[#This Row],[Emp_ID]],Master_Employee[Emp_ID],Master_Employee[Name_EN],"",0)</f>
        <v/>
      </c>
      <c r="F79" s="37" t="str" cm="1">
        <f t="array" ref="F79">IF(Daily_Work[[#This Row],[Emp_ID]]=0,"",
_xlfn.XLOOKUP(Daily_Work[[#This Row],[Emp_ID]],Master_Employee[Emp_ID],EmpDepts,"",0)
)</f>
        <v/>
      </c>
      <c r="G79" s="31"/>
      <c r="I79" t="str">
        <f>IF(Daily_Work[[#This Row],[Project_Name]]="","",_xlfn.XLOOKUP(Daily_Work[[#This Row],[Project_Name]],ProjectNames,ProjectList,"",0))</f>
        <v/>
      </c>
      <c r="K79">
        <f>IF(Daily_Work[[#This Row],[Emp_Status]]="Absent",0,1)</f>
        <v>1</v>
      </c>
      <c r="M79" s="2"/>
      <c r="N79" s="2">
        <f>Daily_Work[[#This Row],[Days_Work]]*8</f>
        <v>0</v>
      </c>
      <c r="O79" s="73">
        <f>IFERROR(Daily_Work[[#This Row],[Days_Work]]*_xlfn.XLOOKUP(Daily_Work[[#This Row],[Emp_ID]],Master_Employee[Emp_ID],Master_Employee[Daily_Rate],"",0),0)</f>
        <v>0</v>
      </c>
      <c r="P79" s="75">
        <f>IFERROR(Daily_Work[[#This Row],[OT_Hrs]]*_xlfn.XLOOKUP(Daily_Work[[#This Row],[Emp_ID]],Master_Employee[Emp_ID],Master_Employee[OT_Hr_Rate],0),0)</f>
        <v>0</v>
      </c>
    </row>
    <row r="80" spans="1:16" ht="19.5" customHeight="1">
      <c r="A80" s="6">
        <v>75</v>
      </c>
      <c r="B80" s="72"/>
      <c r="D80" s="66" t="str">
        <f>_xlfn.XLOOKUP(Daily_Work[[#This Row],[Emp_ID]],Master_Employee[Emp_ID],Master_Employee[Name_AR],"",0)</f>
        <v/>
      </c>
      <c r="E80" s="59" t="str">
        <f>_xlfn.XLOOKUP(Daily_Work[[#This Row],[Emp_ID]],Master_Employee[Emp_ID],Master_Employee[Name_EN],"",0)</f>
        <v/>
      </c>
      <c r="F80" s="37" t="str" cm="1">
        <f t="array" ref="F80">IF(Daily_Work[[#This Row],[Emp_ID]]=0,"",
_xlfn.XLOOKUP(Daily_Work[[#This Row],[Emp_ID]],Master_Employee[Emp_ID],EmpDepts,"",0)
)</f>
        <v/>
      </c>
      <c r="G80" s="31"/>
      <c r="I80" t="str">
        <f>IF(Daily_Work[[#This Row],[Project_Name]]="","",_xlfn.XLOOKUP(Daily_Work[[#This Row],[Project_Name]],ProjectNames,ProjectList,"",0))</f>
        <v/>
      </c>
      <c r="K80">
        <f>IF(Daily_Work[[#This Row],[Emp_Status]]="Absent",0,1)</f>
        <v>1</v>
      </c>
      <c r="M80" s="2"/>
      <c r="N80" s="2">
        <f>Daily_Work[[#This Row],[Days_Work]]*8</f>
        <v>0</v>
      </c>
      <c r="O80" s="73">
        <f>IFERROR(Daily_Work[[#This Row],[Days_Work]]*_xlfn.XLOOKUP(Daily_Work[[#This Row],[Emp_ID]],Master_Employee[Emp_ID],Master_Employee[Daily_Rate],"",0),0)</f>
        <v>0</v>
      </c>
      <c r="P80" s="75">
        <f>IFERROR(Daily_Work[[#This Row],[OT_Hrs]]*_xlfn.XLOOKUP(Daily_Work[[#This Row],[Emp_ID]],Master_Employee[Emp_ID],Master_Employee[OT_Hr_Rate],0),0)</f>
        <v>0</v>
      </c>
    </row>
    <row r="81" spans="1:16" ht="19.5" customHeight="1">
      <c r="A81" s="6">
        <v>76</v>
      </c>
      <c r="B81" s="72"/>
      <c r="D81" s="66" t="str">
        <f>_xlfn.XLOOKUP(Daily_Work[[#This Row],[Emp_ID]],Master_Employee[Emp_ID],Master_Employee[Name_AR],"",0)</f>
        <v/>
      </c>
      <c r="E81" s="59" t="str">
        <f>_xlfn.XLOOKUP(Daily_Work[[#This Row],[Emp_ID]],Master_Employee[Emp_ID],Master_Employee[Name_EN],"",0)</f>
        <v/>
      </c>
      <c r="F81" s="37" t="str" cm="1">
        <f t="array" ref="F81">IF(Daily_Work[[#This Row],[Emp_ID]]=0,"",
_xlfn.XLOOKUP(Daily_Work[[#This Row],[Emp_ID]],Master_Employee[Emp_ID],EmpDepts,"",0)
)</f>
        <v/>
      </c>
      <c r="G81" s="31"/>
      <c r="I81" t="str">
        <f>IF(Daily_Work[[#This Row],[Project_Name]]="","",_xlfn.XLOOKUP(Daily_Work[[#This Row],[Project_Name]],ProjectNames,ProjectList,"",0))</f>
        <v/>
      </c>
      <c r="K81">
        <f>IF(Daily_Work[[#This Row],[Emp_Status]]="Absent",0,1)</f>
        <v>1</v>
      </c>
      <c r="M81" s="2"/>
      <c r="N81" s="2">
        <f>Daily_Work[[#This Row],[Days_Work]]*8</f>
        <v>0</v>
      </c>
      <c r="O81" s="73">
        <f>IFERROR(Daily_Work[[#This Row],[Days_Work]]*_xlfn.XLOOKUP(Daily_Work[[#This Row],[Emp_ID]],Master_Employee[Emp_ID],Master_Employee[Daily_Rate],"",0),0)</f>
        <v>0</v>
      </c>
      <c r="P81" s="75">
        <f>IFERROR(Daily_Work[[#This Row],[OT_Hrs]]*_xlfn.XLOOKUP(Daily_Work[[#This Row],[Emp_ID]],Master_Employee[Emp_ID],Master_Employee[OT_Hr_Rate],0),0)</f>
        <v>0</v>
      </c>
    </row>
    <row r="82" spans="1:16" ht="19.5" customHeight="1">
      <c r="A82" s="6">
        <v>77</v>
      </c>
      <c r="B82" s="72"/>
      <c r="D82" s="66" t="str">
        <f>_xlfn.XLOOKUP(Daily_Work[[#This Row],[Emp_ID]],Master_Employee[Emp_ID],Master_Employee[Name_AR],"",0)</f>
        <v/>
      </c>
      <c r="E82" s="59" t="str">
        <f>_xlfn.XLOOKUP(Daily_Work[[#This Row],[Emp_ID]],Master_Employee[Emp_ID],Master_Employee[Name_EN],"",0)</f>
        <v/>
      </c>
      <c r="F82" s="37" t="str" cm="1">
        <f t="array" ref="F82">IF(Daily_Work[[#This Row],[Emp_ID]]=0,"",
_xlfn.XLOOKUP(Daily_Work[[#This Row],[Emp_ID]],Master_Employee[Emp_ID],EmpDepts,"",0)
)</f>
        <v/>
      </c>
      <c r="G82" s="31"/>
      <c r="I82" t="str">
        <f>IF(Daily_Work[[#This Row],[Project_Name]]="","",_xlfn.XLOOKUP(Daily_Work[[#This Row],[Project_Name]],ProjectNames,ProjectList,"",0))</f>
        <v/>
      </c>
      <c r="K82">
        <f>IF(Daily_Work[[#This Row],[Emp_Status]]="Absent",0,1)</f>
        <v>1</v>
      </c>
      <c r="M82" s="2"/>
      <c r="N82" s="2">
        <f>Daily_Work[[#This Row],[Days_Work]]*8</f>
        <v>0</v>
      </c>
      <c r="O82" s="73">
        <f>IFERROR(Daily_Work[[#This Row],[Days_Work]]*_xlfn.XLOOKUP(Daily_Work[[#This Row],[Emp_ID]],Master_Employee[Emp_ID],Master_Employee[Daily_Rate],"",0),0)</f>
        <v>0</v>
      </c>
      <c r="P82" s="75">
        <f>IFERROR(Daily_Work[[#This Row],[OT_Hrs]]*_xlfn.XLOOKUP(Daily_Work[[#This Row],[Emp_ID]],Master_Employee[Emp_ID],Master_Employee[OT_Hr_Rate],0),0)</f>
        <v>0</v>
      </c>
    </row>
    <row r="83" spans="1:16" ht="19.5" customHeight="1">
      <c r="A83" s="6">
        <v>78</v>
      </c>
      <c r="B83" s="72"/>
      <c r="D83" s="66" t="str">
        <f>_xlfn.XLOOKUP(Daily_Work[[#This Row],[Emp_ID]],Master_Employee[Emp_ID],Master_Employee[Name_AR],"",0)</f>
        <v/>
      </c>
      <c r="E83" s="59" t="str">
        <f>_xlfn.XLOOKUP(Daily_Work[[#This Row],[Emp_ID]],Master_Employee[Emp_ID],Master_Employee[Name_EN],"",0)</f>
        <v/>
      </c>
      <c r="F83" s="37" t="str" cm="1">
        <f t="array" ref="F83">IF(Daily_Work[[#This Row],[Emp_ID]]=0,"",
_xlfn.XLOOKUP(Daily_Work[[#This Row],[Emp_ID]],Master_Employee[Emp_ID],EmpDepts,"",0)
)</f>
        <v/>
      </c>
      <c r="G83" s="31"/>
      <c r="I83" t="str">
        <f>IF(Daily_Work[[#This Row],[Project_Name]]="","",_xlfn.XLOOKUP(Daily_Work[[#This Row],[Project_Name]],ProjectNames,ProjectList,"",0))</f>
        <v/>
      </c>
      <c r="K83">
        <f>IF(Daily_Work[[#This Row],[Emp_Status]]="Absent",0,1)</f>
        <v>1</v>
      </c>
      <c r="M83" s="2"/>
      <c r="N83" s="2">
        <f>Daily_Work[[#This Row],[Days_Work]]*8</f>
        <v>0</v>
      </c>
      <c r="O83" s="73">
        <f>IFERROR(Daily_Work[[#This Row],[Days_Work]]*_xlfn.XLOOKUP(Daily_Work[[#This Row],[Emp_ID]],Master_Employee[Emp_ID],Master_Employee[Daily_Rate],"",0),0)</f>
        <v>0</v>
      </c>
      <c r="P83" s="75">
        <f>IFERROR(Daily_Work[[#This Row],[OT_Hrs]]*_xlfn.XLOOKUP(Daily_Work[[#This Row],[Emp_ID]],Master_Employee[Emp_ID],Master_Employee[OT_Hr_Rate],0),0)</f>
        <v>0</v>
      </c>
    </row>
    <row r="84" spans="1:16" ht="19.5" customHeight="1">
      <c r="A84" s="6">
        <v>79</v>
      </c>
      <c r="B84" s="72"/>
      <c r="D84" s="66" t="str">
        <f>_xlfn.XLOOKUP(Daily_Work[[#This Row],[Emp_ID]],Master_Employee[Emp_ID],Master_Employee[Name_AR],"",0)</f>
        <v/>
      </c>
      <c r="E84" s="59" t="str">
        <f>_xlfn.XLOOKUP(Daily_Work[[#This Row],[Emp_ID]],Master_Employee[Emp_ID],Master_Employee[Name_EN],"",0)</f>
        <v/>
      </c>
      <c r="F84" s="37" t="str" cm="1">
        <f t="array" ref="F84">IF(Daily_Work[[#This Row],[Emp_ID]]=0,"",
_xlfn.XLOOKUP(Daily_Work[[#This Row],[Emp_ID]],Master_Employee[Emp_ID],EmpDepts,"",0)
)</f>
        <v/>
      </c>
      <c r="G84" s="31"/>
      <c r="I84" t="str">
        <f>IF(Daily_Work[[#This Row],[Project_Name]]="","",_xlfn.XLOOKUP(Daily_Work[[#This Row],[Project_Name]],ProjectNames,ProjectList,"",0))</f>
        <v/>
      </c>
      <c r="K84">
        <f>IF(Daily_Work[[#This Row],[Emp_Status]]="Absent",0,1)</f>
        <v>1</v>
      </c>
      <c r="M84" s="2"/>
      <c r="N84" s="2">
        <f>Daily_Work[[#This Row],[Days_Work]]*8</f>
        <v>0</v>
      </c>
      <c r="O84" s="73">
        <f>IFERROR(Daily_Work[[#This Row],[Days_Work]]*_xlfn.XLOOKUP(Daily_Work[[#This Row],[Emp_ID]],Master_Employee[Emp_ID],Master_Employee[Daily_Rate],"",0),0)</f>
        <v>0</v>
      </c>
      <c r="P84" s="75">
        <f>IFERROR(Daily_Work[[#This Row],[OT_Hrs]]*_xlfn.XLOOKUP(Daily_Work[[#This Row],[Emp_ID]],Master_Employee[Emp_ID],Master_Employee[OT_Hr_Rate],0),0)</f>
        <v>0</v>
      </c>
    </row>
    <row r="85" spans="1:16" ht="19.5" customHeight="1">
      <c r="A85" s="6">
        <v>80</v>
      </c>
      <c r="B85" s="72"/>
      <c r="D85" s="66" t="str">
        <f>_xlfn.XLOOKUP(Daily_Work[[#This Row],[Emp_ID]],Master_Employee[Emp_ID],Master_Employee[Name_AR],"",0)</f>
        <v/>
      </c>
      <c r="E85" s="59" t="str">
        <f>_xlfn.XLOOKUP(Daily_Work[[#This Row],[Emp_ID]],Master_Employee[Emp_ID],Master_Employee[Name_EN],"",0)</f>
        <v/>
      </c>
      <c r="F85" s="37" t="str" cm="1">
        <f t="array" ref="F85">IF(Daily_Work[[#This Row],[Emp_ID]]=0,"",
_xlfn.XLOOKUP(Daily_Work[[#This Row],[Emp_ID]],Master_Employee[Emp_ID],EmpDepts,"",0)
)</f>
        <v/>
      </c>
      <c r="G85" s="31"/>
      <c r="I85" t="str">
        <f>IF(Daily_Work[[#This Row],[Project_Name]]="","",_xlfn.XLOOKUP(Daily_Work[[#This Row],[Project_Name]],ProjectNames,ProjectList,"",0))</f>
        <v/>
      </c>
      <c r="K85">
        <f>IF(Daily_Work[[#This Row],[Emp_Status]]="Absent",0,1)</f>
        <v>1</v>
      </c>
      <c r="M85" s="2"/>
      <c r="N85" s="2">
        <f>Daily_Work[[#This Row],[Days_Work]]*8</f>
        <v>0</v>
      </c>
      <c r="O85" s="73">
        <f>IFERROR(Daily_Work[[#This Row],[Days_Work]]*_xlfn.XLOOKUP(Daily_Work[[#This Row],[Emp_ID]],Master_Employee[Emp_ID],Master_Employee[Daily_Rate],"",0),0)</f>
        <v>0</v>
      </c>
      <c r="P85" s="75">
        <f>IFERROR(Daily_Work[[#This Row],[OT_Hrs]]*_xlfn.XLOOKUP(Daily_Work[[#This Row],[Emp_ID]],Master_Employee[Emp_ID],Master_Employee[OT_Hr_Rate],0),0)</f>
        <v>0</v>
      </c>
    </row>
    <row r="86" spans="1:16" ht="19.5" customHeight="1">
      <c r="A86" s="6">
        <v>81</v>
      </c>
      <c r="B86" s="72"/>
      <c r="D86" s="66" t="str">
        <f>_xlfn.XLOOKUP(Daily_Work[[#This Row],[Emp_ID]],Master_Employee[Emp_ID],Master_Employee[Name_AR],"",0)</f>
        <v/>
      </c>
      <c r="E86" s="59" t="str">
        <f>_xlfn.XLOOKUP(Daily_Work[[#This Row],[Emp_ID]],Master_Employee[Emp_ID],Master_Employee[Name_EN],"",0)</f>
        <v/>
      </c>
      <c r="F86" s="37" t="str" cm="1">
        <f t="array" ref="F86">IF(Daily_Work[[#This Row],[Emp_ID]]=0,"",
_xlfn.XLOOKUP(Daily_Work[[#This Row],[Emp_ID]],Master_Employee[Emp_ID],EmpDepts,"",0)
)</f>
        <v/>
      </c>
      <c r="G86" s="31"/>
      <c r="I86" t="str">
        <f>IF(Daily_Work[[#This Row],[Project_Name]]="","",_xlfn.XLOOKUP(Daily_Work[[#This Row],[Project_Name]],ProjectNames,ProjectList,"",0))</f>
        <v/>
      </c>
      <c r="K86">
        <f>IF(Daily_Work[[#This Row],[Emp_Status]]="Absent",0,1)</f>
        <v>1</v>
      </c>
      <c r="M86" s="2"/>
      <c r="N86" s="2">
        <f>Daily_Work[[#This Row],[Days_Work]]*8</f>
        <v>0</v>
      </c>
      <c r="O86" s="73">
        <f>IFERROR(Daily_Work[[#This Row],[Days_Work]]*_xlfn.XLOOKUP(Daily_Work[[#This Row],[Emp_ID]],Master_Employee[Emp_ID],Master_Employee[Daily_Rate],"",0),0)</f>
        <v>0</v>
      </c>
      <c r="P86" s="75">
        <f>IFERROR(Daily_Work[[#This Row],[OT_Hrs]]*_xlfn.XLOOKUP(Daily_Work[[#This Row],[Emp_ID]],Master_Employee[Emp_ID],Master_Employee[OT_Hr_Rate],0),0)</f>
        <v>0</v>
      </c>
    </row>
    <row r="87" spans="1:16" ht="19.5" customHeight="1">
      <c r="A87" s="6">
        <v>82</v>
      </c>
      <c r="B87" s="72"/>
      <c r="D87" s="66" t="str">
        <f>_xlfn.XLOOKUP(Daily_Work[[#This Row],[Emp_ID]],Master_Employee[Emp_ID],Master_Employee[Name_AR],"",0)</f>
        <v/>
      </c>
      <c r="E87" s="59" t="str">
        <f>_xlfn.XLOOKUP(Daily_Work[[#This Row],[Emp_ID]],Master_Employee[Emp_ID],Master_Employee[Name_EN],"",0)</f>
        <v/>
      </c>
      <c r="F87" s="37" t="str" cm="1">
        <f t="array" ref="F87">IF(Daily_Work[[#This Row],[Emp_ID]]=0,"",
_xlfn.XLOOKUP(Daily_Work[[#This Row],[Emp_ID]],Master_Employee[Emp_ID],EmpDepts,"",0)
)</f>
        <v/>
      </c>
      <c r="G87" s="31"/>
      <c r="I87" t="str">
        <f>IF(Daily_Work[[#This Row],[Project_Name]]="","",_xlfn.XLOOKUP(Daily_Work[[#This Row],[Project_Name]],ProjectNames,ProjectList,"",0))</f>
        <v/>
      </c>
      <c r="K87">
        <f>IF(Daily_Work[[#This Row],[Emp_Status]]="Absent",0,1)</f>
        <v>1</v>
      </c>
      <c r="M87" s="2"/>
      <c r="N87" s="2">
        <f>Daily_Work[[#This Row],[Days_Work]]*8</f>
        <v>0</v>
      </c>
      <c r="O87" s="73">
        <f>IFERROR(Daily_Work[[#This Row],[Days_Work]]*_xlfn.XLOOKUP(Daily_Work[[#This Row],[Emp_ID]],Master_Employee[Emp_ID],Master_Employee[Daily_Rate],"",0),0)</f>
        <v>0</v>
      </c>
      <c r="P87" s="75">
        <f>IFERROR(Daily_Work[[#This Row],[OT_Hrs]]*_xlfn.XLOOKUP(Daily_Work[[#This Row],[Emp_ID]],Master_Employee[Emp_ID],Master_Employee[OT_Hr_Rate],0),0)</f>
        <v>0</v>
      </c>
    </row>
    <row r="88" spans="1:16" ht="19.5" customHeight="1">
      <c r="A88" s="6">
        <v>83</v>
      </c>
      <c r="B88" s="72"/>
      <c r="D88" s="66" t="str">
        <f>_xlfn.XLOOKUP(Daily_Work[[#This Row],[Emp_ID]],Master_Employee[Emp_ID],Master_Employee[Name_AR],"",0)</f>
        <v/>
      </c>
      <c r="E88" s="59" t="str">
        <f>_xlfn.XLOOKUP(Daily_Work[[#This Row],[Emp_ID]],Master_Employee[Emp_ID],Master_Employee[Name_EN],"",0)</f>
        <v/>
      </c>
      <c r="F88" s="37" t="str" cm="1">
        <f t="array" ref="F88">IF(Daily_Work[[#This Row],[Emp_ID]]=0,"",
_xlfn.XLOOKUP(Daily_Work[[#This Row],[Emp_ID]],Master_Employee[Emp_ID],EmpDepts,"",0)
)</f>
        <v/>
      </c>
      <c r="G88" s="31"/>
      <c r="I88" t="str">
        <f>IF(Daily_Work[[#This Row],[Project_Name]]="","",_xlfn.XLOOKUP(Daily_Work[[#This Row],[Project_Name]],ProjectNames,ProjectList,"",0))</f>
        <v/>
      </c>
      <c r="K88">
        <f>IF(Daily_Work[[#This Row],[Emp_Status]]="Absent",0,1)</f>
        <v>1</v>
      </c>
      <c r="M88" s="2"/>
      <c r="N88" s="2">
        <f>Daily_Work[[#This Row],[Days_Work]]*8</f>
        <v>0</v>
      </c>
      <c r="O88" s="73">
        <f>IFERROR(Daily_Work[[#This Row],[Days_Work]]*_xlfn.XLOOKUP(Daily_Work[[#This Row],[Emp_ID]],Master_Employee[Emp_ID],Master_Employee[Daily_Rate],"",0),0)</f>
        <v>0</v>
      </c>
      <c r="P88" s="75">
        <f>IFERROR(Daily_Work[[#This Row],[OT_Hrs]]*_xlfn.XLOOKUP(Daily_Work[[#This Row],[Emp_ID]],Master_Employee[Emp_ID],Master_Employee[OT_Hr_Rate],0),0)</f>
        <v>0</v>
      </c>
    </row>
    <row r="89" spans="1:16" ht="19.5" customHeight="1">
      <c r="A89" s="6">
        <v>84</v>
      </c>
      <c r="B89" s="72"/>
      <c r="D89" s="66" t="str">
        <f>_xlfn.XLOOKUP(Daily_Work[[#This Row],[Emp_ID]],Master_Employee[Emp_ID],Master_Employee[Name_AR],"",0)</f>
        <v/>
      </c>
      <c r="E89" s="59" t="str">
        <f>_xlfn.XLOOKUP(Daily_Work[[#This Row],[Emp_ID]],Master_Employee[Emp_ID],Master_Employee[Name_EN],"",0)</f>
        <v/>
      </c>
      <c r="F89" s="37" t="str" cm="1">
        <f t="array" ref="F89">IF(Daily_Work[[#This Row],[Emp_ID]]=0,"",
_xlfn.XLOOKUP(Daily_Work[[#This Row],[Emp_ID]],Master_Employee[Emp_ID],EmpDepts,"",0)
)</f>
        <v/>
      </c>
      <c r="G89" s="31"/>
      <c r="I89" t="str">
        <f>IF(Daily_Work[[#This Row],[Project_Name]]="","",_xlfn.XLOOKUP(Daily_Work[[#This Row],[Project_Name]],ProjectNames,ProjectList,"",0))</f>
        <v/>
      </c>
      <c r="K89">
        <f>IF(Daily_Work[[#This Row],[Emp_Status]]="Absent",0,1)</f>
        <v>1</v>
      </c>
      <c r="M89" s="2"/>
      <c r="N89" s="2">
        <f>Daily_Work[[#This Row],[Days_Work]]*8</f>
        <v>0</v>
      </c>
      <c r="O89" s="73">
        <f>IFERROR(Daily_Work[[#This Row],[Days_Work]]*_xlfn.XLOOKUP(Daily_Work[[#This Row],[Emp_ID]],Master_Employee[Emp_ID],Master_Employee[Daily_Rate],"",0),0)</f>
        <v>0</v>
      </c>
      <c r="P89" s="75">
        <f>IFERROR(Daily_Work[[#This Row],[OT_Hrs]]*_xlfn.XLOOKUP(Daily_Work[[#This Row],[Emp_ID]],Master_Employee[Emp_ID],Master_Employee[OT_Hr_Rate],0),0)</f>
        <v>0</v>
      </c>
    </row>
    <row r="90" spans="1:16" ht="19.5" customHeight="1">
      <c r="A90" s="6">
        <v>85</v>
      </c>
      <c r="B90" s="72"/>
      <c r="D90" s="66" t="str">
        <f>_xlfn.XLOOKUP(Daily_Work[[#This Row],[Emp_ID]],Master_Employee[Emp_ID],Master_Employee[Name_AR],"",0)</f>
        <v/>
      </c>
      <c r="E90" s="59" t="str">
        <f>_xlfn.XLOOKUP(Daily_Work[[#This Row],[Emp_ID]],Master_Employee[Emp_ID],Master_Employee[Name_EN],"",0)</f>
        <v/>
      </c>
      <c r="F90" s="37" t="str" cm="1">
        <f t="array" ref="F90">IF(Daily_Work[[#This Row],[Emp_ID]]=0,"",
_xlfn.XLOOKUP(Daily_Work[[#This Row],[Emp_ID]],Master_Employee[Emp_ID],EmpDepts,"",0)
)</f>
        <v/>
      </c>
      <c r="G90" s="31"/>
      <c r="I90" t="str">
        <f>IF(Daily_Work[[#This Row],[Project_Name]]="","",_xlfn.XLOOKUP(Daily_Work[[#This Row],[Project_Name]],ProjectNames,ProjectList,"",0))</f>
        <v/>
      </c>
      <c r="K90">
        <f>IF(Daily_Work[[#This Row],[Emp_Status]]="Absent",0,1)</f>
        <v>1</v>
      </c>
      <c r="M90" s="2"/>
      <c r="N90" s="2">
        <f>Daily_Work[[#This Row],[Days_Work]]*8</f>
        <v>0</v>
      </c>
      <c r="O90" s="73">
        <f>IFERROR(Daily_Work[[#This Row],[Days_Work]]*_xlfn.XLOOKUP(Daily_Work[[#This Row],[Emp_ID]],Master_Employee[Emp_ID],Master_Employee[Daily_Rate],"",0),0)</f>
        <v>0</v>
      </c>
      <c r="P90" s="75">
        <f>IFERROR(Daily_Work[[#This Row],[OT_Hrs]]*_xlfn.XLOOKUP(Daily_Work[[#This Row],[Emp_ID]],Master_Employee[Emp_ID],Master_Employee[OT_Hr_Rate],0),0)</f>
        <v>0</v>
      </c>
    </row>
    <row r="91" spans="1:16" ht="19.5" customHeight="1">
      <c r="A91" s="6">
        <v>86</v>
      </c>
      <c r="B91" s="72"/>
      <c r="D91" s="66" t="str">
        <f>_xlfn.XLOOKUP(Daily_Work[[#This Row],[Emp_ID]],Master_Employee[Emp_ID],Master_Employee[Name_AR],"",0)</f>
        <v/>
      </c>
      <c r="E91" s="59" t="str">
        <f>_xlfn.XLOOKUP(Daily_Work[[#This Row],[Emp_ID]],Master_Employee[Emp_ID],Master_Employee[Name_EN],"",0)</f>
        <v/>
      </c>
      <c r="F91" s="37" t="str" cm="1">
        <f t="array" ref="F91">IF(Daily_Work[[#This Row],[Emp_ID]]=0,"",
_xlfn.XLOOKUP(Daily_Work[[#This Row],[Emp_ID]],Master_Employee[Emp_ID],EmpDepts,"",0)
)</f>
        <v/>
      </c>
      <c r="G91" s="31"/>
      <c r="I91" t="str">
        <f>IF(Daily_Work[[#This Row],[Project_Name]]="","",_xlfn.XLOOKUP(Daily_Work[[#This Row],[Project_Name]],ProjectNames,ProjectList,"",0))</f>
        <v/>
      </c>
      <c r="K91">
        <f>IF(Daily_Work[[#This Row],[Emp_Status]]="Absent",0,1)</f>
        <v>1</v>
      </c>
      <c r="M91" s="2"/>
      <c r="N91" s="2">
        <f>Daily_Work[[#This Row],[Days_Work]]*8</f>
        <v>0</v>
      </c>
      <c r="O91" s="73">
        <f>IFERROR(Daily_Work[[#This Row],[Days_Work]]*_xlfn.XLOOKUP(Daily_Work[[#This Row],[Emp_ID]],Master_Employee[Emp_ID],Master_Employee[Daily_Rate],"",0),0)</f>
        <v>0</v>
      </c>
      <c r="P91" s="75">
        <f>IFERROR(Daily_Work[[#This Row],[OT_Hrs]]*_xlfn.XLOOKUP(Daily_Work[[#This Row],[Emp_ID]],Master_Employee[Emp_ID],Master_Employee[OT_Hr_Rate],0),0)</f>
        <v>0</v>
      </c>
    </row>
    <row r="92" spans="1:16" ht="19.5" customHeight="1">
      <c r="A92" s="6">
        <v>87</v>
      </c>
      <c r="B92" s="72"/>
      <c r="D92" s="66" t="str">
        <f>_xlfn.XLOOKUP(Daily_Work[[#This Row],[Emp_ID]],Master_Employee[Emp_ID],Master_Employee[Name_AR],"",0)</f>
        <v/>
      </c>
      <c r="E92" s="59" t="str">
        <f>_xlfn.XLOOKUP(Daily_Work[[#This Row],[Emp_ID]],Master_Employee[Emp_ID],Master_Employee[Name_EN],"",0)</f>
        <v/>
      </c>
      <c r="F92" s="37" t="str" cm="1">
        <f t="array" ref="F92">IF(Daily_Work[[#This Row],[Emp_ID]]=0,"",
_xlfn.XLOOKUP(Daily_Work[[#This Row],[Emp_ID]],Master_Employee[Emp_ID],EmpDepts,"",0)
)</f>
        <v/>
      </c>
      <c r="G92" s="31"/>
      <c r="I92" t="str">
        <f>IF(Daily_Work[[#This Row],[Project_Name]]="","",_xlfn.XLOOKUP(Daily_Work[[#This Row],[Project_Name]],ProjectNames,ProjectList,"",0))</f>
        <v/>
      </c>
      <c r="K92">
        <f>IF(Daily_Work[[#This Row],[Emp_Status]]="Absent",0,1)</f>
        <v>1</v>
      </c>
      <c r="M92" s="2"/>
      <c r="N92" s="2">
        <f>Daily_Work[[#This Row],[Days_Work]]*8</f>
        <v>0</v>
      </c>
      <c r="O92" s="73">
        <f>IFERROR(Daily_Work[[#This Row],[Days_Work]]*_xlfn.XLOOKUP(Daily_Work[[#This Row],[Emp_ID]],Master_Employee[Emp_ID],Master_Employee[Daily_Rate],"",0),0)</f>
        <v>0</v>
      </c>
      <c r="P92" s="75">
        <f>IFERROR(Daily_Work[[#This Row],[OT_Hrs]]*_xlfn.XLOOKUP(Daily_Work[[#This Row],[Emp_ID]],Master_Employee[Emp_ID],Master_Employee[OT_Hr_Rate],0),0)</f>
        <v>0</v>
      </c>
    </row>
    <row r="93" spans="1:16" ht="19.5" customHeight="1">
      <c r="A93" s="6">
        <v>88</v>
      </c>
      <c r="B93" s="72"/>
      <c r="D93" s="66" t="str">
        <f>_xlfn.XLOOKUP(Daily_Work[[#This Row],[Emp_ID]],Master_Employee[Emp_ID],Master_Employee[Name_AR],"",0)</f>
        <v/>
      </c>
      <c r="E93" s="59" t="str">
        <f>_xlfn.XLOOKUP(Daily_Work[[#This Row],[Emp_ID]],Master_Employee[Emp_ID],Master_Employee[Name_EN],"",0)</f>
        <v/>
      </c>
      <c r="F93" s="37" t="str" cm="1">
        <f t="array" ref="F93">IF(Daily_Work[[#This Row],[Emp_ID]]=0,"",
_xlfn.XLOOKUP(Daily_Work[[#This Row],[Emp_ID]],Master_Employee[Emp_ID],EmpDepts,"",0)
)</f>
        <v/>
      </c>
      <c r="G93" s="31"/>
      <c r="I93" t="str">
        <f>IF(Daily_Work[[#This Row],[Project_Name]]="","",_xlfn.XLOOKUP(Daily_Work[[#This Row],[Project_Name]],ProjectNames,ProjectList,"",0))</f>
        <v/>
      </c>
      <c r="K93">
        <f>IF(Daily_Work[[#This Row],[Emp_Status]]="Absent",0,1)</f>
        <v>1</v>
      </c>
      <c r="M93" s="2"/>
      <c r="N93" s="2">
        <f>Daily_Work[[#This Row],[Days_Work]]*8</f>
        <v>0</v>
      </c>
      <c r="O93" s="73">
        <f>IFERROR(Daily_Work[[#This Row],[Days_Work]]*_xlfn.XLOOKUP(Daily_Work[[#This Row],[Emp_ID]],Master_Employee[Emp_ID],Master_Employee[Daily_Rate],"",0),0)</f>
        <v>0</v>
      </c>
      <c r="P93" s="75">
        <f>IFERROR(Daily_Work[[#This Row],[OT_Hrs]]*_xlfn.XLOOKUP(Daily_Work[[#This Row],[Emp_ID]],Master_Employee[Emp_ID],Master_Employee[OT_Hr_Rate],0),0)</f>
        <v>0</v>
      </c>
    </row>
    <row r="94" spans="1:16" ht="19.5" customHeight="1">
      <c r="A94" s="6">
        <v>89</v>
      </c>
      <c r="B94" s="72"/>
      <c r="D94" s="66" t="str">
        <f>_xlfn.XLOOKUP(Daily_Work[[#This Row],[Emp_ID]],Master_Employee[Emp_ID],Master_Employee[Name_AR],"",0)</f>
        <v/>
      </c>
      <c r="E94" s="59" t="str">
        <f>_xlfn.XLOOKUP(Daily_Work[[#This Row],[Emp_ID]],Master_Employee[Emp_ID],Master_Employee[Name_EN],"",0)</f>
        <v/>
      </c>
      <c r="F94" s="37" t="str" cm="1">
        <f t="array" ref="F94">IF(Daily_Work[[#This Row],[Emp_ID]]=0,"",
_xlfn.XLOOKUP(Daily_Work[[#This Row],[Emp_ID]],Master_Employee[Emp_ID],EmpDepts,"",0)
)</f>
        <v/>
      </c>
      <c r="G94" s="31"/>
      <c r="I94" t="str">
        <f>IF(Daily_Work[[#This Row],[Project_Name]]="","",_xlfn.XLOOKUP(Daily_Work[[#This Row],[Project_Name]],ProjectNames,ProjectList,"",0))</f>
        <v/>
      </c>
      <c r="K94">
        <f>IF(Daily_Work[[#This Row],[Emp_Status]]="Absent",0,1)</f>
        <v>1</v>
      </c>
      <c r="M94" s="2"/>
      <c r="N94" s="2">
        <f>Daily_Work[[#This Row],[Days_Work]]*8</f>
        <v>0</v>
      </c>
      <c r="O94" s="73">
        <f>IFERROR(Daily_Work[[#This Row],[Days_Work]]*_xlfn.XLOOKUP(Daily_Work[[#This Row],[Emp_ID]],Master_Employee[Emp_ID],Master_Employee[Daily_Rate],"",0),0)</f>
        <v>0</v>
      </c>
      <c r="P94" s="75">
        <f>IFERROR(Daily_Work[[#This Row],[OT_Hrs]]*_xlfn.XLOOKUP(Daily_Work[[#This Row],[Emp_ID]],Master_Employee[Emp_ID],Master_Employee[OT_Hr_Rate],0),0)</f>
        <v>0</v>
      </c>
    </row>
    <row r="95" spans="1:16" ht="19.5" customHeight="1">
      <c r="A95" s="6">
        <v>90</v>
      </c>
      <c r="B95" s="72"/>
      <c r="D95" s="66" t="str">
        <f>_xlfn.XLOOKUP(Daily_Work[[#This Row],[Emp_ID]],Master_Employee[Emp_ID],Master_Employee[Name_AR],"",0)</f>
        <v/>
      </c>
      <c r="E95" s="59" t="str">
        <f>_xlfn.XLOOKUP(Daily_Work[[#This Row],[Emp_ID]],Master_Employee[Emp_ID],Master_Employee[Name_EN],"",0)</f>
        <v/>
      </c>
      <c r="F95" s="37" t="str" cm="1">
        <f t="array" ref="F95">IF(Daily_Work[[#This Row],[Emp_ID]]=0,"",
_xlfn.XLOOKUP(Daily_Work[[#This Row],[Emp_ID]],Master_Employee[Emp_ID],EmpDepts,"",0)
)</f>
        <v/>
      </c>
      <c r="G95" s="31"/>
      <c r="I95" t="str">
        <f>IF(Daily_Work[[#This Row],[Project_Name]]="","",_xlfn.XLOOKUP(Daily_Work[[#This Row],[Project_Name]],ProjectNames,ProjectList,"",0))</f>
        <v/>
      </c>
      <c r="K95">
        <f>IF(Daily_Work[[#This Row],[Emp_Status]]="Absent",0,1)</f>
        <v>1</v>
      </c>
      <c r="M95" s="2"/>
      <c r="N95" s="2">
        <f>Daily_Work[[#This Row],[Days_Work]]*8</f>
        <v>0</v>
      </c>
      <c r="O95" s="73">
        <f>IFERROR(Daily_Work[[#This Row],[Days_Work]]*_xlfn.XLOOKUP(Daily_Work[[#This Row],[Emp_ID]],Master_Employee[Emp_ID],Master_Employee[Daily_Rate],"",0),0)</f>
        <v>0</v>
      </c>
      <c r="P95" s="75">
        <f>IFERROR(Daily_Work[[#This Row],[OT_Hrs]]*_xlfn.XLOOKUP(Daily_Work[[#This Row],[Emp_ID]],Master_Employee[Emp_ID],Master_Employee[OT_Hr_Rate],0),0)</f>
        <v>0</v>
      </c>
    </row>
    <row r="96" spans="1:16" ht="19.5" customHeight="1">
      <c r="A96" s="6">
        <v>91</v>
      </c>
      <c r="B96" s="72"/>
      <c r="D96" s="66" t="str">
        <f>_xlfn.XLOOKUP(Daily_Work[[#This Row],[Emp_ID]],Master_Employee[Emp_ID],Master_Employee[Name_AR],"",0)</f>
        <v/>
      </c>
      <c r="E96" s="59" t="str">
        <f>_xlfn.XLOOKUP(Daily_Work[[#This Row],[Emp_ID]],Master_Employee[Emp_ID],Master_Employee[Name_EN],"",0)</f>
        <v/>
      </c>
      <c r="F96" s="37" t="str" cm="1">
        <f t="array" ref="F96">IF(Daily_Work[[#This Row],[Emp_ID]]=0,"",
_xlfn.XLOOKUP(Daily_Work[[#This Row],[Emp_ID]],Master_Employee[Emp_ID],EmpDepts,"",0)
)</f>
        <v/>
      </c>
      <c r="G96" s="31"/>
      <c r="I96" t="str">
        <f>IF(Daily_Work[[#This Row],[Project_Name]]="","",_xlfn.XLOOKUP(Daily_Work[[#This Row],[Project_Name]],ProjectNames,ProjectList,"",0))</f>
        <v/>
      </c>
      <c r="K96">
        <f>IF(Daily_Work[[#This Row],[Emp_Status]]="Absent",0,1)</f>
        <v>1</v>
      </c>
      <c r="M96" s="2"/>
      <c r="N96" s="2">
        <f>Daily_Work[[#This Row],[Days_Work]]*8</f>
        <v>0</v>
      </c>
      <c r="O96" s="73">
        <f>IFERROR(Daily_Work[[#This Row],[Days_Work]]*_xlfn.XLOOKUP(Daily_Work[[#This Row],[Emp_ID]],Master_Employee[Emp_ID],Master_Employee[Daily_Rate],"",0),0)</f>
        <v>0</v>
      </c>
      <c r="P96" s="75">
        <f>IFERROR(Daily_Work[[#This Row],[OT_Hrs]]*_xlfn.XLOOKUP(Daily_Work[[#This Row],[Emp_ID]],Master_Employee[Emp_ID],Master_Employee[OT_Hr_Rate],0),0)</f>
        <v>0</v>
      </c>
    </row>
    <row r="97" spans="1:16" ht="19.5" customHeight="1">
      <c r="A97" s="6">
        <v>92</v>
      </c>
      <c r="B97" s="72"/>
      <c r="D97" s="66" t="str">
        <f>_xlfn.XLOOKUP(Daily_Work[[#This Row],[Emp_ID]],Master_Employee[Emp_ID],Master_Employee[Name_AR],"",0)</f>
        <v/>
      </c>
      <c r="E97" s="59" t="str">
        <f>_xlfn.XLOOKUP(Daily_Work[[#This Row],[Emp_ID]],Master_Employee[Emp_ID],Master_Employee[Name_EN],"",0)</f>
        <v/>
      </c>
      <c r="F97" s="37" t="str" cm="1">
        <f t="array" ref="F97">IF(Daily_Work[[#This Row],[Emp_ID]]=0,"",
_xlfn.XLOOKUP(Daily_Work[[#This Row],[Emp_ID]],Master_Employee[Emp_ID],EmpDepts,"",0)
)</f>
        <v/>
      </c>
      <c r="G97" s="31"/>
      <c r="I97" t="str">
        <f>IF(Daily_Work[[#This Row],[Project_Name]]="","",_xlfn.XLOOKUP(Daily_Work[[#This Row],[Project_Name]],ProjectNames,ProjectList,"",0))</f>
        <v/>
      </c>
      <c r="K97">
        <f>IF(Daily_Work[[#This Row],[Emp_Status]]="Absent",0,1)</f>
        <v>1</v>
      </c>
      <c r="M97" s="2"/>
      <c r="N97" s="2">
        <f>Daily_Work[[#This Row],[Days_Work]]*8</f>
        <v>0</v>
      </c>
      <c r="O97" s="73">
        <f>IFERROR(Daily_Work[[#This Row],[Days_Work]]*_xlfn.XLOOKUP(Daily_Work[[#This Row],[Emp_ID]],Master_Employee[Emp_ID],Master_Employee[Daily_Rate],"",0),0)</f>
        <v>0</v>
      </c>
      <c r="P97" s="75">
        <f>IFERROR(Daily_Work[[#This Row],[OT_Hrs]]*_xlfn.XLOOKUP(Daily_Work[[#This Row],[Emp_ID]],Master_Employee[Emp_ID],Master_Employee[OT_Hr_Rate],0),0)</f>
        <v>0</v>
      </c>
    </row>
    <row r="98" spans="1:16" ht="19.5" customHeight="1">
      <c r="A98" s="6">
        <v>93</v>
      </c>
      <c r="B98" s="72"/>
      <c r="D98" s="66" t="str">
        <f>_xlfn.XLOOKUP(Daily_Work[[#This Row],[Emp_ID]],Master_Employee[Emp_ID],Master_Employee[Name_AR],"",0)</f>
        <v/>
      </c>
      <c r="E98" s="59" t="str">
        <f>_xlfn.XLOOKUP(Daily_Work[[#This Row],[Emp_ID]],Master_Employee[Emp_ID],Master_Employee[Name_EN],"",0)</f>
        <v/>
      </c>
      <c r="F98" s="37" t="str" cm="1">
        <f t="array" ref="F98">IF(Daily_Work[[#This Row],[Emp_ID]]=0,"",
_xlfn.XLOOKUP(Daily_Work[[#This Row],[Emp_ID]],Master_Employee[Emp_ID],EmpDepts,"",0)
)</f>
        <v/>
      </c>
      <c r="G98" s="31"/>
      <c r="I98" t="str">
        <f>IF(Daily_Work[[#This Row],[Project_Name]]="","",_xlfn.XLOOKUP(Daily_Work[[#This Row],[Project_Name]],ProjectNames,ProjectList,"",0))</f>
        <v/>
      </c>
      <c r="K98">
        <f>IF(Daily_Work[[#This Row],[Emp_Status]]="Absent",0,1)</f>
        <v>1</v>
      </c>
      <c r="M98" s="2"/>
      <c r="N98" s="2">
        <f>Daily_Work[[#This Row],[Days_Work]]*8</f>
        <v>0</v>
      </c>
      <c r="O98" s="73">
        <f>IFERROR(Daily_Work[[#This Row],[Days_Work]]*_xlfn.XLOOKUP(Daily_Work[[#This Row],[Emp_ID]],Master_Employee[Emp_ID],Master_Employee[Daily_Rate],"",0),0)</f>
        <v>0</v>
      </c>
      <c r="P98" s="75">
        <f>IFERROR(Daily_Work[[#This Row],[OT_Hrs]]*_xlfn.XLOOKUP(Daily_Work[[#This Row],[Emp_ID]],Master_Employee[Emp_ID],Master_Employee[OT_Hr_Rate],0),0)</f>
        <v>0</v>
      </c>
    </row>
    <row r="99" spans="1:16" ht="19.5" customHeight="1">
      <c r="A99" s="6">
        <v>94</v>
      </c>
      <c r="B99" s="72"/>
      <c r="D99" s="66" t="str">
        <f>_xlfn.XLOOKUP(Daily_Work[[#This Row],[Emp_ID]],Master_Employee[Emp_ID],Master_Employee[Name_AR],"",0)</f>
        <v/>
      </c>
      <c r="E99" s="59" t="str">
        <f>_xlfn.XLOOKUP(Daily_Work[[#This Row],[Emp_ID]],Master_Employee[Emp_ID],Master_Employee[Name_EN],"",0)</f>
        <v/>
      </c>
      <c r="F99" s="37" t="str" cm="1">
        <f t="array" ref="F99">IF(Daily_Work[[#This Row],[Emp_ID]]=0,"",
_xlfn.XLOOKUP(Daily_Work[[#This Row],[Emp_ID]],Master_Employee[Emp_ID],EmpDepts,"",0)
)</f>
        <v/>
      </c>
      <c r="G99" s="31"/>
      <c r="I99" t="str">
        <f>IF(Daily_Work[[#This Row],[Project_Name]]="","",_xlfn.XLOOKUP(Daily_Work[[#This Row],[Project_Name]],ProjectNames,ProjectList,"",0))</f>
        <v/>
      </c>
      <c r="K99">
        <f>IF(Daily_Work[[#This Row],[Emp_Status]]="Absent",0,1)</f>
        <v>1</v>
      </c>
      <c r="M99" s="2"/>
      <c r="N99" s="2">
        <f>Daily_Work[[#This Row],[Days_Work]]*8</f>
        <v>0</v>
      </c>
      <c r="O99" s="73">
        <f>IFERROR(Daily_Work[[#This Row],[Days_Work]]*_xlfn.XLOOKUP(Daily_Work[[#This Row],[Emp_ID]],Master_Employee[Emp_ID],Master_Employee[Daily_Rate],"",0),0)</f>
        <v>0</v>
      </c>
      <c r="P99" s="75">
        <f>IFERROR(Daily_Work[[#This Row],[OT_Hrs]]*_xlfn.XLOOKUP(Daily_Work[[#This Row],[Emp_ID]],Master_Employee[Emp_ID],Master_Employee[OT_Hr_Rate],0),0)</f>
        <v>0</v>
      </c>
    </row>
    <row r="100" spans="1:16" ht="19.5" customHeight="1">
      <c r="A100" s="6">
        <v>95</v>
      </c>
      <c r="B100" s="72"/>
      <c r="D100" s="66" t="str">
        <f>_xlfn.XLOOKUP(Daily_Work[[#This Row],[Emp_ID]],Master_Employee[Emp_ID],Master_Employee[Name_AR],"",0)</f>
        <v/>
      </c>
      <c r="E100" s="59" t="str">
        <f>_xlfn.XLOOKUP(Daily_Work[[#This Row],[Emp_ID]],Master_Employee[Emp_ID],Master_Employee[Name_EN],"",0)</f>
        <v/>
      </c>
      <c r="F100" s="37" t="str" cm="1">
        <f t="array" ref="F100">IF(Daily_Work[[#This Row],[Emp_ID]]=0,"",
_xlfn.XLOOKUP(Daily_Work[[#This Row],[Emp_ID]],Master_Employee[Emp_ID],EmpDepts,"",0)
)</f>
        <v/>
      </c>
      <c r="G100" s="31"/>
      <c r="I100" t="str">
        <f>IF(Daily_Work[[#This Row],[Project_Name]]="","",_xlfn.XLOOKUP(Daily_Work[[#This Row],[Project_Name]],ProjectNames,ProjectList,"",0))</f>
        <v/>
      </c>
      <c r="K100">
        <f>IF(Daily_Work[[#This Row],[Emp_Status]]="Absent",0,1)</f>
        <v>1</v>
      </c>
      <c r="M100" s="2"/>
      <c r="N100" s="2">
        <f>Daily_Work[[#This Row],[Days_Work]]*8</f>
        <v>0</v>
      </c>
      <c r="O100" s="73">
        <f>IFERROR(Daily_Work[[#This Row],[Days_Work]]*_xlfn.XLOOKUP(Daily_Work[[#This Row],[Emp_ID]],Master_Employee[Emp_ID],Master_Employee[Daily_Rate],"",0),0)</f>
        <v>0</v>
      </c>
      <c r="P100" s="75">
        <f>IFERROR(Daily_Work[[#This Row],[OT_Hrs]]*_xlfn.XLOOKUP(Daily_Work[[#This Row],[Emp_ID]],Master_Employee[Emp_ID],Master_Employee[OT_Hr_Rate],0),0)</f>
        <v>0</v>
      </c>
    </row>
    <row r="101" spans="1:16" ht="19.5" customHeight="1">
      <c r="A101" s="6">
        <v>96</v>
      </c>
      <c r="B101" s="72"/>
      <c r="D101" s="66" t="str">
        <f>_xlfn.XLOOKUP(Daily_Work[[#This Row],[Emp_ID]],Master_Employee[Emp_ID],Master_Employee[Name_AR],"",0)</f>
        <v/>
      </c>
      <c r="E101" s="59" t="str">
        <f>_xlfn.XLOOKUP(Daily_Work[[#This Row],[Emp_ID]],Master_Employee[Emp_ID],Master_Employee[Name_EN],"",0)</f>
        <v/>
      </c>
      <c r="F101" s="37" t="str" cm="1">
        <f t="array" ref="F101">IF(Daily_Work[[#This Row],[Emp_ID]]=0,"",
_xlfn.XLOOKUP(Daily_Work[[#This Row],[Emp_ID]],Master_Employee[Emp_ID],EmpDepts,"",0)
)</f>
        <v/>
      </c>
      <c r="G101" s="31"/>
      <c r="I101" t="str">
        <f>IF(Daily_Work[[#This Row],[Project_Name]]="","",_xlfn.XLOOKUP(Daily_Work[[#This Row],[Project_Name]],ProjectNames,ProjectList,"",0))</f>
        <v/>
      </c>
      <c r="K101">
        <f>IF(Daily_Work[[#This Row],[Emp_Status]]="Absent",0,1)</f>
        <v>1</v>
      </c>
      <c r="M101" s="2"/>
      <c r="N101" s="2">
        <f>Daily_Work[[#This Row],[Days_Work]]*8</f>
        <v>0</v>
      </c>
      <c r="O101" s="73">
        <f>IFERROR(Daily_Work[[#This Row],[Days_Work]]*_xlfn.XLOOKUP(Daily_Work[[#This Row],[Emp_ID]],Master_Employee[Emp_ID],Master_Employee[Daily_Rate],"",0),0)</f>
        <v>0</v>
      </c>
      <c r="P101" s="75">
        <f>IFERROR(Daily_Work[[#This Row],[OT_Hrs]]*_xlfn.XLOOKUP(Daily_Work[[#This Row],[Emp_ID]],Master_Employee[Emp_ID],Master_Employee[OT_Hr_Rate],0),0)</f>
        <v>0</v>
      </c>
    </row>
    <row r="102" spans="1:16" ht="19.5" customHeight="1">
      <c r="A102" s="6">
        <v>97</v>
      </c>
      <c r="B102" s="72"/>
      <c r="D102" s="66" t="str">
        <f>_xlfn.XLOOKUP(Daily_Work[[#This Row],[Emp_ID]],Master_Employee[Emp_ID],Master_Employee[Name_AR],"",0)</f>
        <v/>
      </c>
      <c r="E102" s="59" t="str">
        <f>_xlfn.XLOOKUP(Daily_Work[[#This Row],[Emp_ID]],Master_Employee[Emp_ID],Master_Employee[Name_EN],"",0)</f>
        <v/>
      </c>
      <c r="F102" s="37" t="str" cm="1">
        <f t="array" ref="F102">IF(Daily_Work[[#This Row],[Emp_ID]]=0,"",
_xlfn.XLOOKUP(Daily_Work[[#This Row],[Emp_ID]],Master_Employee[Emp_ID],EmpDepts,"",0)
)</f>
        <v/>
      </c>
      <c r="G102" s="31"/>
      <c r="I102" t="str">
        <f>IF(Daily_Work[[#This Row],[Project_Name]]="","",_xlfn.XLOOKUP(Daily_Work[[#This Row],[Project_Name]],ProjectNames,ProjectList,"",0))</f>
        <v/>
      </c>
      <c r="K102">
        <f>IF(Daily_Work[[#This Row],[Emp_Status]]="Absent",0,1)</f>
        <v>1</v>
      </c>
      <c r="M102" s="2"/>
      <c r="N102" s="2">
        <f>Daily_Work[[#This Row],[Days_Work]]*8</f>
        <v>0</v>
      </c>
      <c r="O102" s="73">
        <f>IFERROR(Daily_Work[[#This Row],[Days_Work]]*_xlfn.XLOOKUP(Daily_Work[[#This Row],[Emp_ID]],Master_Employee[Emp_ID],Master_Employee[Daily_Rate],"",0),0)</f>
        <v>0</v>
      </c>
      <c r="P102" s="75">
        <f>IFERROR(Daily_Work[[#This Row],[OT_Hrs]]*_xlfn.XLOOKUP(Daily_Work[[#This Row],[Emp_ID]],Master_Employee[Emp_ID],Master_Employee[OT_Hr_Rate],0),0)</f>
        <v>0</v>
      </c>
    </row>
    <row r="103" spans="1:16" ht="19.5" customHeight="1">
      <c r="A103" s="6">
        <v>98</v>
      </c>
      <c r="B103" s="72"/>
      <c r="D103" s="66" t="str">
        <f>_xlfn.XLOOKUP(Daily_Work[[#This Row],[Emp_ID]],Master_Employee[Emp_ID],Master_Employee[Name_AR],"",0)</f>
        <v/>
      </c>
      <c r="E103" s="59" t="str">
        <f>_xlfn.XLOOKUP(Daily_Work[[#This Row],[Emp_ID]],Master_Employee[Emp_ID],Master_Employee[Name_EN],"",0)</f>
        <v/>
      </c>
      <c r="F103" s="37" t="str" cm="1">
        <f t="array" ref="F103">IF(Daily_Work[[#This Row],[Emp_ID]]=0,"",
_xlfn.XLOOKUP(Daily_Work[[#This Row],[Emp_ID]],Master_Employee[Emp_ID],EmpDepts,"",0)
)</f>
        <v/>
      </c>
      <c r="G103" s="31"/>
      <c r="I103" t="str">
        <f>IF(Daily_Work[[#This Row],[Project_Name]]="","",_xlfn.XLOOKUP(Daily_Work[[#This Row],[Project_Name]],ProjectNames,ProjectList,"",0))</f>
        <v/>
      </c>
      <c r="K103">
        <f>IF(Daily_Work[[#This Row],[Emp_Status]]="Absent",0,1)</f>
        <v>1</v>
      </c>
      <c r="M103" s="2"/>
      <c r="N103" s="2">
        <f>Daily_Work[[#This Row],[Days_Work]]*8</f>
        <v>0</v>
      </c>
      <c r="O103" s="73">
        <f>IFERROR(Daily_Work[[#This Row],[Days_Work]]*_xlfn.XLOOKUP(Daily_Work[[#This Row],[Emp_ID]],Master_Employee[Emp_ID],Master_Employee[Daily_Rate],"",0),0)</f>
        <v>0</v>
      </c>
      <c r="P103" s="75">
        <f>IFERROR(Daily_Work[[#This Row],[OT_Hrs]]*_xlfn.XLOOKUP(Daily_Work[[#This Row],[Emp_ID]],Master_Employee[Emp_ID],Master_Employee[OT_Hr_Rate],0),0)</f>
        <v>0</v>
      </c>
    </row>
    <row r="104" spans="1:16" ht="19.5" customHeight="1">
      <c r="A104" s="6">
        <v>99</v>
      </c>
      <c r="B104" s="72"/>
      <c r="D104" s="66" t="str">
        <f>_xlfn.XLOOKUP(Daily_Work[[#This Row],[Emp_ID]],Master_Employee[Emp_ID],Master_Employee[Name_AR],"",0)</f>
        <v/>
      </c>
      <c r="E104" s="59" t="str">
        <f>_xlfn.XLOOKUP(Daily_Work[[#This Row],[Emp_ID]],Master_Employee[Emp_ID],Master_Employee[Name_EN],"",0)</f>
        <v/>
      </c>
      <c r="F104" s="37" t="str" cm="1">
        <f t="array" ref="F104">IF(Daily_Work[[#This Row],[Emp_ID]]=0,"",
_xlfn.XLOOKUP(Daily_Work[[#This Row],[Emp_ID]],Master_Employee[Emp_ID],EmpDepts,"",0)
)</f>
        <v/>
      </c>
      <c r="G104" s="31"/>
      <c r="I104" t="str">
        <f>IF(Daily_Work[[#This Row],[Project_Name]]="","",_xlfn.XLOOKUP(Daily_Work[[#This Row],[Project_Name]],ProjectNames,ProjectList,"",0))</f>
        <v/>
      </c>
      <c r="K104">
        <f>IF(Daily_Work[[#This Row],[Emp_Status]]="Absent",0,1)</f>
        <v>1</v>
      </c>
      <c r="M104" s="2"/>
      <c r="N104" s="2">
        <f>Daily_Work[[#This Row],[Days_Work]]*8</f>
        <v>0</v>
      </c>
      <c r="O104" s="73">
        <f>IFERROR(Daily_Work[[#This Row],[Days_Work]]*_xlfn.XLOOKUP(Daily_Work[[#This Row],[Emp_ID]],Master_Employee[Emp_ID],Master_Employee[Daily_Rate],"",0),0)</f>
        <v>0</v>
      </c>
      <c r="P104" s="75">
        <f>IFERROR(Daily_Work[[#This Row],[OT_Hrs]]*_xlfn.XLOOKUP(Daily_Work[[#This Row],[Emp_ID]],Master_Employee[Emp_ID],Master_Employee[OT_Hr_Rate],0),0)</f>
        <v>0</v>
      </c>
    </row>
    <row r="105" spans="1:16" ht="19.5" customHeight="1">
      <c r="A105" s="6">
        <v>100</v>
      </c>
      <c r="B105" s="72"/>
      <c r="D105" s="66" t="str">
        <f>_xlfn.XLOOKUP(Daily_Work[[#This Row],[Emp_ID]],Master_Employee[Emp_ID],Master_Employee[Name_AR],"",0)</f>
        <v/>
      </c>
      <c r="E105" s="59" t="str">
        <f>_xlfn.XLOOKUP(Daily_Work[[#This Row],[Emp_ID]],Master_Employee[Emp_ID],Master_Employee[Name_EN],"",0)</f>
        <v/>
      </c>
      <c r="F105" s="37" t="str" cm="1">
        <f t="array" ref="F105">IF(Daily_Work[[#This Row],[Emp_ID]]=0,"",
_xlfn.XLOOKUP(Daily_Work[[#This Row],[Emp_ID]],Master_Employee[Emp_ID],EmpDepts,"",0)
)</f>
        <v/>
      </c>
      <c r="G105" s="31"/>
      <c r="I105" t="str">
        <f>IF(Daily_Work[[#This Row],[Project_Name]]="","",_xlfn.XLOOKUP(Daily_Work[[#This Row],[Project_Name]],ProjectNames,ProjectList,"",0))</f>
        <v/>
      </c>
      <c r="K105">
        <f>IF(Daily_Work[[#This Row],[Emp_Status]]="Absent",0,1)</f>
        <v>1</v>
      </c>
      <c r="M105" s="2"/>
      <c r="N105" s="2">
        <f>Daily_Work[[#This Row],[Days_Work]]*8</f>
        <v>0</v>
      </c>
      <c r="O105" s="73">
        <f>IFERROR(Daily_Work[[#This Row],[Days_Work]]*_xlfn.XLOOKUP(Daily_Work[[#This Row],[Emp_ID]],Master_Employee[Emp_ID],Master_Employee[Daily_Rate],"",0),0)</f>
        <v>0</v>
      </c>
      <c r="P105" s="75">
        <f>IFERROR(Daily_Work[[#This Row],[OT_Hrs]]*_xlfn.XLOOKUP(Daily_Work[[#This Row],[Emp_ID]],Master_Employee[Emp_ID],Master_Employee[OT_Hr_Rate],0),0)</f>
        <v>0</v>
      </c>
    </row>
    <row r="106" spans="1:16" ht="19.5" customHeight="1">
      <c r="A106" s="6">
        <v>101</v>
      </c>
      <c r="B106" s="72"/>
      <c r="D106" s="66" t="str">
        <f>_xlfn.XLOOKUP(Daily_Work[[#This Row],[Emp_ID]],Master_Employee[Emp_ID],Master_Employee[Name_AR],"",0)</f>
        <v/>
      </c>
      <c r="E106" s="59" t="str">
        <f>_xlfn.XLOOKUP(Daily_Work[[#This Row],[Emp_ID]],Master_Employee[Emp_ID],Master_Employee[Name_EN],"",0)</f>
        <v/>
      </c>
      <c r="F106" s="37" t="str" cm="1">
        <f t="array" ref="F106">IF(Daily_Work[[#This Row],[Emp_ID]]=0,"",
_xlfn.XLOOKUP(Daily_Work[[#This Row],[Emp_ID]],Master_Employee[Emp_ID],EmpDepts,"",0)
)</f>
        <v/>
      </c>
      <c r="G106" s="31"/>
      <c r="I106" t="str">
        <f>IF(Daily_Work[[#This Row],[Project_Name]]="","",_xlfn.XLOOKUP(Daily_Work[[#This Row],[Project_Name]],ProjectNames,ProjectList,"",0))</f>
        <v/>
      </c>
      <c r="K106">
        <f>IF(Daily_Work[[#This Row],[Emp_Status]]="Absent",0,1)</f>
        <v>1</v>
      </c>
      <c r="M106" s="2"/>
      <c r="N106" s="2">
        <f>Daily_Work[[#This Row],[Days_Work]]*8</f>
        <v>0</v>
      </c>
      <c r="O106" s="73">
        <f>IFERROR(Daily_Work[[#This Row],[Days_Work]]*_xlfn.XLOOKUP(Daily_Work[[#This Row],[Emp_ID]],Master_Employee[Emp_ID],Master_Employee[Daily_Rate],"",0),0)</f>
        <v>0</v>
      </c>
      <c r="P106" s="75">
        <f>IFERROR(Daily_Work[[#This Row],[OT_Hrs]]*_xlfn.XLOOKUP(Daily_Work[[#This Row],[Emp_ID]],Master_Employee[Emp_ID],Master_Employee[OT_Hr_Rate],0),0)</f>
        <v>0</v>
      </c>
    </row>
    <row r="107" spans="1:16" ht="19.5" customHeight="1">
      <c r="A107" s="6">
        <v>102</v>
      </c>
      <c r="B107" s="72"/>
      <c r="D107" s="66" t="str">
        <f>_xlfn.XLOOKUP(Daily_Work[[#This Row],[Emp_ID]],Master_Employee[Emp_ID],Master_Employee[Name_AR],"",0)</f>
        <v/>
      </c>
      <c r="E107" s="59" t="str">
        <f>_xlfn.XLOOKUP(Daily_Work[[#This Row],[Emp_ID]],Master_Employee[Emp_ID],Master_Employee[Name_EN],"",0)</f>
        <v/>
      </c>
      <c r="F107" s="37" t="str" cm="1">
        <f t="array" ref="F107">IF(Daily_Work[[#This Row],[Emp_ID]]=0,"",
_xlfn.XLOOKUP(Daily_Work[[#This Row],[Emp_ID]],Master_Employee[Emp_ID],EmpDepts,"",0)
)</f>
        <v/>
      </c>
      <c r="G107" s="31"/>
      <c r="I107" t="str">
        <f>IF(Daily_Work[[#This Row],[Project_Name]]="","",_xlfn.XLOOKUP(Daily_Work[[#This Row],[Project_Name]],ProjectNames,ProjectList,"",0))</f>
        <v/>
      </c>
      <c r="K107">
        <f>IF(Daily_Work[[#This Row],[Emp_Status]]="Absent",0,1)</f>
        <v>1</v>
      </c>
      <c r="M107" s="2"/>
      <c r="N107" s="2">
        <f>Daily_Work[[#This Row],[Days_Work]]*8</f>
        <v>0</v>
      </c>
      <c r="O107" s="73">
        <f>IFERROR(Daily_Work[[#This Row],[Days_Work]]*_xlfn.XLOOKUP(Daily_Work[[#This Row],[Emp_ID]],Master_Employee[Emp_ID],Master_Employee[Daily_Rate],"",0),0)</f>
        <v>0</v>
      </c>
      <c r="P107" s="75">
        <f>IFERROR(Daily_Work[[#This Row],[OT_Hrs]]*_xlfn.XLOOKUP(Daily_Work[[#This Row],[Emp_ID]],Master_Employee[Emp_ID],Master_Employee[OT_Hr_Rate],0),0)</f>
        <v>0</v>
      </c>
    </row>
    <row r="108" spans="1:16" ht="19.5" customHeight="1">
      <c r="A108" s="6">
        <v>103</v>
      </c>
      <c r="B108" s="72"/>
      <c r="D108" s="66" t="str">
        <f>_xlfn.XLOOKUP(Daily_Work[[#This Row],[Emp_ID]],Master_Employee[Emp_ID],Master_Employee[Name_AR],"",0)</f>
        <v/>
      </c>
      <c r="E108" s="59" t="str">
        <f>_xlfn.XLOOKUP(Daily_Work[[#This Row],[Emp_ID]],Master_Employee[Emp_ID],Master_Employee[Name_EN],"",0)</f>
        <v/>
      </c>
      <c r="F108" s="37" t="str" cm="1">
        <f t="array" ref="F108">IF(Daily_Work[[#This Row],[Emp_ID]]=0,"",
_xlfn.XLOOKUP(Daily_Work[[#This Row],[Emp_ID]],Master_Employee[Emp_ID],EmpDepts,"",0)
)</f>
        <v/>
      </c>
      <c r="G108" s="31"/>
      <c r="I108" t="str">
        <f>IF(Daily_Work[[#This Row],[Project_Name]]="","",_xlfn.XLOOKUP(Daily_Work[[#This Row],[Project_Name]],ProjectNames,ProjectList,"",0))</f>
        <v/>
      </c>
      <c r="K108">
        <f>IF(Daily_Work[[#This Row],[Emp_Status]]="Absent",0,1)</f>
        <v>1</v>
      </c>
      <c r="M108" s="2"/>
      <c r="N108" s="2">
        <f>Daily_Work[[#This Row],[Days_Work]]*8</f>
        <v>0</v>
      </c>
      <c r="O108" s="73">
        <f>IFERROR(Daily_Work[[#This Row],[Days_Work]]*_xlfn.XLOOKUP(Daily_Work[[#This Row],[Emp_ID]],Master_Employee[Emp_ID],Master_Employee[Daily_Rate],"",0),0)</f>
        <v>0</v>
      </c>
      <c r="P108" s="75">
        <f>IFERROR(Daily_Work[[#This Row],[OT_Hrs]]*_xlfn.XLOOKUP(Daily_Work[[#This Row],[Emp_ID]],Master_Employee[Emp_ID],Master_Employee[OT_Hr_Rate],0),0)</f>
        <v>0</v>
      </c>
    </row>
    <row r="109" spans="1:16" ht="19.5" customHeight="1">
      <c r="A109" s="6">
        <v>104</v>
      </c>
      <c r="B109" s="72"/>
      <c r="D109" s="66" t="str">
        <f>_xlfn.XLOOKUP(Daily_Work[[#This Row],[Emp_ID]],Master_Employee[Emp_ID],Master_Employee[Name_AR],"",0)</f>
        <v/>
      </c>
      <c r="E109" s="59" t="str">
        <f>_xlfn.XLOOKUP(Daily_Work[[#This Row],[Emp_ID]],Master_Employee[Emp_ID],Master_Employee[Name_EN],"",0)</f>
        <v/>
      </c>
      <c r="F109" s="37" t="str" cm="1">
        <f t="array" ref="F109">IF(Daily_Work[[#This Row],[Emp_ID]]=0,"",
_xlfn.XLOOKUP(Daily_Work[[#This Row],[Emp_ID]],Master_Employee[Emp_ID],EmpDepts,"",0)
)</f>
        <v/>
      </c>
      <c r="G109" s="31"/>
      <c r="I109" t="str">
        <f>IF(Daily_Work[[#This Row],[Project_Name]]="","",_xlfn.XLOOKUP(Daily_Work[[#This Row],[Project_Name]],ProjectNames,ProjectList,"",0))</f>
        <v/>
      </c>
      <c r="K109">
        <f>IF(Daily_Work[[#This Row],[Emp_Status]]="Absent",0,1)</f>
        <v>1</v>
      </c>
      <c r="M109" s="2"/>
      <c r="N109" s="2">
        <f>Daily_Work[[#This Row],[Days_Work]]*8</f>
        <v>0</v>
      </c>
      <c r="O109" s="73">
        <f>IFERROR(Daily_Work[[#This Row],[Days_Work]]*_xlfn.XLOOKUP(Daily_Work[[#This Row],[Emp_ID]],Master_Employee[Emp_ID],Master_Employee[Daily_Rate],"",0),0)</f>
        <v>0</v>
      </c>
      <c r="P109" s="75">
        <f>IFERROR(Daily_Work[[#This Row],[OT_Hrs]]*_xlfn.XLOOKUP(Daily_Work[[#This Row],[Emp_ID]],Master_Employee[Emp_ID],Master_Employee[OT_Hr_Rate],0),0)</f>
        <v>0</v>
      </c>
    </row>
    <row r="110" spans="1:16" ht="19.5" customHeight="1">
      <c r="A110" s="6">
        <v>105</v>
      </c>
      <c r="B110" s="72"/>
      <c r="D110" s="66" t="str">
        <f>_xlfn.XLOOKUP(Daily_Work[[#This Row],[Emp_ID]],Master_Employee[Emp_ID],Master_Employee[Name_AR],"",0)</f>
        <v/>
      </c>
      <c r="E110" s="59" t="str">
        <f>_xlfn.XLOOKUP(Daily_Work[[#This Row],[Emp_ID]],Master_Employee[Emp_ID],Master_Employee[Name_EN],"",0)</f>
        <v/>
      </c>
      <c r="F110" s="37" t="str" cm="1">
        <f t="array" ref="F110">IF(Daily_Work[[#This Row],[Emp_ID]]=0,"",
_xlfn.XLOOKUP(Daily_Work[[#This Row],[Emp_ID]],Master_Employee[Emp_ID],EmpDepts,"",0)
)</f>
        <v/>
      </c>
      <c r="G110" s="31"/>
      <c r="I110" t="str">
        <f>IF(Daily_Work[[#This Row],[Project_Name]]="","",_xlfn.XLOOKUP(Daily_Work[[#This Row],[Project_Name]],ProjectNames,ProjectList,"",0))</f>
        <v/>
      </c>
      <c r="K110">
        <f>IF(Daily_Work[[#This Row],[Emp_Status]]="Absent",0,1)</f>
        <v>1</v>
      </c>
      <c r="M110" s="2"/>
      <c r="N110" s="2">
        <f>Daily_Work[[#This Row],[Days_Work]]*8</f>
        <v>0</v>
      </c>
      <c r="O110" s="73">
        <f>IFERROR(Daily_Work[[#This Row],[Days_Work]]*_xlfn.XLOOKUP(Daily_Work[[#This Row],[Emp_ID]],Master_Employee[Emp_ID],Master_Employee[Daily_Rate],"",0),0)</f>
        <v>0</v>
      </c>
      <c r="P110" s="75">
        <f>IFERROR(Daily_Work[[#This Row],[OT_Hrs]]*_xlfn.XLOOKUP(Daily_Work[[#This Row],[Emp_ID]],Master_Employee[Emp_ID],Master_Employee[OT_Hr_Rate],0),0)</f>
        <v>0</v>
      </c>
    </row>
    <row r="111" spans="1:16" ht="19.5" customHeight="1">
      <c r="A111" s="6">
        <v>106</v>
      </c>
      <c r="B111" s="72"/>
      <c r="D111" s="66" t="str">
        <f>_xlfn.XLOOKUP(Daily_Work[[#This Row],[Emp_ID]],Master_Employee[Emp_ID],Master_Employee[Name_AR],"",0)</f>
        <v/>
      </c>
      <c r="E111" s="59" t="str">
        <f>_xlfn.XLOOKUP(Daily_Work[[#This Row],[Emp_ID]],Master_Employee[Emp_ID],Master_Employee[Name_EN],"",0)</f>
        <v/>
      </c>
      <c r="F111" s="37" t="str" cm="1">
        <f t="array" ref="F111">IF(Daily_Work[[#This Row],[Emp_ID]]=0,"",
_xlfn.XLOOKUP(Daily_Work[[#This Row],[Emp_ID]],Master_Employee[Emp_ID],EmpDepts,"",0)
)</f>
        <v/>
      </c>
      <c r="G111" s="31"/>
      <c r="I111" t="str">
        <f>IF(Daily_Work[[#This Row],[Project_Name]]="","",_xlfn.XLOOKUP(Daily_Work[[#This Row],[Project_Name]],ProjectNames,ProjectList,"",0))</f>
        <v/>
      </c>
      <c r="K111">
        <f>IF(Daily_Work[[#This Row],[Emp_Status]]="Absent",0,1)</f>
        <v>1</v>
      </c>
      <c r="M111" s="2"/>
      <c r="N111" s="2">
        <f>Daily_Work[[#This Row],[Days_Work]]*8</f>
        <v>0</v>
      </c>
      <c r="O111" s="73">
        <f>IFERROR(Daily_Work[[#This Row],[Days_Work]]*_xlfn.XLOOKUP(Daily_Work[[#This Row],[Emp_ID]],Master_Employee[Emp_ID],Master_Employee[Daily_Rate],"",0),0)</f>
        <v>0</v>
      </c>
      <c r="P111" s="75">
        <f>IFERROR(Daily_Work[[#This Row],[OT_Hrs]]*_xlfn.XLOOKUP(Daily_Work[[#This Row],[Emp_ID]],Master_Employee[Emp_ID],Master_Employee[OT_Hr_Rate],0),0)</f>
        <v>0</v>
      </c>
    </row>
    <row r="112" spans="1:16" ht="19.5" customHeight="1">
      <c r="A112" s="6">
        <v>107</v>
      </c>
      <c r="B112" s="72"/>
      <c r="D112" s="66" t="str">
        <f>_xlfn.XLOOKUP(Daily_Work[[#This Row],[Emp_ID]],Master_Employee[Emp_ID],Master_Employee[Name_AR],"",0)</f>
        <v/>
      </c>
      <c r="E112" s="59" t="str">
        <f>_xlfn.XLOOKUP(Daily_Work[[#This Row],[Emp_ID]],Master_Employee[Emp_ID],Master_Employee[Name_EN],"",0)</f>
        <v/>
      </c>
      <c r="F112" s="37" t="str" cm="1">
        <f t="array" ref="F112">IF(Daily_Work[[#This Row],[Emp_ID]]=0,"",
_xlfn.XLOOKUP(Daily_Work[[#This Row],[Emp_ID]],Master_Employee[Emp_ID],EmpDepts,"",0)
)</f>
        <v/>
      </c>
      <c r="G112" s="31"/>
      <c r="I112" t="str">
        <f>IF(Daily_Work[[#This Row],[Project_Name]]="","",_xlfn.XLOOKUP(Daily_Work[[#This Row],[Project_Name]],ProjectNames,ProjectList,"",0))</f>
        <v/>
      </c>
      <c r="K112">
        <f>IF(Daily_Work[[#This Row],[Emp_Status]]="Absent",0,1)</f>
        <v>1</v>
      </c>
      <c r="M112" s="2"/>
      <c r="N112" s="2">
        <f>Daily_Work[[#This Row],[Days_Work]]*8</f>
        <v>0</v>
      </c>
      <c r="O112" s="73">
        <f>IFERROR(Daily_Work[[#This Row],[Days_Work]]*_xlfn.XLOOKUP(Daily_Work[[#This Row],[Emp_ID]],Master_Employee[Emp_ID],Master_Employee[Daily_Rate],"",0),0)</f>
        <v>0</v>
      </c>
      <c r="P112" s="75">
        <f>IFERROR(Daily_Work[[#This Row],[OT_Hrs]]*_xlfn.XLOOKUP(Daily_Work[[#This Row],[Emp_ID]],Master_Employee[Emp_ID],Master_Employee[OT_Hr_Rate],0),0)</f>
        <v>0</v>
      </c>
    </row>
    <row r="113" spans="1:16" ht="19.5" customHeight="1">
      <c r="A113" s="6">
        <v>108</v>
      </c>
      <c r="B113" s="72"/>
      <c r="D113" s="66" t="str">
        <f>_xlfn.XLOOKUP(Daily_Work[[#This Row],[Emp_ID]],Master_Employee[Emp_ID],Master_Employee[Name_AR],"",0)</f>
        <v/>
      </c>
      <c r="E113" s="59" t="str">
        <f>_xlfn.XLOOKUP(Daily_Work[[#This Row],[Emp_ID]],Master_Employee[Emp_ID],Master_Employee[Name_EN],"",0)</f>
        <v/>
      </c>
      <c r="F113" s="37" t="str" cm="1">
        <f t="array" ref="F113">IF(Daily_Work[[#This Row],[Emp_ID]]=0,"",
_xlfn.XLOOKUP(Daily_Work[[#This Row],[Emp_ID]],Master_Employee[Emp_ID],EmpDepts,"",0)
)</f>
        <v/>
      </c>
      <c r="G113" s="31"/>
      <c r="I113" t="str">
        <f>IF(Daily_Work[[#This Row],[Project_Name]]="","",_xlfn.XLOOKUP(Daily_Work[[#This Row],[Project_Name]],ProjectNames,ProjectList,"",0))</f>
        <v/>
      </c>
      <c r="K113">
        <f>IF(Daily_Work[[#This Row],[Emp_Status]]="Absent",0,1)</f>
        <v>1</v>
      </c>
      <c r="M113" s="2"/>
      <c r="N113" s="2">
        <f>Daily_Work[[#This Row],[Days_Work]]*8</f>
        <v>0</v>
      </c>
      <c r="O113" s="73">
        <f>IFERROR(Daily_Work[[#This Row],[Days_Work]]*_xlfn.XLOOKUP(Daily_Work[[#This Row],[Emp_ID]],Master_Employee[Emp_ID],Master_Employee[Daily_Rate],"",0),0)</f>
        <v>0</v>
      </c>
      <c r="P113" s="75">
        <f>IFERROR(Daily_Work[[#This Row],[OT_Hrs]]*_xlfn.XLOOKUP(Daily_Work[[#This Row],[Emp_ID]],Master_Employee[Emp_ID],Master_Employee[OT_Hr_Rate],0),0)</f>
        <v>0</v>
      </c>
    </row>
    <row r="114" spans="1:16" ht="19.5" customHeight="1">
      <c r="A114" s="6">
        <v>109</v>
      </c>
      <c r="B114" s="72"/>
      <c r="D114" s="66" t="str">
        <f>_xlfn.XLOOKUP(Daily_Work[[#This Row],[Emp_ID]],Master_Employee[Emp_ID],Master_Employee[Name_AR],"",0)</f>
        <v/>
      </c>
      <c r="E114" s="59" t="str">
        <f>_xlfn.XLOOKUP(Daily_Work[[#This Row],[Emp_ID]],Master_Employee[Emp_ID],Master_Employee[Name_EN],"",0)</f>
        <v/>
      </c>
      <c r="F114" s="37" t="str" cm="1">
        <f t="array" ref="F114">IF(Daily_Work[[#This Row],[Emp_ID]]=0,"",
_xlfn.XLOOKUP(Daily_Work[[#This Row],[Emp_ID]],Master_Employee[Emp_ID],EmpDepts,"",0)
)</f>
        <v/>
      </c>
      <c r="G114" s="31"/>
      <c r="I114" t="str">
        <f>IF(Daily_Work[[#This Row],[Project_Name]]="","",_xlfn.XLOOKUP(Daily_Work[[#This Row],[Project_Name]],ProjectNames,ProjectList,"",0))</f>
        <v/>
      </c>
      <c r="K114">
        <f>IF(Daily_Work[[#This Row],[Emp_Status]]="Absent",0,1)</f>
        <v>1</v>
      </c>
      <c r="M114" s="2"/>
      <c r="N114" s="2">
        <f>Daily_Work[[#This Row],[Days_Work]]*8</f>
        <v>0</v>
      </c>
      <c r="O114" s="73">
        <f>IFERROR(Daily_Work[[#This Row],[Days_Work]]*_xlfn.XLOOKUP(Daily_Work[[#This Row],[Emp_ID]],Master_Employee[Emp_ID],Master_Employee[Daily_Rate],"",0),0)</f>
        <v>0</v>
      </c>
      <c r="P114" s="75">
        <f>IFERROR(Daily_Work[[#This Row],[OT_Hrs]]*_xlfn.XLOOKUP(Daily_Work[[#This Row],[Emp_ID]],Master_Employee[Emp_ID],Master_Employee[OT_Hr_Rate],0),0)</f>
        <v>0</v>
      </c>
    </row>
    <row r="115" spans="1:16" ht="19.5" customHeight="1">
      <c r="A115" s="6">
        <v>110</v>
      </c>
      <c r="B115" s="72"/>
      <c r="D115" s="66" t="str">
        <f>_xlfn.XLOOKUP(Daily_Work[[#This Row],[Emp_ID]],Master_Employee[Emp_ID],Master_Employee[Name_AR],"",0)</f>
        <v/>
      </c>
      <c r="E115" s="59" t="str">
        <f>_xlfn.XLOOKUP(Daily_Work[[#This Row],[Emp_ID]],Master_Employee[Emp_ID],Master_Employee[Name_EN],"",0)</f>
        <v/>
      </c>
      <c r="F115" s="37" t="str" cm="1">
        <f t="array" ref="F115">IF(Daily_Work[[#This Row],[Emp_ID]]=0,"",
_xlfn.XLOOKUP(Daily_Work[[#This Row],[Emp_ID]],Master_Employee[Emp_ID],EmpDepts,"",0)
)</f>
        <v/>
      </c>
      <c r="G115" s="31"/>
      <c r="I115" t="str">
        <f>IF(Daily_Work[[#This Row],[Project_Name]]="","",_xlfn.XLOOKUP(Daily_Work[[#This Row],[Project_Name]],ProjectNames,ProjectList,"",0))</f>
        <v/>
      </c>
      <c r="K115">
        <f>IF(Daily_Work[[#This Row],[Emp_Status]]="Absent",0,1)</f>
        <v>1</v>
      </c>
      <c r="M115" s="2"/>
      <c r="N115" s="2">
        <f>Daily_Work[[#This Row],[Days_Work]]*8</f>
        <v>0</v>
      </c>
      <c r="O115" s="73">
        <f>IFERROR(Daily_Work[[#This Row],[Days_Work]]*_xlfn.XLOOKUP(Daily_Work[[#This Row],[Emp_ID]],Master_Employee[Emp_ID],Master_Employee[Daily_Rate],"",0),0)</f>
        <v>0</v>
      </c>
      <c r="P115" s="75">
        <f>IFERROR(Daily_Work[[#This Row],[OT_Hrs]]*_xlfn.XLOOKUP(Daily_Work[[#This Row],[Emp_ID]],Master_Employee[Emp_ID],Master_Employee[OT_Hr_Rate],0),0)</f>
        <v>0</v>
      </c>
    </row>
    <row r="116" spans="1:16" ht="19.5" customHeight="1">
      <c r="A116" s="6">
        <v>111</v>
      </c>
      <c r="B116" s="72"/>
      <c r="D116" s="66" t="str">
        <f>_xlfn.XLOOKUP(Daily_Work[[#This Row],[Emp_ID]],Master_Employee[Emp_ID],Master_Employee[Name_AR],"",0)</f>
        <v/>
      </c>
      <c r="E116" s="59" t="str">
        <f>_xlfn.XLOOKUP(Daily_Work[[#This Row],[Emp_ID]],Master_Employee[Emp_ID],Master_Employee[Name_EN],"",0)</f>
        <v/>
      </c>
      <c r="F116" s="37" t="str" cm="1">
        <f t="array" ref="F116">IF(Daily_Work[[#This Row],[Emp_ID]]=0,"",
_xlfn.XLOOKUP(Daily_Work[[#This Row],[Emp_ID]],Master_Employee[Emp_ID],EmpDepts,"",0)
)</f>
        <v/>
      </c>
      <c r="G116" s="31"/>
      <c r="I116" t="str">
        <f>IF(Daily_Work[[#This Row],[Project_Name]]="","",_xlfn.XLOOKUP(Daily_Work[[#This Row],[Project_Name]],ProjectNames,ProjectList,"",0))</f>
        <v/>
      </c>
      <c r="K116">
        <f>IF(Daily_Work[[#This Row],[Emp_Status]]="Absent",0,1)</f>
        <v>1</v>
      </c>
      <c r="M116" s="2"/>
      <c r="N116" s="2">
        <f>Daily_Work[[#This Row],[Days_Work]]*8</f>
        <v>0</v>
      </c>
      <c r="O116" s="73">
        <f>IFERROR(Daily_Work[[#This Row],[Days_Work]]*_xlfn.XLOOKUP(Daily_Work[[#This Row],[Emp_ID]],Master_Employee[Emp_ID],Master_Employee[Daily_Rate],"",0),0)</f>
        <v>0</v>
      </c>
      <c r="P116" s="75">
        <f>IFERROR(Daily_Work[[#This Row],[OT_Hrs]]*_xlfn.XLOOKUP(Daily_Work[[#This Row],[Emp_ID]],Master_Employee[Emp_ID],Master_Employee[OT_Hr_Rate],0),0)</f>
        <v>0</v>
      </c>
    </row>
    <row r="117" spans="1:16" ht="19.5" customHeight="1">
      <c r="A117" s="6">
        <v>112</v>
      </c>
      <c r="B117" s="72"/>
      <c r="D117" s="66" t="str">
        <f>_xlfn.XLOOKUP(Daily_Work[[#This Row],[Emp_ID]],Master_Employee[Emp_ID],Master_Employee[Name_AR],"",0)</f>
        <v/>
      </c>
      <c r="E117" s="59" t="str">
        <f>_xlfn.XLOOKUP(Daily_Work[[#This Row],[Emp_ID]],Master_Employee[Emp_ID],Master_Employee[Name_EN],"",0)</f>
        <v/>
      </c>
      <c r="F117" s="37" t="str" cm="1">
        <f t="array" ref="F117">IF(Daily_Work[[#This Row],[Emp_ID]]=0,"",
_xlfn.XLOOKUP(Daily_Work[[#This Row],[Emp_ID]],Master_Employee[Emp_ID],EmpDepts,"",0)
)</f>
        <v/>
      </c>
      <c r="G117" s="31"/>
      <c r="I117" t="str">
        <f>IF(Daily_Work[[#This Row],[Project_Name]]="","",_xlfn.XLOOKUP(Daily_Work[[#This Row],[Project_Name]],ProjectNames,ProjectList,"",0))</f>
        <v/>
      </c>
      <c r="K117">
        <f>IF(Daily_Work[[#This Row],[Emp_Status]]="Absent",0,1)</f>
        <v>1</v>
      </c>
      <c r="M117" s="2"/>
      <c r="N117" s="2">
        <f>Daily_Work[[#This Row],[Days_Work]]*8</f>
        <v>0</v>
      </c>
      <c r="O117" s="73">
        <f>IFERROR(Daily_Work[[#This Row],[Days_Work]]*_xlfn.XLOOKUP(Daily_Work[[#This Row],[Emp_ID]],Master_Employee[Emp_ID],Master_Employee[Daily_Rate],"",0),0)</f>
        <v>0</v>
      </c>
      <c r="P117" s="75">
        <f>IFERROR(Daily_Work[[#This Row],[OT_Hrs]]*_xlfn.XLOOKUP(Daily_Work[[#This Row],[Emp_ID]],Master_Employee[Emp_ID],Master_Employee[OT_Hr_Rate],0),0)</f>
        <v>0</v>
      </c>
    </row>
    <row r="118" spans="1:16" ht="19.5" customHeight="1">
      <c r="A118" s="6">
        <v>113</v>
      </c>
      <c r="B118" s="72"/>
      <c r="D118" s="66" t="str">
        <f>_xlfn.XLOOKUP(Daily_Work[[#This Row],[Emp_ID]],Master_Employee[Emp_ID],Master_Employee[Name_AR],"",0)</f>
        <v/>
      </c>
      <c r="E118" s="59" t="str">
        <f>_xlfn.XLOOKUP(Daily_Work[[#This Row],[Emp_ID]],Master_Employee[Emp_ID],Master_Employee[Name_EN],"",0)</f>
        <v/>
      </c>
      <c r="F118" s="37" t="str" cm="1">
        <f t="array" ref="F118">IF(Daily_Work[[#This Row],[Emp_ID]]=0,"",
_xlfn.XLOOKUP(Daily_Work[[#This Row],[Emp_ID]],Master_Employee[Emp_ID],EmpDepts,"",0)
)</f>
        <v/>
      </c>
      <c r="G118" s="31"/>
      <c r="I118" t="str">
        <f>IF(Daily_Work[[#This Row],[Project_Name]]="","",_xlfn.XLOOKUP(Daily_Work[[#This Row],[Project_Name]],ProjectNames,ProjectList,"",0))</f>
        <v/>
      </c>
      <c r="K118">
        <f>IF(Daily_Work[[#This Row],[Emp_Status]]="Absent",0,1)</f>
        <v>1</v>
      </c>
      <c r="M118" s="2"/>
      <c r="N118" s="2">
        <f>Daily_Work[[#This Row],[Days_Work]]*8</f>
        <v>0</v>
      </c>
      <c r="O118" s="73">
        <f>IFERROR(Daily_Work[[#This Row],[Days_Work]]*_xlfn.XLOOKUP(Daily_Work[[#This Row],[Emp_ID]],Master_Employee[Emp_ID],Master_Employee[Daily_Rate],"",0),0)</f>
        <v>0</v>
      </c>
      <c r="P118" s="75">
        <f>IFERROR(Daily_Work[[#This Row],[OT_Hrs]]*_xlfn.XLOOKUP(Daily_Work[[#This Row],[Emp_ID]],Master_Employee[Emp_ID],Master_Employee[OT_Hr_Rate],0),0)</f>
        <v>0</v>
      </c>
    </row>
    <row r="119" spans="1:16" ht="19.5" customHeight="1">
      <c r="A119" s="6">
        <v>114</v>
      </c>
      <c r="B119" s="72"/>
      <c r="D119" s="66" t="str">
        <f>_xlfn.XLOOKUP(Daily_Work[[#This Row],[Emp_ID]],Master_Employee[Emp_ID],Master_Employee[Name_AR],"",0)</f>
        <v/>
      </c>
      <c r="E119" s="59" t="str">
        <f>_xlfn.XLOOKUP(Daily_Work[[#This Row],[Emp_ID]],Master_Employee[Emp_ID],Master_Employee[Name_EN],"",0)</f>
        <v/>
      </c>
      <c r="F119" s="37" t="str" cm="1">
        <f t="array" ref="F119">IF(Daily_Work[[#This Row],[Emp_ID]]=0,"",
_xlfn.XLOOKUP(Daily_Work[[#This Row],[Emp_ID]],Master_Employee[Emp_ID],EmpDepts,"",0)
)</f>
        <v/>
      </c>
      <c r="G119" s="31"/>
      <c r="I119" t="str">
        <f>IF(Daily_Work[[#This Row],[Project_Name]]="","",_xlfn.XLOOKUP(Daily_Work[[#This Row],[Project_Name]],ProjectNames,ProjectList,"",0))</f>
        <v/>
      </c>
      <c r="K119">
        <f>IF(Daily_Work[[#This Row],[Emp_Status]]="Absent",0,1)</f>
        <v>1</v>
      </c>
      <c r="M119" s="2"/>
      <c r="N119" s="2">
        <f>Daily_Work[[#This Row],[Days_Work]]*8</f>
        <v>0</v>
      </c>
      <c r="O119" s="73">
        <f>IFERROR(Daily_Work[[#This Row],[Days_Work]]*_xlfn.XLOOKUP(Daily_Work[[#This Row],[Emp_ID]],Master_Employee[Emp_ID],Master_Employee[Daily_Rate],"",0),0)</f>
        <v>0</v>
      </c>
      <c r="P119" s="75">
        <f>IFERROR(Daily_Work[[#This Row],[OT_Hrs]]*_xlfn.XLOOKUP(Daily_Work[[#This Row],[Emp_ID]],Master_Employee[Emp_ID],Master_Employee[OT_Hr_Rate],0),0)</f>
        <v>0</v>
      </c>
    </row>
    <row r="120" spans="1:16" ht="19.5" customHeight="1">
      <c r="A120" s="6">
        <v>115</v>
      </c>
      <c r="B120" s="72"/>
      <c r="D120" s="66" t="str">
        <f>_xlfn.XLOOKUP(Daily_Work[[#This Row],[Emp_ID]],Master_Employee[Emp_ID],Master_Employee[Name_AR],"",0)</f>
        <v/>
      </c>
      <c r="E120" s="59" t="str">
        <f>_xlfn.XLOOKUP(Daily_Work[[#This Row],[Emp_ID]],Master_Employee[Emp_ID],Master_Employee[Name_EN],"",0)</f>
        <v/>
      </c>
      <c r="F120" s="37" t="str" cm="1">
        <f t="array" ref="F120">IF(Daily_Work[[#This Row],[Emp_ID]]=0,"",
_xlfn.XLOOKUP(Daily_Work[[#This Row],[Emp_ID]],Master_Employee[Emp_ID],EmpDepts,"",0)
)</f>
        <v/>
      </c>
      <c r="G120" s="31"/>
      <c r="I120" t="str">
        <f>IF(Daily_Work[[#This Row],[Project_Name]]="","",_xlfn.XLOOKUP(Daily_Work[[#This Row],[Project_Name]],ProjectNames,ProjectList,"",0))</f>
        <v/>
      </c>
      <c r="K120">
        <f>IF(Daily_Work[[#This Row],[Emp_Status]]="Absent",0,1)</f>
        <v>1</v>
      </c>
      <c r="M120" s="2"/>
      <c r="N120" s="2">
        <f>Daily_Work[[#This Row],[Days_Work]]*8</f>
        <v>0</v>
      </c>
      <c r="O120" s="73">
        <f>IFERROR(Daily_Work[[#This Row],[Days_Work]]*_xlfn.XLOOKUP(Daily_Work[[#This Row],[Emp_ID]],Master_Employee[Emp_ID],Master_Employee[Daily_Rate],"",0),0)</f>
        <v>0</v>
      </c>
      <c r="P120" s="75">
        <f>IFERROR(Daily_Work[[#This Row],[OT_Hrs]]*_xlfn.XLOOKUP(Daily_Work[[#This Row],[Emp_ID]],Master_Employee[Emp_ID],Master_Employee[OT_Hr_Rate],0),0)</f>
        <v>0</v>
      </c>
    </row>
    <row r="121" spans="1:16" ht="19.5" customHeight="1">
      <c r="A121" s="6">
        <v>116</v>
      </c>
      <c r="B121" s="72"/>
      <c r="D121" s="66" t="str">
        <f>_xlfn.XLOOKUP(Daily_Work[[#This Row],[Emp_ID]],Master_Employee[Emp_ID],Master_Employee[Name_AR],"",0)</f>
        <v/>
      </c>
      <c r="E121" s="59" t="str">
        <f>_xlfn.XLOOKUP(Daily_Work[[#This Row],[Emp_ID]],Master_Employee[Emp_ID],Master_Employee[Name_EN],"",0)</f>
        <v/>
      </c>
      <c r="F121" s="37" t="str" cm="1">
        <f t="array" ref="F121">IF(Daily_Work[[#This Row],[Emp_ID]]=0,"",
_xlfn.XLOOKUP(Daily_Work[[#This Row],[Emp_ID]],Master_Employee[Emp_ID],EmpDepts,"",0)
)</f>
        <v/>
      </c>
      <c r="G121" s="31"/>
      <c r="I121" t="str">
        <f>IF(Daily_Work[[#This Row],[Project_Name]]="","",_xlfn.XLOOKUP(Daily_Work[[#This Row],[Project_Name]],ProjectNames,ProjectList,"",0))</f>
        <v/>
      </c>
      <c r="K121">
        <f>IF(Daily_Work[[#This Row],[Emp_Status]]="Absent",0,1)</f>
        <v>1</v>
      </c>
      <c r="M121" s="2"/>
      <c r="N121" s="2">
        <f>Daily_Work[[#This Row],[Days_Work]]*8</f>
        <v>0</v>
      </c>
      <c r="O121" s="73">
        <f>IFERROR(Daily_Work[[#This Row],[Days_Work]]*_xlfn.XLOOKUP(Daily_Work[[#This Row],[Emp_ID]],Master_Employee[Emp_ID],Master_Employee[Daily_Rate],"",0),0)</f>
        <v>0</v>
      </c>
      <c r="P121" s="75">
        <f>IFERROR(Daily_Work[[#This Row],[OT_Hrs]]*_xlfn.XLOOKUP(Daily_Work[[#This Row],[Emp_ID]],Master_Employee[Emp_ID],Master_Employee[OT_Hr_Rate],0),0)</f>
        <v>0</v>
      </c>
    </row>
    <row r="122" spans="1:16" ht="19.5" customHeight="1">
      <c r="A122" s="6">
        <v>117</v>
      </c>
      <c r="B122" s="72"/>
      <c r="D122" s="66" t="str">
        <f>_xlfn.XLOOKUP(Daily_Work[[#This Row],[Emp_ID]],Master_Employee[Emp_ID],Master_Employee[Name_AR],"",0)</f>
        <v/>
      </c>
      <c r="E122" s="59" t="str">
        <f>_xlfn.XLOOKUP(Daily_Work[[#This Row],[Emp_ID]],Master_Employee[Emp_ID],Master_Employee[Name_EN],"",0)</f>
        <v/>
      </c>
      <c r="F122" s="37" t="str" cm="1">
        <f t="array" ref="F122">IF(Daily_Work[[#This Row],[Emp_ID]]=0,"",
_xlfn.XLOOKUP(Daily_Work[[#This Row],[Emp_ID]],Master_Employee[Emp_ID],EmpDepts,"",0)
)</f>
        <v/>
      </c>
      <c r="G122" s="31"/>
      <c r="I122" t="str">
        <f>IF(Daily_Work[[#This Row],[Project_Name]]="","",_xlfn.XLOOKUP(Daily_Work[[#This Row],[Project_Name]],ProjectNames,ProjectList,"",0))</f>
        <v/>
      </c>
      <c r="K122">
        <f>IF(Daily_Work[[#This Row],[Emp_Status]]="Absent",0,1)</f>
        <v>1</v>
      </c>
      <c r="M122" s="2"/>
      <c r="N122" s="2">
        <f>Daily_Work[[#This Row],[Days_Work]]*8</f>
        <v>0</v>
      </c>
      <c r="O122" s="73">
        <f>IFERROR(Daily_Work[[#This Row],[Days_Work]]*_xlfn.XLOOKUP(Daily_Work[[#This Row],[Emp_ID]],Master_Employee[Emp_ID],Master_Employee[Daily_Rate],"",0),0)</f>
        <v>0</v>
      </c>
      <c r="P122" s="75">
        <f>IFERROR(Daily_Work[[#This Row],[OT_Hrs]]*_xlfn.XLOOKUP(Daily_Work[[#This Row],[Emp_ID]],Master_Employee[Emp_ID],Master_Employee[OT_Hr_Rate],0),0)</f>
        <v>0</v>
      </c>
    </row>
    <row r="123" spans="1:16" ht="19.5" customHeight="1">
      <c r="A123" s="6">
        <v>118</v>
      </c>
      <c r="B123" s="72"/>
      <c r="D123" s="66" t="str">
        <f>_xlfn.XLOOKUP(Daily_Work[[#This Row],[Emp_ID]],Master_Employee[Emp_ID],Master_Employee[Name_AR],"",0)</f>
        <v/>
      </c>
      <c r="E123" s="59" t="str">
        <f>_xlfn.XLOOKUP(Daily_Work[[#This Row],[Emp_ID]],Master_Employee[Emp_ID],Master_Employee[Name_EN],"",0)</f>
        <v/>
      </c>
      <c r="F123" s="37" t="str" cm="1">
        <f t="array" ref="F123">IF(Daily_Work[[#This Row],[Emp_ID]]=0,"",
_xlfn.XLOOKUP(Daily_Work[[#This Row],[Emp_ID]],Master_Employee[Emp_ID],EmpDepts,"",0)
)</f>
        <v/>
      </c>
      <c r="G123" s="31"/>
      <c r="I123" t="str">
        <f>IF(Daily_Work[[#This Row],[Project_Name]]="","",_xlfn.XLOOKUP(Daily_Work[[#This Row],[Project_Name]],ProjectNames,ProjectList,"",0))</f>
        <v/>
      </c>
      <c r="K123">
        <f>IF(Daily_Work[[#This Row],[Emp_Status]]="Absent",0,1)</f>
        <v>1</v>
      </c>
      <c r="M123" s="2"/>
      <c r="N123" s="2">
        <f>Daily_Work[[#This Row],[Days_Work]]*8</f>
        <v>0</v>
      </c>
      <c r="O123" s="73">
        <f>IFERROR(Daily_Work[[#This Row],[Days_Work]]*_xlfn.XLOOKUP(Daily_Work[[#This Row],[Emp_ID]],Master_Employee[Emp_ID],Master_Employee[Daily_Rate],"",0),0)</f>
        <v>0</v>
      </c>
      <c r="P123" s="75">
        <f>IFERROR(Daily_Work[[#This Row],[OT_Hrs]]*_xlfn.XLOOKUP(Daily_Work[[#This Row],[Emp_ID]],Master_Employee[Emp_ID],Master_Employee[OT_Hr_Rate],0),0)</f>
        <v>0</v>
      </c>
    </row>
    <row r="124" spans="1:16" ht="19.5" customHeight="1">
      <c r="A124" s="6">
        <v>119</v>
      </c>
      <c r="B124" s="72"/>
      <c r="D124" s="66" t="str">
        <f>_xlfn.XLOOKUP(Daily_Work[[#This Row],[Emp_ID]],Master_Employee[Emp_ID],Master_Employee[Name_AR],"",0)</f>
        <v/>
      </c>
      <c r="E124" s="59" t="str">
        <f>_xlfn.XLOOKUP(Daily_Work[[#This Row],[Emp_ID]],Master_Employee[Emp_ID],Master_Employee[Name_EN],"",0)</f>
        <v/>
      </c>
      <c r="F124" s="37" t="str" cm="1">
        <f t="array" ref="F124">IF(Daily_Work[[#This Row],[Emp_ID]]=0,"",
_xlfn.XLOOKUP(Daily_Work[[#This Row],[Emp_ID]],Master_Employee[Emp_ID],EmpDepts,"",0)
)</f>
        <v/>
      </c>
      <c r="G124" s="31"/>
      <c r="I124" t="str">
        <f>IF(Daily_Work[[#This Row],[Project_Name]]="","",_xlfn.XLOOKUP(Daily_Work[[#This Row],[Project_Name]],ProjectNames,ProjectList,"",0))</f>
        <v/>
      </c>
      <c r="K124">
        <f>IF(Daily_Work[[#This Row],[Emp_Status]]="Absent",0,1)</f>
        <v>1</v>
      </c>
      <c r="M124" s="2"/>
      <c r="N124" s="2">
        <f>Daily_Work[[#This Row],[Days_Work]]*8</f>
        <v>0</v>
      </c>
      <c r="O124" s="73">
        <f>IFERROR(Daily_Work[[#This Row],[Days_Work]]*_xlfn.XLOOKUP(Daily_Work[[#This Row],[Emp_ID]],Master_Employee[Emp_ID],Master_Employee[Daily_Rate],"",0),0)</f>
        <v>0</v>
      </c>
      <c r="P124" s="75">
        <f>IFERROR(Daily_Work[[#This Row],[OT_Hrs]]*_xlfn.XLOOKUP(Daily_Work[[#This Row],[Emp_ID]],Master_Employee[Emp_ID],Master_Employee[OT_Hr_Rate],0),0)</f>
        <v>0</v>
      </c>
    </row>
    <row r="125" spans="1:16" ht="19.5" customHeight="1">
      <c r="A125" s="6">
        <v>120</v>
      </c>
      <c r="B125" s="72"/>
      <c r="D125" s="66" t="str">
        <f>_xlfn.XLOOKUP(Daily_Work[[#This Row],[Emp_ID]],Master_Employee[Emp_ID],Master_Employee[Name_AR],"",0)</f>
        <v/>
      </c>
      <c r="E125" s="59" t="str">
        <f>_xlfn.XLOOKUP(Daily_Work[[#This Row],[Emp_ID]],Master_Employee[Emp_ID],Master_Employee[Name_EN],"",0)</f>
        <v/>
      </c>
      <c r="F125" s="37" t="str" cm="1">
        <f t="array" ref="F125">IF(Daily_Work[[#This Row],[Emp_ID]]=0,"",
_xlfn.XLOOKUP(Daily_Work[[#This Row],[Emp_ID]],Master_Employee[Emp_ID],EmpDepts,"",0)
)</f>
        <v/>
      </c>
      <c r="G125" s="31"/>
      <c r="I125" t="str">
        <f>IF(Daily_Work[[#This Row],[Project_Name]]="","",_xlfn.XLOOKUP(Daily_Work[[#This Row],[Project_Name]],ProjectNames,ProjectList,"",0))</f>
        <v/>
      </c>
      <c r="K125">
        <f>IF(Daily_Work[[#This Row],[Emp_Status]]="Absent",0,1)</f>
        <v>1</v>
      </c>
      <c r="M125" s="2"/>
      <c r="N125" s="2">
        <f>Daily_Work[[#This Row],[Days_Work]]*8</f>
        <v>0</v>
      </c>
      <c r="O125" s="73">
        <f>IFERROR(Daily_Work[[#This Row],[Days_Work]]*_xlfn.XLOOKUP(Daily_Work[[#This Row],[Emp_ID]],Master_Employee[Emp_ID],Master_Employee[Daily_Rate],"",0),0)</f>
        <v>0</v>
      </c>
      <c r="P125" s="75">
        <f>IFERROR(Daily_Work[[#This Row],[OT_Hrs]]*_xlfn.XLOOKUP(Daily_Work[[#This Row],[Emp_ID]],Master_Employee[Emp_ID],Master_Employee[OT_Hr_Rate],0),0)</f>
        <v>0</v>
      </c>
    </row>
    <row r="126" spans="1:16" ht="19.5" customHeight="1">
      <c r="A126" s="6">
        <v>121</v>
      </c>
      <c r="B126" s="72"/>
      <c r="D126" s="66" t="str">
        <f>_xlfn.XLOOKUP(Daily_Work[[#This Row],[Emp_ID]],Master_Employee[Emp_ID],Master_Employee[Name_AR],"",0)</f>
        <v/>
      </c>
      <c r="E126" s="59" t="str">
        <f>_xlfn.XLOOKUP(Daily_Work[[#This Row],[Emp_ID]],Master_Employee[Emp_ID],Master_Employee[Name_EN],"",0)</f>
        <v/>
      </c>
      <c r="F126" s="37" t="str" cm="1">
        <f t="array" ref="F126">IF(Daily_Work[[#This Row],[Emp_ID]]=0,"",
_xlfn.XLOOKUP(Daily_Work[[#This Row],[Emp_ID]],Master_Employee[Emp_ID],EmpDepts,"",0)
)</f>
        <v/>
      </c>
      <c r="G126" s="31"/>
      <c r="I126" t="str">
        <f>IF(Daily_Work[[#This Row],[Project_Name]]="","",_xlfn.XLOOKUP(Daily_Work[[#This Row],[Project_Name]],ProjectNames,ProjectList,"",0))</f>
        <v/>
      </c>
      <c r="K126">
        <f>IF(Daily_Work[[#This Row],[Emp_Status]]="Absent",0,1)</f>
        <v>1</v>
      </c>
      <c r="M126" s="2"/>
      <c r="N126" s="2">
        <f>Daily_Work[[#This Row],[Days_Work]]*8</f>
        <v>0</v>
      </c>
      <c r="O126" s="73">
        <f>IFERROR(Daily_Work[[#This Row],[Days_Work]]*_xlfn.XLOOKUP(Daily_Work[[#This Row],[Emp_ID]],Master_Employee[Emp_ID],Master_Employee[Daily_Rate],"",0),0)</f>
        <v>0</v>
      </c>
      <c r="P126" s="75">
        <f>IFERROR(Daily_Work[[#This Row],[OT_Hrs]]*_xlfn.XLOOKUP(Daily_Work[[#This Row],[Emp_ID]],Master_Employee[Emp_ID],Master_Employee[OT_Hr_Rate],0),0)</f>
        <v>0</v>
      </c>
    </row>
    <row r="127" spans="1:16" ht="19.5" customHeight="1">
      <c r="A127" s="6">
        <v>122</v>
      </c>
      <c r="B127" s="72"/>
      <c r="D127" s="66" t="str">
        <f>_xlfn.XLOOKUP(Daily_Work[[#This Row],[Emp_ID]],Master_Employee[Emp_ID],Master_Employee[Name_AR],"",0)</f>
        <v/>
      </c>
      <c r="E127" s="59" t="str">
        <f>_xlfn.XLOOKUP(Daily_Work[[#This Row],[Emp_ID]],Master_Employee[Emp_ID],Master_Employee[Name_EN],"",0)</f>
        <v/>
      </c>
      <c r="F127" s="37" t="str" cm="1">
        <f t="array" ref="F127">IF(Daily_Work[[#This Row],[Emp_ID]]=0,"",
_xlfn.XLOOKUP(Daily_Work[[#This Row],[Emp_ID]],Master_Employee[Emp_ID],EmpDepts,"",0)
)</f>
        <v/>
      </c>
      <c r="G127" s="31"/>
      <c r="I127" t="str">
        <f>IF(Daily_Work[[#This Row],[Project_Name]]="","",_xlfn.XLOOKUP(Daily_Work[[#This Row],[Project_Name]],ProjectNames,ProjectList,"",0))</f>
        <v/>
      </c>
      <c r="K127">
        <f>IF(Daily_Work[[#This Row],[Emp_Status]]="Absent",0,1)</f>
        <v>1</v>
      </c>
      <c r="M127" s="2"/>
      <c r="N127" s="2">
        <f>Daily_Work[[#This Row],[Days_Work]]*8</f>
        <v>0</v>
      </c>
      <c r="O127" s="73">
        <f>IFERROR(Daily_Work[[#This Row],[Days_Work]]*_xlfn.XLOOKUP(Daily_Work[[#This Row],[Emp_ID]],Master_Employee[Emp_ID],Master_Employee[Daily_Rate],"",0),0)</f>
        <v>0</v>
      </c>
      <c r="P127" s="75">
        <f>IFERROR(Daily_Work[[#This Row],[OT_Hrs]]*_xlfn.XLOOKUP(Daily_Work[[#This Row],[Emp_ID]],Master_Employee[Emp_ID],Master_Employee[OT_Hr_Rate],0),0)</f>
        <v>0</v>
      </c>
    </row>
    <row r="128" spans="1:16" ht="19.5" customHeight="1">
      <c r="A128" s="6">
        <v>123</v>
      </c>
      <c r="B128" s="72"/>
      <c r="D128" s="66" t="str">
        <f>_xlfn.XLOOKUP(Daily_Work[[#This Row],[Emp_ID]],Master_Employee[Emp_ID],Master_Employee[Name_AR],"",0)</f>
        <v/>
      </c>
      <c r="E128" s="59" t="str">
        <f>_xlfn.XLOOKUP(Daily_Work[[#This Row],[Emp_ID]],Master_Employee[Emp_ID],Master_Employee[Name_EN],"",0)</f>
        <v/>
      </c>
      <c r="F128" s="37" t="str" cm="1">
        <f t="array" ref="F128">IF(Daily_Work[[#This Row],[Emp_ID]]=0,"",
_xlfn.XLOOKUP(Daily_Work[[#This Row],[Emp_ID]],Master_Employee[Emp_ID],EmpDepts,"",0)
)</f>
        <v/>
      </c>
      <c r="G128" s="31"/>
      <c r="I128" t="str">
        <f>IF(Daily_Work[[#This Row],[Project_Name]]="","",_xlfn.XLOOKUP(Daily_Work[[#This Row],[Project_Name]],ProjectNames,ProjectList,"",0))</f>
        <v/>
      </c>
      <c r="K128">
        <f>IF(Daily_Work[[#This Row],[Emp_Status]]="Absent",0,1)</f>
        <v>1</v>
      </c>
      <c r="M128" s="2"/>
      <c r="N128" s="2">
        <f>Daily_Work[[#This Row],[Days_Work]]*8</f>
        <v>0</v>
      </c>
      <c r="O128" s="73">
        <f>IFERROR(Daily_Work[[#This Row],[Days_Work]]*_xlfn.XLOOKUP(Daily_Work[[#This Row],[Emp_ID]],Master_Employee[Emp_ID],Master_Employee[Daily_Rate],"",0),0)</f>
        <v>0</v>
      </c>
      <c r="P128" s="75">
        <f>IFERROR(Daily_Work[[#This Row],[OT_Hrs]]*_xlfn.XLOOKUP(Daily_Work[[#This Row],[Emp_ID]],Master_Employee[Emp_ID],Master_Employee[OT_Hr_Rate],0),0)</f>
        <v>0</v>
      </c>
    </row>
    <row r="129" spans="1:16" ht="19.5" customHeight="1">
      <c r="A129" s="6">
        <v>124</v>
      </c>
      <c r="B129" s="72"/>
      <c r="D129" s="66" t="str">
        <f>_xlfn.XLOOKUP(Daily_Work[[#This Row],[Emp_ID]],Master_Employee[Emp_ID],Master_Employee[Name_AR],"",0)</f>
        <v/>
      </c>
      <c r="E129" s="59" t="str">
        <f>_xlfn.XLOOKUP(Daily_Work[[#This Row],[Emp_ID]],Master_Employee[Emp_ID],Master_Employee[Name_EN],"",0)</f>
        <v/>
      </c>
      <c r="F129" s="37" t="str" cm="1">
        <f t="array" ref="F129">IF(Daily_Work[[#This Row],[Emp_ID]]=0,"",
_xlfn.XLOOKUP(Daily_Work[[#This Row],[Emp_ID]],Master_Employee[Emp_ID],EmpDepts,"",0)
)</f>
        <v/>
      </c>
      <c r="G129" s="31"/>
      <c r="I129" t="str">
        <f>IF(Daily_Work[[#This Row],[Project_Name]]="","",_xlfn.XLOOKUP(Daily_Work[[#This Row],[Project_Name]],ProjectNames,ProjectList,"",0))</f>
        <v/>
      </c>
      <c r="K129">
        <f>IF(Daily_Work[[#This Row],[Emp_Status]]="Absent",0,1)</f>
        <v>1</v>
      </c>
      <c r="M129" s="2"/>
      <c r="N129" s="2">
        <f>Daily_Work[[#This Row],[Days_Work]]*8</f>
        <v>0</v>
      </c>
      <c r="O129" s="73">
        <f>IFERROR(Daily_Work[[#This Row],[Days_Work]]*_xlfn.XLOOKUP(Daily_Work[[#This Row],[Emp_ID]],Master_Employee[Emp_ID],Master_Employee[Daily_Rate],"",0),0)</f>
        <v>0</v>
      </c>
      <c r="P129" s="75">
        <f>IFERROR(Daily_Work[[#This Row],[OT_Hrs]]*_xlfn.XLOOKUP(Daily_Work[[#This Row],[Emp_ID]],Master_Employee[Emp_ID],Master_Employee[OT_Hr_Rate],0),0)</f>
        <v>0</v>
      </c>
    </row>
    <row r="130" spans="1:16" ht="19.5" customHeight="1">
      <c r="A130" s="6">
        <v>125</v>
      </c>
      <c r="B130" s="72"/>
      <c r="D130" s="66" t="str">
        <f>_xlfn.XLOOKUP(Daily_Work[[#This Row],[Emp_ID]],Master_Employee[Emp_ID],Master_Employee[Name_AR],"",0)</f>
        <v/>
      </c>
      <c r="E130" s="59" t="str">
        <f>_xlfn.XLOOKUP(Daily_Work[[#This Row],[Emp_ID]],Master_Employee[Emp_ID],Master_Employee[Name_EN],"",0)</f>
        <v/>
      </c>
      <c r="F130" s="37" t="str" cm="1">
        <f t="array" ref="F130">IF(Daily_Work[[#This Row],[Emp_ID]]=0,"",
_xlfn.XLOOKUP(Daily_Work[[#This Row],[Emp_ID]],Master_Employee[Emp_ID],EmpDepts,"",0)
)</f>
        <v/>
      </c>
      <c r="G130" s="31"/>
      <c r="I130" t="str">
        <f>IF(Daily_Work[[#This Row],[Project_Name]]="","",_xlfn.XLOOKUP(Daily_Work[[#This Row],[Project_Name]],ProjectNames,ProjectList,"",0))</f>
        <v/>
      </c>
      <c r="K130">
        <f>IF(Daily_Work[[#This Row],[Emp_Status]]="Absent",0,1)</f>
        <v>1</v>
      </c>
      <c r="M130" s="2"/>
      <c r="N130" s="2">
        <f>Daily_Work[[#This Row],[Days_Work]]*8</f>
        <v>0</v>
      </c>
      <c r="O130" s="73">
        <f>IFERROR(Daily_Work[[#This Row],[Days_Work]]*_xlfn.XLOOKUP(Daily_Work[[#This Row],[Emp_ID]],Master_Employee[Emp_ID],Master_Employee[Daily_Rate],"",0),0)</f>
        <v>0</v>
      </c>
      <c r="P130" s="75">
        <f>IFERROR(Daily_Work[[#This Row],[OT_Hrs]]*_xlfn.XLOOKUP(Daily_Work[[#This Row],[Emp_ID]],Master_Employee[Emp_ID],Master_Employee[OT_Hr_Rate],0),0)</f>
        <v>0</v>
      </c>
    </row>
    <row r="131" spans="1:16" ht="19.5" customHeight="1">
      <c r="A131" s="6">
        <v>126</v>
      </c>
      <c r="B131" s="72"/>
      <c r="D131" s="66" t="str">
        <f>_xlfn.XLOOKUP(Daily_Work[[#This Row],[Emp_ID]],Master_Employee[Emp_ID],Master_Employee[Name_AR],"",0)</f>
        <v/>
      </c>
      <c r="E131" s="59" t="str">
        <f>_xlfn.XLOOKUP(Daily_Work[[#This Row],[Emp_ID]],Master_Employee[Emp_ID],Master_Employee[Name_EN],"",0)</f>
        <v/>
      </c>
      <c r="F131" s="37" t="str" cm="1">
        <f t="array" ref="F131">IF(Daily_Work[[#This Row],[Emp_ID]]=0,"",
_xlfn.XLOOKUP(Daily_Work[[#This Row],[Emp_ID]],Master_Employee[Emp_ID],EmpDepts,"",0)
)</f>
        <v/>
      </c>
      <c r="G131" s="31"/>
      <c r="I131" t="str">
        <f>IF(Daily_Work[[#This Row],[Project_Name]]="","",_xlfn.XLOOKUP(Daily_Work[[#This Row],[Project_Name]],ProjectNames,ProjectList,"",0))</f>
        <v/>
      </c>
      <c r="K131">
        <f>IF(Daily_Work[[#This Row],[Emp_Status]]="Absent",0,1)</f>
        <v>1</v>
      </c>
      <c r="M131" s="2"/>
      <c r="N131" s="2">
        <f>Daily_Work[[#This Row],[Days_Work]]*8</f>
        <v>0</v>
      </c>
      <c r="O131" s="73">
        <f>IFERROR(Daily_Work[[#This Row],[Days_Work]]*_xlfn.XLOOKUP(Daily_Work[[#This Row],[Emp_ID]],Master_Employee[Emp_ID],Master_Employee[Daily_Rate],"",0),0)</f>
        <v>0</v>
      </c>
      <c r="P131" s="75">
        <f>IFERROR(Daily_Work[[#This Row],[OT_Hrs]]*_xlfn.XLOOKUP(Daily_Work[[#This Row],[Emp_ID]],Master_Employee[Emp_ID],Master_Employee[OT_Hr_Rate],0),0)</f>
        <v>0</v>
      </c>
    </row>
    <row r="132" spans="1:16" ht="19.5" customHeight="1">
      <c r="A132" s="6">
        <v>127</v>
      </c>
      <c r="B132" s="72"/>
      <c r="D132" s="66" t="str">
        <f>_xlfn.XLOOKUP(Daily_Work[[#This Row],[Emp_ID]],Master_Employee[Emp_ID],Master_Employee[Name_AR],"",0)</f>
        <v/>
      </c>
      <c r="E132" s="59" t="str">
        <f>_xlfn.XLOOKUP(Daily_Work[[#This Row],[Emp_ID]],Master_Employee[Emp_ID],Master_Employee[Name_EN],"",0)</f>
        <v/>
      </c>
      <c r="F132" s="37" t="str" cm="1">
        <f t="array" ref="F132">IF(Daily_Work[[#This Row],[Emp_ID]]=0,"",
_xlfn.XLOOKUP(Daily_Work[[#This Row],[Emp_ID]],Master_Employee[Emp_ID],EmpDepts,"",0)
)</f>
        <v/>
      </c>
      <c r="G132" s="31"/>
      <c r="I132" t="str">
        <f>IF(Daily_Work[[#This Row],[Project_Name]]="","",_xlfn.XLOOKUP(Daily_Work[[#This Row],[Project_Name]],ProjectNames,ProjectList,"",0))</f>
        <v/>
      </c>
      <c r="K132">
        <f>IF(Daily_Work[[#This Row],[Emp_Status]]="Absent",0,1)</f>
        <v>1</v>
      </c>
      <c r="M132" s="2"/>
      <c r="N132" s="2">
        <f>Daily_Work[[#This Row],[Days_Work]]*8</f>
        <v>0</v>
      </c>
      <c r="O132" s="73">
        <f>IFERROR(Daily_Work[[#This Row],[Days_Work]]*_xlfn.XLOOKUP(Daily_Work[[#This Row],[Emp_ID]],Master_Employee[Emp_ID],Master_Employee[Daily_Rate],"",0),0)</f>
        <v>0</v>
      </c>
      <c r="P132" s="75">
        <f>IFERROR(Daily_Work[[#This Row],[OT_Hrs]]*_xlfn.XLOOKUP(Daily_Work[[#This Row],[Emp_ID]],Master_Employee[Emp_ID],Master_Employee[OT_Hr_Rate],0),0)</f>
        <v>0</v>
      </c>
    </row>
    <row r="133" spans="1:16" ht="19.5" customHeight="1">
      <c r="A133" s="6">
        <v>128</v>
      </c>
      <c r="B133" s="72"/>
      <c r="D133" s="66" t="str">
        <f>_xlfn.XLOOKUP(Daily_Work[[#This Row],[Emp_ID]],Master_Employee[Emp_ID],Master_Employee[Name_AR],"",0)</f>
        <v/>
      </c>
      <c r="E133" s="59" t="str">
        <f>_xlfn.XLOOKUP(Daily_Work[[#This Row],[Emp_ID]],Master_Employee[Emp_ID],Master_Employee[Name_EN],"",0)</f>
        <v/>
      </c>
      <c r="F133" s="37" t="str" cm="1">
        <f t="array" ref="F133">IF(Daily_Work[[#This Row],[Emp_ID]]=0,"",
_xlfn.XLOOKUP(Daily_Work[[#This Row],[Emp_ID]],Master_Employee[Emp_ID],EmpDepts,"",0)
)</f>
        <v/>
      </c>
      <c r="G133" s="31"/>
      <c r="I133" t="str">
        <f>IF(Daily_Work[[#This Row],[Project_Name]]="","",_xlfn.XLOOKUP(Daily_Work[[#This Row],[Project_Name]],ProjectNames,ProjectList,"",0))</f>
        <v/>
      </c>
      <c r="K133">
        <f>IF(Daily_Work[[#This Row],[Emp_Status]]="Absent",0,1)</f>
        <v>1</v>
      </c>
      <c r="M133" s="2"/>
      <c r="N133" s="2">
        <f>Daily_Work[[#This Row],[Days_Work]]*8</f>
        <v>0</v>
      </c>
      <c r="O133" s="73">
        <f>IFERROR(Daily_Work[[#This Row],[Days_Work]]*_xlfn.XLOOKUP(Daily_Work[[#This Row],[Emp_ID]],Master_Employee[Emp_ID],Master_Employee[Daily_Rate],"",0),0)</f>
        <v>0</v>
      </c>
      <c r="P133" s="75">
        <f>IFERROR(Daily_Work[[#This Row],[OT_Hrs]]*_xlfn.XLOOKUP(Daily_Work[[#This Row],[Emp_ID]],Master_Employee[Emp_ID],Master_Employee[OT_Hr_Rate],0),0)</f>
        <v>0</v>
      </c>
    </row>
    <row r="134" spans="1:16" ht="19.5" customHeight="1">
      <c r="A134" s="6">
        <v>129</v>
      </c>
      <c r="B134" s="72"/>
      <c r="D134" s="66" t="str">
        <f>_xlfn.XLOOKUP(Daily_Work[[#This Row],[Emp_ID]],Master_Employee[Emp_ID],Master_Employee[Name_AR],"",0)</f>
        <v/>
      </c>
      <c r="E134" s="59" t="str">
        <f>_xlfn.XLOOKUP(Daily_Work[[#This Row],[Emp_ID]],Master_Employee[Emp_ID],Master_Employee[Name_EN],"",0)</f>
        <v/>
      </c>
      <c r="F134" s="37" t="str" cm="1">
        <f t="array" ref="F134">IF(Daily_Work[[#This Row],[Emp_ID]]=0,"",
_xlfn.XLOOKUP(Daily_Work[[#This Row],[Emp_ID]],Master_Employee[Emp_ID],EmpDepts,"",0)
)</f>
        <v/>
      </c>
      <c r="G134" s="31"/>
      <c r="I134" t="str">
        <f>IF(Daily_Work[[#This Row],[Project_Name]]="","",_xlfn.XLOOKUP(Daily_Work[[#This Row],[Project_Name]],ProjectNames,ProjectList,"",0))</f>
        <v/>
      </c>
      <c r="K134">
        <f>IF(Daily_Work[[#This Row],[Emp_Status]]="Absent",0,1)</f>
        <v>1</v>
      </c>
      <c r="M134" s="2"/>
      <c r="N134" s="2">
        <f>Daily_Work[[#This Row],[Days_Work]]*8</f>
        <v>0</v>
      </c>
      <c r="O134" s="73">
        <f>IFERROR(Daily_Work[[#This Row],[Days_Work]]*_xlfn.XLOOKUP(Daily_Work[[#This Row],[Emp_ID]],Master_Employee[Emp_ID],Master_Employee[Daily_Rate],"",0),0)</f>
        <v>0</v>
      </c>
      <c r="P134" s="75">
        <f>IFERROR(Daily_Work[[#This Row],[OT_Hrs]]*_xlfn.XLOOKUP(Daily_Work[[#This Row],[Emp_ID]],Master_Employee[Emp_ID],Master_Employee[OT_Hr_Rate],0),0)</f>
        <v>0</v>
      </c>
    </row>
    <row r="135" spans="1:16" ht="19.5" customHeight="1">
      <c r="A135" s="6">
        <v>130</v>
      </c>
      <c r="B135" s="72"/>
      <c r="D135" s="66" t="str">
        <f>_xlfn.XLOOKUP(Daily_Work[[#This Row],[Emp_ID]],Master_Employee[Emp_ID],Master_Employee[Name_AR],"",0)</f>
        <v/>
      </c>
      <c r="E135" s="59" t="str">
        <f>_xlfn.XLOOKUP(Daily_Work[[#This Row],[Emp_ID]],Master_Employee[Emp_ID],Master_Employee[Name_EN],"",0)</f>
        <v/>
      </c>
      <c r="F135" s="37" t="str" cm="1">
        <f t="array" ref="F135">IF(Daily_Work[[#This Row],[Emp_ID]]=0,"",
_xlfn.XLOOKUP(Daily_Work[[#This Row],[Emp_ID]],Master_Employee[Emp_ID],EmpDepts,"",0)
)</f>
        <v/>
      </c>
      <c r="G135" s="31"/>
      <c r="I135" t="str">
        <f>IF(Daily_Work[[#This Row],[Project_Name]]="","",_xlfn.XLOOKUP(Daily_Work[[#This Row],[Project_Name]],ProjectNames,ProjectList,"",0))</f>
        <v/>
      </c>
      <c r="K135">
        <f>IF(Daily_Work[[#This Row],[Emp_Status]]="Absent",0,1)</f>
        <v>1</v>
      </c>
      <c r="M135" s="2"/>
      <c r="N135" s="2">
        <f>Daily_Work[[#This Row],[Days_Work]]*8</f>
        <v>0</v>
      </c>
      <c r="O135" s="73">
        <f>IFERROR(Daily_Work[[#This Row],[Days_Work]]*_xlfn.XLOOKUP(Daily_Work[[#This Row],[Emp_ID]],Master_Employee[Emp_ID],Master_Employee[Daily_Rate],"",0),0)</f>
        <v>0</v>
      </c>
      <c r="P135" s="75">
        <f>IFERROR(Daily_Work[[#This Row],[OT_Hrs]]*_xlfn.XLOOKUP(Daily_Work[[#This Row],[Emp_ID]],Master_Employee[Emp_ID],Master_Employee[OT_Hr_Rate],0),0)</f>
        <v>0</v>
      </c>
    </row>
    <row r="136" spans="1:16" ht="19.5" customHeight="1">
      <c r="A136" s="6">
        <v>131</v>
      </c>
      <c r="B136" s="72"/>
      <c r="D136" s="66" t="str">
        <f>_xlfn.XLOOKUP(Daily_Work[[#This Row],[Emp_ID]],Master_Employee[Emp_ID],Master_Employee[Name_AR],"",0)</f>
        <v/>
      </c>
      <c r="E136" s="59" t="str">
        <f>_xlfn.XLOOKUP(Daily_Work[[#This Row],[Emp_ID]],Master_Employee[Emp_ID],Master_Employee[Name_EN],"",0)</f>
        <v/>
      </c>
      <c r="F136" s="37" t="str" cm="1">
        <f t="array" ref="F136">IF(Daily_Work[[#This Row],[Emp_ID]]=0,"",
_xlfn.XLOOKUP(Daily_Work[[#This Row],[Emp_ID]],Master_Employee[Emp_ID],EmpDepts,"",0)
)</f>
        <v/>
      </c>
      <c r="G136" s="31"/>
      <c r="I136" t="str">
        <f>IF(Daily_Work[[#This Row],[Project_Name]]="","",_xlfn.XLOOKUP(Daily_Work[[#This Row],[Project_Name]],ProjectNames,ProjectList,"",0))</f>
        <v/>
      </c>
      <c r="K136">
        <f>IF(Daily_Work[[#This Row],[Emp_Status]]="Absent",0,1)</f>
        <v>1</v>
      </c>
      <c r="M136" s="2"/>
      <c r="N136" s="2">
        <f>Daily_Work[[#This Row],[Days_Work]]*8</f>
        <v>0</v>
      </c>
      <c r="O136" s="73">
        <f>IFERROR(Daily_Work[[#This Row],[Days_Work]]*_xlfn.XLOOKUP(Daily_Work[[#This Row],[Emp_ID]],Master_Employee[Emp_ID],Master_Employee[Daily_Rate],"",0),0)</f>
        <v>0</v>
      </c>
      <c r="P136" s="75">
        <f>IFERROR(Daily_Work[[#This Row],[OT_Hrs]]*_xlfn.XLOOKUP(Daily_Work[[#This Row],[Emp_ID]],Master_Employee[Emp_ID],Master_Employee[OT_Hr_Rate],0),0)</f>
        <v>0</v>
      </c>
    </row>
    <row r="137" spans="1:16" ht="19.5" customHeight="1">
      <c r="A137" s="6">
        <v>132</v>
      </c>
      <c r="B137" s="72"/>
      <c r="D137" s="66" t="str">
        <f>_xlfn.XLOOKUP(Daily_Work[[#This Row],[Emp_ID]],Master_Employee[Emp_ID],Master_Employee[Name_AR],"",0)</f>
        <v/>
      </c>
      <c r="E137" s="59" t="str">
        <f>_xlfn.XLOOKUP(Daily_Work[[#This Row],[Emp_ID]],Master_Employee[Emp_ID],Master_Employee[Name_EN],"",0)</f>
        <v/>
      </c>
      <c r="F137" s="37" t="str" cm="1">
        <f t="array" ref="F137">IF(Daily_Work[[#This Row],[Emp_ID]]=0,"",
_xlfn.XLOOKUP(Daily_Work[[#This Row],[Emp_ID]],Master_Employee[Emp_ID],EmpDepts,"",0)
)</f>
        <v/>
      </c>
      <c r="G137" s="31"/>
      <c r="I137" t="str">
        <f>IF(Daily_Work[[#This Row],[Project_Name]]="","",_xlfn.XLOOKUP(Daily_Work[[#This Row],[Project_Name]],ProjectNames,ProjectList,"",0))</f>
        <v/>
      </c>
      <c r="K137">
        <f>IF(Daily_Work[[#This Row],[Emp_Status]]="Absent",0,1)</f>
        <v>1</v>
      </c>
      <c r="M137" s="2"/>
      <c r="N137" s="2">
        <f>Daily_Work[[#This Row],[Days_Work]]*8</f>
        <v>0</v>
      </c>
      <c r="O137" s="73">
        <f>IFERROR(Daily_Work[[#This Row],[Days_Work]]*_xlfn.XLOOKUP(Daily_Work[[#This Row],[Emp_ID]],Master_Employee[Emp_ID],Master_Employee[Daily_Rate],"",0),0)</f>
        <v>0</v>
      </c>
      <c r="P137" s="75">
        <f>IFERROR(Daily_Work[[#This Row],[OT_Hrs]]*_xlfn.XLOOKUP(Daily_Work[[#This Row],[Emp_ID]],Master_Employee[Emp_ID],Master_Employee[OT_Hr_Rate],0),0)</f>
        <v>0</v>
      </c>
    </row>
    <row r="138" spans="1:16" ht="19.5" customHeight="1">
      <c r="A138" s="6">
        <v>133</v>
      </c>
      <c r="B138" s="72"/>
      <c r="D138" s="66" t="str">
        <f>_xlfn.XLOOKUP(Daily_Work[[#This Row],[Emp_ID]],Master_Employee[Emp_ID],Master_Employee[Name_AR],"",0)</f>
        <v/>
      </c>
      <c r="E138" s="59" t="str">
        <f>_xlfn.XLOOKUP(Daily_Work[[#This Row],[Emp_ID]],Master_Employee[Emp_ID],Master_Employee[Name_EN],"",0)</f>
        <v/>
      </c>
      <c r="F138" s="37" t="str" cm="1">
        <f t="array" ref="F138">IF(Daily_Work[[#This Row],[Emp_ID]]=0,"",
_xlfn.XLOOKUP(Daily_Work[[#This Row],[Emp_ID]],Master_Employee[Emp_ID],EmpDepts,"",0)
)</f>
        <v/>
      </c>
      <c r="G138" s="31"/>
      <c r="I138" t="str">
        <f>IF(Daily_Work[[#This Row],[Project_Name]]="","",_xlfn.XLOOKUP(Daily_Work[[#This Row],[Project_Name]],ProjectNames,ProjectList,"",0))</f>
        <v/>
      </c>
      <c r="K138">
        <f>IF(Daily_Work[[#This Row],[Emp_Status]]="Absent",0,1)</f>
        <v>1</v>
      </c>
      <c r="M138" s="2"/>
      <c r="N138" s="2">
        <f>Daily_Work[[#This Row],[Days_Work]]*8</f>
        <v>0</v>
      </c>
      <c r="O138" s="73">
        <f>IFERROR(Daily_Work[[#This Row],[Days_Work]]*_xlfn.XLOOKUP(Daily_Work[[#This Row],[Emp_ID]],Master_Employee[Emp_ID],Master_Employee[Daily_Rate],"",0),0)</f>
        <v>0</v>
      </c>
      <c r="P138" s="75">
        <f>IFERROR(Daily_Work[[#This Row],[OT_Hrs]]*_xlfn.XLOOKUP(Daily_Work[[#This Row],[Emp_ID]],Master_Employee[Emp_ID],Master_Employee[OT_Hr_Rate],0),0)</f>
        <v>0</v>
      </c>
    </row>
    <row r="139" spans="1:16" ht="19.5" customHeight="1">
      <c r="A139" s="6">
        <v>134</v>
      </c>
      <c r="B139" s="72"/>
      <c r="D139" s="66" t="str">
        <f>_xlfn.XLOOKUP(Daily_Work[[#This Row],[Emp_ID]],Master_Employee[Emp_ID],Master_Employee[Name_AR],"",0)</f>
        <v/>
      </c>
      <c r="E139" s="59" t="str">
        <f>_xlfn.XLOOKUP(Daily_Work[[#This Row],[Emp_ID]],Master_Employee[Emp_ID],Master_Employee[Name_EN],"",0)</f>
        <v/>
      </c>
      <c r="F139" s="37" t="str" cm="1">
        <f t="array" ref="F139">IF(Daily_Work[[#This Row],[Emp_ID]]=0,"",
_xlfn.XLOOKUP(Daily_Work[[#This Row],[Emp_ID]],Master_Employee[Emp_ID],EmpDepts,"",0)
)</f>
        <v/>
      </c>
      <c r="G139" s="31"/>
      <c r="I139" t="str">
        <f>IF(Daily_Work[[#This Row],[Project_Name]]="","",_xlfn.XLOOKUP(Daily_Work[[#This Row],[Project_Name]],ProjectNames,ProjectList,"",0))</f>
        <v/>
      </c>
      <c r="K139">
        <f>IF(Daily_Work[[#This Row],[Emp_Status]]="Absent",0,1)</f>
        <v>1</v>
      </c>
      <c r="M139" s="2"/>
      <c r="N139" s="2">
        <f>Daily_Work[[#This Row],[Days_Work]]*8</f>
        <v>0</v>
      </c>
      <c r="O139" s="73">
        <f>IFERROR(Daily_Work[[#This Row],[Days_Work]]*_xlfn.XLOOKUP(Daily_Work[[#This Row],[Emp_ID]],Master_Employee[Emp_ID],Master_Employee[Daily_Rate],"",0),0)</f>
        <v>0</v>
      </c>
      <c r="P139" s="75">
        <f>IFERROR(Daily_Work[[#This Row],[OT_Hrs]]*_xlfn.XLOOKUP(Daily_Work[[#This Row],[Emp_ID]],Master_Employee[Emp_ID],Master_Employee[OT_Hr_Rate],0),0)</f>
        <v>0</v>
      </c>
    </row>
    <row r="140" spans="1:16" ht="19.5" customHeight="1">
      <c r="A140" s="6">
        <v>135</v>
      </c>
      <c r="B140" s="72"/>
      <c r="D140" s="66" t="str">
        <f>_xlfn.XLOOKUP(Daily_Work[[#This Row],[Emp_ID]],Master_Employee[Emp_ID],Master_Employee[Name_AR],"",0)</f>
        <v/>
      </c>
      <c r="E140" s="59" t="str">
        <f>_xlfn.XLOOKUP(Daily_Work[[#This Row],[Emp_ID]],Master_Employee[Emp_ID],Master_Employee[Name_EN],"",0)</f>
        <v/>
      </c>
      <c r="F140" s="37" t="str" cm="1">
        <f t="array" ref="F140">IF(Daily_Work[[#This Row],[Emp_ID]]=0,"",
_xlfn.XLOOKUP(Daily_Work[[#This Row],[Emp_ID]],Master_Employee[Emp_ID],EmpDepts,"",0)
)</f>
        <v/>
      </c>
      <c r="G140" s="31"/>
      <c r="I140" t="str">
        <f>IF(Daily_Work[[#This Row],[Project_Name]]="","",_xlfn.XLOOKUP(Daily_Work[[#This Row],[Project_Name]],ProjectNames,ProjectList,"",0))</f>
        <v/>
      </c>
      <c r="K140">
        <f>IF(Daily_Work[[#This Row],[Emp_Status]]="Absent",0,1)</f>
        <v>1</v>
      </c>
      <c r="M140" s="2"/>
      <c r="N140" s="2">
        <f>Daily_Work[[#This Row],[Days_Work]]*8</f>
        <v>0</v>
      </c>
      <c r="O140" s="73">
        <f>IFERROR(Daily_Work[[#This Row],[Days_Work]]*_xlfn.XLOOKUP(Daily_Work[[#This Row],[Emp_ID]],Master_Employee[Emp_ID],Master_Employee[Daily_Rate],"",0),0)</f>
        <v>0</v>
      </c>
      <c r="P140" s="75">
        <f>IFERROR(Daily_Work[[#This Row],[OT_Hrs]]*_xlfn.XLOOKUP(Daily_Work[[#This Row],[Emp_ID]],Master_Employee[Emp_ID],Master_Employee[OT_Hr_Rate],0),0)</f>
        <v>0</v>
      </c>
    </row>
    <row r="141" spans="1:16" ht="19.5" customHeight="1">
      <c r="A141" s="6">
        <v>136</v>
      </c>
      <c r="B141" s="72"/>
      <c r="D141" s="66" t="str">
        <f>_xlfn.XLOOKUP(Daily_Work[[#This Row],[Emp_ID]],Master_Employee[Emp_ID],Master_Employee[Name_AR],"",0)</f>
        <v/>
      </c>
      <c r="E141" s="59" t="str">
        <f>_xlfn.XLOOKUP(Daily_Work[[#This Row],[Emp_ID]],Master_Employee[Emp_ID],Master_Employee[Name_EN],"",0)</f>
        <v/>
      </c>
      <c r="F141" s="37" t="str" cm="1">
        <f t="array" ref="F141">IF(Daily_Work[[#This Row],[Emp_ID]]=0,"",
_xlfn.XLOOKUP(Daily_Work[[#This Row],[Emp_ID]],Master_Employee[Emp_ID],EmpDepts,"",0)
)</f>
        <v/>
      </c>
      <c r="G141" s="31"/>
      <c r="I141" t="str">
        <f>IF(Daily_Work[[#This Row],[Project_Name]]="","",_xlfn.XLOOKUP(Daily_Work[[#This Row],[Project_Name]],ProjectNames,ProjectList,"",0))</f>
        <v/>
      </c>
      <c r="K141">
        <f>IF(Daily_Work[[#This Row],[Emp_Status]]="Absent",0,1)</f>
        <v>1</v>
      </c>
      <c r="M141" s="2"/>
      <c r="N141" s="2">
        <f>Daily_Work[[#This Row],[Days_Work]]*8</f>
        <v>0</v>
      </c>
      <c r="O141" s="73">
        <f>IFERROR(Daily_Work[[#This Row],[Days_Work]]*_xlfn.XLOOKUP(Daily_Work[[#This Row],[Emp_ID]],Master_Employee[Emp_ID],Master_Employee[Daily_Rate],"",0),0)</f>
        <v>0</v>
      </c>
      <c r="P141" s="75">
        <f>IFERROR(Daily_Work[[#This Row],[OT_Hrs]]*_xlfn.XLOOKUP(Daily_Work[[#This Row],[Emp_ID]],Master_Employee[Emp_ID],Master_Employee[OT_Hr_Rate],0),0)</f>
        <v>0</v>
      </c>
    </row>
    <row r="142" spans="1:16" ht="19.5" customHeight="1">
      <c r="A142" s="6">
        <v>137</v>
      </c>
      <c r="B142" s="72"/>
      <c r="D142" s="66" t="str">
        <f>_xlfn.XLOOKUP(Daily_Work[[#This Row],[Emp_ID]],Master_Employee[Emp_ID],Master_Employee[Name_AR],"",0)</f>
        <v/>
      </c>
      <c r="E142" s="59" t="str">
        <f>_xlfn.XLOOKUP(Daily_Work[[#This Row],[Emp_ID]],Master_Employee[Emp_ID],Master_Employee[Name_EN],"",0)</f>
        <v/>
      </c>
      <c r="F142" s="37" t="str" cm="1">
        <f t="array" ref="F142">IF(Daily_Work[[#This Row],[Emp_ID]]=0,"",
_xlfn.XLOOKUP(Daily_Work[[#This Row],[Emp_ID]],Master_Employee[Emp_ID],EmpDepts,"",0)
)</f>
        <v/>
      </c>
      <c r="G142" s="31"/>
      <c r="I142" t="str">
        <f>IF(Daily_Work[[#This Row],[Project_Name]]="","",_xlfn.XLOOKUP(Daily_Work[[#This Row],[Project_Name]],ProjectNames,ProjectList,"",0))</f>
        <v/>
      </c>
      <c r="K142">
        <f>IF(Daily_Work[[#This Row],[Emp_Status]]="Absent",0,1)</f>
        <v>1</v>
      </c>
      <c r="M142" s="2"/>
      <c r="N142" s="2">
        <f>Daily_Work[[#This Row],[Days_Work]]*8</f>
        <v>0</v>
      </c>
      <c r="O142" s="73">
        <f>IFERROR(Daily_Work[[#This Row],[Days_Work]]*_xlfn.XLOOKUP(Daily_Work[[#This Row],[Emp_ID]],Master_Employee[Emp_ID],Master_Employee[Daily_Rate],"",0),0)</f>
        <v>0</v>
      </c>
      <c r="P142" s="75">
        <f>IFERROR(Daily_Work[[#This Row],[OT_Hrs]]*_xlfn.XLOOKUP(Daily_Work[[#This Row],[Emp_ID]],Master_Employee[Emp_ID],Master_Employee[OT_Hr_Rate],0),0)</f>
        <v>0</v>
      </c>
    </row>
    <row r="143" spans="1:16" ht="19.5" customHeight="1">
      <c r="A143" s="6">
        <v>138</v>
      </c>
      <c r="B143" s="72"/>
      <c r="D143" s="66" t="str">
        <f>_xlfn.XLOOKUP(Daily_Work[[#This Row],[Emp_ID]],Master_Employee[Emp_ID],Master_Employee[Name_AR],"",0)</f>
        <v/>
      </c>
      <c r="E143" s="59" t="str">
        <f>_xlfn.XLOOKUP(Daily_Work[[#This Row],[Emp_ID]],Master_Employee[Emp_ID],Master_Employee[Name_EN],"",0)</f>
        <v/>
      </c>
      <c r="F143" s="37" t="str" cm="1">
        <f t="array" ref="F143">IF(Daily_Work[[#This Row],[Emp_ID]]=0,"",
_xlfn.XLOOKUP(Daily_Work[[#This Row],[Emp_ID]],Master_Employee[Emp_ID],EmpDepts,"",0)
)</f>
        <v/>
      </c>
      <c r="G143" s="31"/>
      <c r="I143" t="str">
        <f>IF(Daily_Work[[#This Row],[Project_Name]]="","",_xlfn.XLOOKUP(Daily_Work[[#This Row],[Project_Name]],ProjectNames,ProjectList,"",0))</f>
        <v/>
      </c>
      <c r="K143">
        <f>IF(Daily_Work[[#This Row],[Emp_Status]]="Absent",0,1)</f>
        <v>1</v>
      </c>
      <c r="M143" s="2"/>
      <c r="N143" s="2">
        <f>Daily_Work[[#This Row],[Days_Work]]*8</f>
        <v>0</v>
      </c>
      <c r="O143" s="73">
        <f>IFERROR(Daily_Work[[#This Row],[Days_Work]]*_xlfn.XLOOKUP(Daily_Work[[#This Row],[Emp_ID]],Master_Employee[Emp_ID],Master_Employee[Daily_Rate],"",0),0)</f>
        <v>0</v>
      </c>
      <c r="P143" s="75">
        <f>IFERROR(Daily_Work[[#This Row],[OT_Hrs]]*_xlfn.XLOOKUP(Daily_Work[[#This Row],[Emp_ID]],Master_Employee[Emp_ID],Master_Employee[OT_Hr_Rate],0),0)</f>
        <v>0</v>
      </c>
    </row>
    <row r="144" spans="1:16" ht="19.5" customHeight="1">
      <c r="A144" s="6">
        <v>139</v>
      </c>
      <c r="B144" s="72"/>
      <c r="D144" s="66" t="str">
        <f>_xlfn.XLOOKUP(Daily_Work[[#This Row],[Emp_ID]],Master_Employee[Emp_ID],Master_Employee[Name_AR],"",0)</f>
        <v/>
      </c>
      <c r="E144" s="59" t="str">
        <f>_xlfn.XLOOKUP(Daily_Work[[#This Row],[Emp_ID]],Master_Employee[Emp_ID],Master_Employee[Name_EN],"",0)</f>
        <v/>
      </c>
      <c r="F144" s="37" t="str" cm="1">
        <f t="array" ref="F144">IF(Daily_Work[[#This Row],[Emp_ID]]=0,"",
_xlfn.XLOOKUP(Daily_Work[[#This Row],[Emp_ID]],Master_Employee[Emp_ID],EmpDepts,"",0)
)</f>
        <v/>
      </c>
      <c r="G144" s="31"/>
      <c r="I144" t="str">
        <f>IF(Daily_Work[[#This Row],[Project_Name]]="","",_xlfn.XLOOKUP(Daily_Work[[#This Row],[Project_Name]],ProjectNames,ProjectList,"",0))</f>
        <v/>
      </c>
      <c r="K144">
        <f>IF(Daily_Work[[#This Row],[Emp_Status]]="Absent",0,1)</f>
        <v>1</v>
      </c>
      <c r="M144" s="2"/>
      <c r="N144" s="2">
        <f>Daily_Work[[#This Row],[Days_Work]]*8</f>
        <v>0</v>
      </c>
      <c r="O144" s="73">
        <f>IFERROR(Daily_Work[[#This Row],[Days_Work]]*_xlfn.XLOOKUP(Daily_Work[[#This Row],[Emp_ID]],Master_Employee[Emp_ID],Master_Employee[Daily_Rate],"",0),0)</f>
        <v>0</v>
      </c>
      <c r="P144" s="75">
        <f>IFERROR(Daily_Work[[#This Row],[OT_Hrs]]*_xlfn.XLOOKUP(Daily_Work[[#This Row],[Emp_ID]],Master_Employee[Emp_ID],Master_Employee[OT_Hr_Rate],0),0)</f>
        <v>0</v>
      </c>
    </row>
    <row r="145" spans="1:16" ht="19.5" customHeight="1">
      <c r="A145" s="6">
        <v>140</v>
      </c>
      <c r="B145" s="72"/>
      <c r="D145" s="66" t="str">
        <f>_xlfn.XLOOKUP(Daily_Work[[#This Row],[Emp_ID]],Master_Employee[Emp_ID],Master_Employee[Name_AR],"",0)</f>
        <v/>
      </c>
      <c r="E145" s="59" t="str">
        <f>_xlfn.XLOOKUP(Daily_Work[[#This Row],[Emp_ID]],Master_Employee[Emp_ID],Master_Employee[Name_EN],"",0)</f>
        <v/>
      </c>
      <c r="F145" s="37" t="str" cm="1">
        <f t="array" ref="F145">IF(Daily_Work[[#This Row],[Emp_ID]]=0,"",
_xlfn.XLOOKUP(Daily_Work[[#This Row],[Emp_ID]],Master_Employee[Emp_ID],EmpDepts,"",0)
)</f>
        <v/>
      </c>
      <c r="G145" s="31"/>
      <c r="I145" t="str">
        <f>IF(Daily_Work[[#This Row],[Project_Name]]="","",_xlfn.XLOOKUP(Daily_Work[[#This Row],[Project_Name]],ProjectNames,ProjectList,"",0))</f>
        <v/>
      </c>
      <c r="K145">
        <f>IF(Daily_Work[[#This Row],[Emp_Status]]="Absent",0,1)</f>
        <v>1</v>
      </c>
      <c r="M145" s="2"/>
      <c r="N145" s="2">
        <f>Daily_Work[[#This Row],[Days_Work]]*8</f>
        <v>0</v>
      </c>
      <c r="O145" s="73">
        <f>IFERROR(Daily_Work[[#This Row],[Days_Work]]*_xlfn.XLOOKUP(Daily_Work[[#This Row],[Emp_ID]],Master_Employee[Emp_ID],Master_Employee[Daily_Rate],"",0),0)</f>
        <v>0</v>
      </c>
      <c r="P145" s="75">
        <f>IFERROR(Daily_Work[[#This Row],[OT_Hrs]]*_xlfn.XLOOKUP(Daily_Work[[#This Row],[Emp_ID]],Master_Employee[Emp_ID],Master_Employee[OT_Hr_Rate],0),0)</f>
        <v>0</v>
      </c>
    </row>
    <row r="146" spans="1:16" ht="19.5" customHeight="1">
      <c r="A146" s="6">
        <v>141</v>
      </c>
      <c r="B146" s="72"/>
      <c r="D146" s="66" t="str">
        <f>_xlfn.XLOOKUP(Daily_Work[[#This Row],[Emp_ID]],Master_Employee[Emp_ID],Master_Employee[Name_AR],"",0)</f>
        <v/>
      </c>
      <c r="E146" s="59" t="str">
        <f>_xlfn.XLOOKUP(Daily_Work[[#This Row],[Emp_ID]],Master_Employee[Emp_ID],Master_Employee[Name_EN],"",0)</f>
        <v/>
      </c>
      <c r="F146" s="37" t="str" cm="1">
        <f t="array" ref="F146">IF(Daily_Work[[#This Row],[Emp_ID]]=0,"",
_xlfn.XLOOKUP(Daily_Work[[#This Row],[Emp_ID]],Master_Employee[Emp_ID],EmpDepts,"",0)
)</f>
        <v/>
      </c>
      <c r="G146" s="31"/>
      <c r="I146" t="str">
        <f>IF(Daily_Work[[#This Row],[Project_Name]]="","",_xlfn.XLOOKUP(Daily_Work[[#This Row],[Project_Name]],ProjectNames,ProjectList,"",0))</f>
        <v/>
      </c>
      <c r="K146">
        <f>IF(Daily_Work[[#This Row],[Emp_Status]]="Absent",0,1)</f>
        <v>1</v>
      </c>
      <c r="M146" s="2"/>
      <c r="N146" s="2">
        <f>Daily_Work[[#This Row],[Days_Work]]*8</f>
        <v>0</v>
      </c>
      <c r="O146" s="73">
        <f>IFERROR(Daily_Work[[#This Row],[Days_Work]]*_xlfn.XLOOKUP(Daily_Work[[#This Row],[Emp_ID]],Master_Employee[Emp_ID],Master_Employee[Daily_Rate],"",0),0)</f>
        <v>0</v>
      </c>
      <c r="P146" s="75">
        <f>IFERROR(Daily_Work[[#This Row],[OT_Hrs]]*_xlfn.XLOOKUP(Daily_Work[[#This Row],[Emp_ID]],Master_Employee[Emp_ID],Master_Employee[OT_Hr_Rate],0),0)</f>
        <v>0</v>
      </c>
    </row>
    <row r="147" spans="1:16" ht="19.5" customHeight="1">
      <c r="A147" s="6">
        <v>142</v>
      </c>
      <c r="B147" s="72"/>
      <c r="D147" s="66" t="str">
        <f>_xlfn.XLOOKUP(Daily_Work[[#This Row],[Emp_ID]],Master_Employee[Emp_ID],Master_Employee[Name_AR],"",0)</f>
        <v/>
      </c>
      <c r="E147" s="59" t="str">
        <f>_xlfn.XLOOKUP(Daily_Work[[#This Row],[Emp_ID]],Master_Employee[Emp_ID],Master_Employee[Name_EN],"",0)</f>
        <v/>
      </c>
      <c r="F147" s="37" t="str" cm="1">
        <f t="array" ref="F147">IF(Daily_Work[[#This Row],[Emp_ID]]=0,"",
_xlfn.XLOOKUP(Daily_Work[[#This Row],[Emp_ID]],Master_Employee[Emp_ID],EmpDepts,"",0)
)</f>
        <v/>
      </c>
      <c r="G147" s="31"/>
      <c r="I147" t="str">
        <f>IF(Daily_Work[[#This Row],[Project_Name]]="","",_xlfn.XLOOKUP(Daily_Work[[#This Row],[Project_Name]],ProjectNames,ProjectList,"",0))</f>
        <v/>
      </c>
      <c r="K147">
        <f>IF(Daily_Work[[#This Row],[Emp_Status]]="Absent",0,1)</f>
        <v>1</v>
      </c>
      <c r="M147" s="2"/>
      <c r="N147" s="2">
        <f>Daily_Work[[#This Row],[Days_Work]]*8</f>
        <v>0</v>
      </c>
      <c r="O147" s="73">
        <f>IFERROR(Daily_Work[[#This Row],[Days_Work]]*_xlfn.XLOOKUP(Daily_Work[[#This Row],[Emp_ID]],Master_Employee[Emp_ID],Master_Employee[Daily_Rate],"",0),0)</f>
        <v>0</v>
      </c>
      <c r="P147" s="75">
        <f>IFERROR(Daily_Work[[#This Row],[OT_Hrs]]*_xlfn.XLOOKUP(Daily_Work[[#This Row],[Emp_ID]],Master_Employee[Emp_ID],Master_Employee[OT_Hr_Rate],0),0)</f>
        <v>0</v>
      </c>
    </row>
    <row r="148" spans="1:16" ht="19.5" customHeight="1">
      <c r="A148" s="6">
        <v>143</v>
      </c>
      <c r="B148" s="72"/>
      <c r="D148" s="66" t="str">
        <f>_xlfn.XLOOKUP(Daily_Work[[#This Row],[Emp_ID]],Master_Employee[Emp_ID],Master_Employee[Name_AR],"",0)</f>
        <v/>
      </c>
      <c r="E148" s="59" t="str">
        <f>_xlfn.XLOOKUP(Daily_Work[[#This Row],[Emp_ID]],Master_Employee[Emp_ID],Master_Employee[Name_EN],"",0)</f>
        <v/>
      </c>
      <c r="F148" s="37" t="str" cm="1">
        <f t="array" ref="F148">IF(Daily_Work[[#This Row],[Emp_ID]]=0,"",
_xlfn.XLOOKUP(Daily_Work[[#This Row],[Emp_ID]],Master_Employee[Emp_ID],EmpDepts,"",0)
)</f>
        <v/>
      </c>
      <c r="G148" s="31"/>
      <c r="I148" t="str">
        <f>IF(Daily_Work[[#This Row],[Project_Name]]="","",_xlfn.XLOOKUP(Daily_Work[[#This Row],[Project_Name]],ProjectNames,ProjectList,"",0))</f>
        <v/>
      </c>
      <c r="K148">
        <f>IF(Daily_Work[[#This Row],[Emp_Status]]="Absent",0,1)</f>
        <v>1</v>
      </c>
      <c r="M148" s="2"/>
      <c r="N148" s="2">
        <f>Daily_Work[[#This Row],[Days_Work]]*8</f>
        <v>0</v>
      </c>
      <c r="O148" s="73">
        <f>IFERROR(Daily_Work[[#This Row],[Days_Work]]*_xlfn.XLOOKUP(Daily_Work[[#This Row],[Emp_ID]],Master_Employee[Emp_ID],Master_Employee[Daily_Rate],"",0),0)</f>
        <v>0</v>
      </c>
      <c r="P148" s="75">
        <f>IFERROR(Daily_Work[[#This Row],[OT_Hrs]]*_xlfn.XLOOKUP(Daily_Work[[#This Row],[Emp_ID]],Master_Employee[Emp_ID],Master_Employee[OT_Hr_Rate],0),0)</f>
        <v>0</v>
      </c>
    </row>
    <row r="149" spans="1:16" ht="19.5" customHeight="1">
      <c r="A149" s="6">
        <v>144</v>
      </c>
      <c r="B149" s="72"/>
      <c r="D149" s="66" t="str">
        <f>_xlfn.XLOOKUP(Daily_Work[[#This Row],[Emp_ID]],Master_Employee[Emp_ID],Master_Employee[Name_AR],"",0)</f>
        <v/>
      </c>
      <c r="E149" s="59" t="str">
        <f>_xlfn.XLOOKUP(Daily_Work[[#This Row],[Emp_ID]],Master_Employee[Emp_ID],Master_Employee[Name_EN],"",0)</f>
        <v/>
      </c>
      <c r="F149" s="37" t="str" cm="1">
        <f t="array" ref="F149">IF(Daily_Work[[#This Row],[Emp_ID]]=0,"",
_xlfn.XLOOKUP(Daily_Work[[#This Row],[Emp_ID]],Master_Employee[Emp_ID],EmpDepts,"",0)
)</f>
        <v/>
      </c>
      <c r="G149" s="31"/>
      <c r="I149" t="str">
        <f>IF(Daily_Work[[#This Row],[Project_Name]]="","",_xlfn.XLOOKUP(Daily_Work[[#This Row],[Project_Name]],ProjectNames,ProjectList,"",0))</f>
        <v/>
      </c>
      <c r="K149">
        <f>IF(Daily_Work[[#This Row],[Emp_Status]]="Absent",0,1)</f>
        <v>1</v>
      </c>
      <c r="M149" s="2"/>
      <c r="N149" s="2">
        <f>Daily_Work[[#This Row],[Days_Work]]*8</f>
        <v>0</v>
      </c>
      <c r="O149" s="73">
        <f>IFERROR(Daily_Work[[#This Row],[Days_Work]]*_xlfn.XLOOKUP(Daily_Work[[#This Row],[Emp_ID]],Master_Employee[Emp_ID],Master_Employee[Daily_Rate],"",0),0)</f>
        <v>0</v>
      </c>
      <c r="P149" s="75">
        <f>IFERROR(Daily_Work[[#This Row],[OT_Hrs]]*_xlfn.XLOOKUP(Daily_Work[[#This Row],[Emp_ID]],Master_Employee[Emp_ID],Master_Employee[OT_Hr_Rate],0),0)</f>
        <v>0</v>
      </c>
    </row>
    <row r="150" spans="1:16" ht="19.5" customHeight="1">
      <c r="A150" s="6">
        <v>145</v>
      </c>
      <c r="B150" s="72"/>
      <c r="D150" s="66" t="str">
        <f>_xlfn.XLOOKUP(Daily_Work[[#This Row],[Emp_ID]],Master_Employee[Emp_ID],Master_Employee[Name_AR],"",0)</f>
        <v/>
      </c>
      <c r="E150" s="59" t="str">
        <f>_xlfn.XLOOKUP(Daily_Work[[#This Row],[Emp_ID]],Master_Employee[Emp_ID],Master_Employee[Name_EN],"",0)</f>
        <v/>
      </c>
      <c r="F150" s="37" t="str" cm="1">
        <f t="array" ref="F150">IF(Daily_Work[[#This Row],[Emp_ID]]=0,"",
_xlfn.XLOOKUP(Daily_Work[[#This Row],[Emp_ID]],Master_Employee[Emp_ID],EmpDepts,"",0)
)</f>
        <v/>
      </c>
      <c r="G150" s="31"/>
      <c r="I150" t="str">
        <f>IF(Daily_Work[[#This Row],[Project_Name]]="","",_xlfn.XLOOKUP(Daily_Work[[#This Row],[Project_Name]],ProjectNames,ProjectList,"",0))</f>
        <v/>
      </c>
      <c r="K150">
        <f>IF(Daily_Work[[#This Row],[Emp_Status]]="Absent",0,1)</f>
        <v>1</v>
      </c>
      <c r="M150" s="2"/>
      <c r="N150" s="2">
        <f>Daily_Work[[#This Row],[Days_Work]]*8</f>
        <v>0</v>
      </c>
      <c r="O150" s="73">
        <f>IFERROR(Daily_Work[[#This Row],[Days_Work]]*_xlfn.XLOOKUP(Daily_Work[[#This Row],[Emp_ID]],Master_Employee[Emp_ID],Master_Employee[Daily_Rate],"",0),0)</f>
        <v>0</v>
      </c>
      <c r="P150" s="75">
        <f>IFERROR(Daily_Work[[#This Row],[OT_Hrs]]*_xlfn.XLOOKUP(Daily_Work[[#This Row],[Emp_ID]],Master_Employee[Emp_ID],Master_Employee[OT_Hr_Rate],0),0)</f>
        <v>0</v>
      </c>
    </row>
    <row r="151" spans="1:16" ht="19.5" customHeight="1">
      <c r="A151" s="6">
        <v>146</v>
      </c>
      <c r="B151" s="72"/>
      <c r="D151" s="66" t="str">
        <f>_xlfn.XLOOKUP(Daily_Work[[#This Row],[Emp_ID]],Master_Employee[Emp_ID],Master_Employee[Name_AR],"",0)</f>
        <v/>
      </c>
      <c r="E151" s="59" t="str">
        <f>_xlfn.XLOOKUP(Daily_Work[[#This Row],[Emp_ID]],Master_Employee[Emp_ID],Master_Employee[Name_EN],"",0)</f>
        <v/>
      </c>
      <c r="F151" s="37" t="str" cm="1">
        <f t="array" ref="F151">IF(Daily_Work[[#This Row],[Emp_ID]]=0,"",
_xlfn.XLOOKUP(Daily_Work[[#This Row],[Emp_ID]],Master_Employee[Emp_ID],EmpDepts,"",0)
)</f>
        <v/>
      </c>
      <c r="G151" s="31"/>
      <c r="I151" t="str">
        <f>IF(Daily_Work[[#This Row],[Project_Name]]="","",_xlfn.XLOOKUP(Daily_Work[[#This Row],[Project_Name]],ProjectNames,ProjectList,"",0))</f>
        <v/>
      </c>
      <c r="K151">
        <f>IF(Daily_Work[[#This Row],[Emp_Status]]="Absent",0,1)</f>
        <v>1</v>
      </c>
      <c r="M151" s="2"/>
      <c r="N151" s="2">
        <f>Daily_Work[[#This Row],[Days_Work]]*8</f>
        <v>0</v>
      </c>
      <c r="O151" s="73">
        <f>IFERROR(Daily_Work[[#This Row],[Days_Work]]*_xlfn.XLOOKUP(Daily_Work[[#This Row],[Emp_ID]],Master_Employee[Emp_ID],Master_Employee[Daily_Rate],"",0),0)</f>
        <v>0</v>
      </c>
      <c r="P151" s="75">
        <f>IFERROR(Daily_Work[[#This Row],[OT_Hrs]]*_xlfn.XLOOKUP(Daily_Work[[#This Row],[Emp_ID]],Master_Employee[Emp_ID],Master_Employee[OT_Hr_Rate],0),0)</f>
        <v>0</v>
      </c>
    </row>
    <row r="152" spans="1:16" ht="19.5" customHeight="1">
      <c r="A152" s="6">
        <v>147</v>
      </c>
      <c r="B152" s="72"/>
      <c r="D152" s="66" t="str">
        <f>_xlfn.XLOOKUP(Daily_Work[[#This Row],[Emp_ID]],Master_Employee[Emp_ID],Master_Employee[Name_AR],"",0)</f>
        <v/>
      </c>
      <c r="E152" s="59" t="str">
        <f>_xlfn.XLOOKUP(Daily_Work[[#This Row],[Emp_ID]],Master_Employee[Emp_ID],Master_Employee[Name_EN],"",0)</f>
        <v/>
      </c>
      <c r="F152" s="37" t="str" cm="1">
        <f t="array" ref="F152">IF(Daily_Work[[#This Row],[Emp_ID]]=0,"",
_xlfn.XLOOKUP(Daily_Work[[#This Row],[Emp_ID]],Master_Employee[Emp_ID],EmpDepts,"",0)
)</f>
        <v/>
      </c>
      <c r="G152" s="31"/>
      <c r="I152" t="str">
        <f>IF(Daily_Work[[#This Row],[Project_Name]]="","",_xlfn.XLOOKUP(Daily_Work[[#This Row],[Project_Name]],ProjectNames,ProjectList,"",0))</f>
        <v/>
      </c>
      <c r="K152">
        <f>IF(Daily_Work[[#This Row],[Emp_Status]]="Absent",0,1)</f>
        <v>1</v>
      </c>
      <c r="M152" s="2"/>
      <c r="N152" s="2">
        <f>Daily_Work[[#This Row],[Days_Work]]*8</f>
        <v>0</v>
      </c>
      <c r="O152" s="73">
        <f>IFERROR(Daily_Work[[#This Row],[Days_Work]]*_xlfn.XLOOKUP(Daily_Work[[#This Row],[Emp_ID]],Master_Employee[Emp_ID],Master_Employee[Daily_Rate],"",0),0)</f>
        <v>0</v>
      </c>
      <c r="P152" s="75">
        <f>IFERROR(Daily_Work[[#This Row],[OT_Hrs]]*_xlfn.XLOOKUP(Daily_Work[[#This Row],[Emp_ID]],Master_Employee[Emp_ID],Master_Employee[OT_Hr_Rate],0),0)</f>
        <v>0</v>
      </c>
    </row>
    <row r="153" spans="1:16" ht="19.5" customHeight="1">
      <c r="A153" s="6">
        <v>148</v>
      </c>
      <c r="B153" s="72"/>
      <c r="D153" s="66" t="str">
        <f>_xlfn.XLOOKUP(Daily_Work[[#This Row],[Emp_ID]],Master_Employee[Emp_ID],Master_Employee[Name_AR],"",0)</f>
        <v/>
      </c>
      <c r="E153" s="59" t="str">
        <f>_xlfn.XLOOKUP(Daily_Work[[#This Row],[Emp_ID]],Master_Employee[Emp_ID],Master_Employee[Name_EN],"",0)</f>
        <v/>
      </c>
      <c r="F153" s="37" t="str" cm="1">
        <f t="array" ref="F153">IF(Daily_Work[[#This Row],[Emp_ID]]=0,"",
_xlfn.XLOOKUP(Daily_Work[[#This Row],[Emp_ID]],Master_Employee[Emp_ID],EmpDepts,"",0)
)</f>
        <v/>
      </c>
      <c r="G153" s="31"/>
      <c r="I153" t="str">
        <f>IF(Daily_Work[[#This Row],[Project_Name]]="","",_xlfn.XLOOKUP(Daily_Work[[#This Row],[Project_Name]],ProjectNames,ProjectList,"",0))</f>
        <v/>
      </c>
      <c r="K153">
        <f>IF(Daily_Work[[#This Row],[Emp_Status]]="Absent",0,1)</f>
        <v>1</v>
      </c>
      <c r="M153" s="2"/>
      <c r="N153" s="2">
        <f>Daily_Work[[#This Row],[Days_Work]]*8</f>
        <v>0</v>
      </c>
      <c r="O153" s="73">
        <f>IFERROR(Daily_Work[[#This Row],[Days_Work]]*_xlfn.XLOOKUP(Daily_Work[[#This Row],[Emp_ID]],Master_Employee[Emp_ID],Master_Employee[Daily_Rate],"",0),0)</f>
        <v>0</v>
      </c>
      <c r="P153" s="75">
        <f>IFERROR(Daily_Work[[#This Row],[OT_Hrs]]*_xlfn.XLOOKUP(Daily_Work[[#This Row],[Emp_ID]],Master_Employee[Emp_ID],Master_Employee[OT_Hr_Rate],0),0)</f>
        <v>0</v>
      </c>
    </row>
    <row r="154" spans="1:16" ht="19.5" customHeight="1">
      <c r="A154" s="6">
        <v>149</v>
      </c>
      <c r="B154" s="72"/>
      <c r="D154" s="66" t="str">
        <f>_xlfn.XLOOKUP(Daily_Work[[#This Row],[Emp_ID]],Master_Employee[Emp_ID],Master_Employee[Name_AR],"",0)</f>
        <v/>
      </c>
      <c r="E154" s="59" t="str">
        <f>_xlfn.XLOOKUP(Daily_Work[[#This Row],[Emp_ID]],Master_Employee[Emp_ID],Master_Employee[Name_EN],"",0)</f>
        <v/>
      </c>
      <c r="F154" s="37" t="str" cm="1">
        <f t="array" ref="F154">IF(Daily_Work[[#This Row],[Emp_ID]]=0,"",
_xlfn.XLOOKUP(Daily_Work[[#This Row],[Emp_ID]],Master_Employee[Emp_ID],EmpDepts,"",0)
)</f>
        <v/>
      </c>
      <c r="G154" s="31"/>
      <c r="I154" t="str">
        <f>IF(Daily_Work[[#This Row],[Project_Name]]="","",_xlfn.XLOOKUP(Daily_Work[[#This Row],[Project_Name]],ProjectNames,ProjectList,"",0))</f>
        <v/>
      </c>
      <c r="K154">
        <f>IF(Daily_Work[[#This Row],[Emp_Status]]="Absent",0,1)</f>
        <v>1</v>
      </c>
      <c r="M154" s="2"/>
      <c r="N154" s="2">
        <f>Daily_Work[[#This Row],[Days_Work]]*8</f>
        <v>0</v>
      </c>
      <c r="O154" s="73">
        <f>IFERROR(Daily_Work[[#This Row],[Days_Work]]*_xlfn.XLOOKUP(Daily_Work[[#This Row],[Emp_ID]],Master_Employee[Emp_ID],Master_Employee[Daily_Rate],"",0),0)</f>
        <v>0</v>
      </c>
      <c r="P154" s="75">
        <f>IFERROR(Daily_Work[[#This Row],[OT_Hrs]]*_xlfn.XLOOKUP(Daily_Work[[#This Row],[Emp_ID]],Master_Employee[Emp_ID],Master_Employee[OT_Hr_Rate],0),0)</f>
        <v>0</v>
      </c>
    </row>
    <row r="155" spans="1:16" ht="19.5" customHeight="1">
      <c r="A155" s="6">
        <v>150</v>
      </c>
      <c r="B155" s="72"/>
      <c r="D155" s="66" t="str">
        <f>_xlfn.XLOOKUP(Daily_Work[[#This Row],[Emp_ID]],Master_Employee[Emp_ID],Master_Employee[Name_AR],"",0)</f>
        <v/>
      </c>
      <c r="E155" s="59" t="str">
        <f>_xlfn.XLOOKUP(Daily_Work[[#This Row],[Emp_ID]],Master_Employee[Emp_ID],Master_Employee[Name_EN],"",0)</f>
        <v/>
      </c>
      <c r="F155" s="37" t="str" cm="1">
        <f t="array" ref="F155">IF(Daily_Work[[#This Row],[Emp_ID]]=0,"",
_xlfn.XLOOKUP(Daily_Work[[#This Row],[Emp_ID]],Master_Employee[Emp_ID],EmpDepts,"",0)
)</f>
        <v/>
      </c>
      <c r="G155" s="31"/>
      <c r="I155" t="str">
        <f>IF(Daily_Work[[#This Row],[Project_Name]]="","",_xlfn.XLOOKUP(Daily_Work[[#This Row],[Project_Name]],ProjectNames,ProjectList,"",0))</f>
        <v/>
      </c>
      <c r="K155">
        <f>IF(Daily_Work[[#This Row],[Emp_Status]]="Absent",0,1)</f>
        <v>1</v>
      </c>
      <c r="M155" s="2"/>
      <c r="N155" s="2">
        <f>Daily_Work[[#This Row],[Days_Work]]*8</f>
        <v>0</v>
      </c>
      <c r="O155" s="73">
        <f>IFERROR(Daily_Work[[#This Row],[Days_Work]]*_xlfn.XLOOKUP(Daily_Work[[#This Row],[Emp_ID]],Master_Employee[Emp_ID],Master_Employee[Daily_Rate],"",0),0)</f>
        <v>0</v>
      </c>
      <c r="P155" s="75">
        <f>IFERROR(Daily_Work[[#This Row],[OT_Hrs]]*_xlfn.XLOOKUP(Daily_Work[[#This Row],[Emp_ID]],Master_Employee[Emp_ID],Master_Employee[OT_Hr_Rate],0),0)</f>
        <v>0</v>
      </c>
    </row>
    <row r="156" spans="1:16" ht="19.5" customHeight="1">
      <c r="A156" s="6">
        <v>151</v>
      </c>
      <c r="B156" s="72"/>
      <c r="D156" s="66" t="str">
        <f>_xlfn.XLOOKUP(Daily_Work[[#This Row],[Emp_ID]],Master_Employee[Emp_ID],Master_Employee[Name_AR],"",0)</f>
        <v/>
      </c>
      <c r="E156" s="59" t="str">
        <f>_xlfn.XLOOKUP(Daily_Work[[#This Row],[Emp_ID]],Master_Employee[Emp_ID],Master_Employee[Name_EN],"",0)</f>
        <v/>
      </c>
      <c r="F156" s="37" t="str" cm="1">
        <f t="array" ref="F156">IF(Daily_Work[[#This Row],[Emp_ID]]=0,"",
_xlfn.XLOOKUP(Daily_Work[[#This Row],[Emp_ID]],Master_Employee[Emp_ID],EmpDepts,"",0)
)</f>
        <v/>
      </c>
      <c r="G156" s="31"/>
      <c r="I156" t="str">
        <f>IF(Daily_Work[[#This Row],[Project_Name]]="","",_xlfn.XLOOKUP(Daily_Work[[#This Row],[Project_Name]],ProjectNames,ProjectList,"",0))</f>
        <v/>
      </c>
      <c r="K156">
        <f>IF(Daily_Work[[#This Row],[Emp_Status]]="Absent",0,1)</f>
        <v>1</v>
      </c>
      <c r="M156" s="2"/>
      <c r="N156" s="2">
        <f>Daily_Work[[#This Row],[Days_Work]]*8</f>
        <v>0</v>
      </c>
      <c r="O156" s="73">
        <f>IFERROR(Daily_Work[[#This Row],[Days_Work]]*_xlfn.XLOOKUP(Daily_Work[[#This Row],[Emp_ID]],Master_Employee[Emp_ID],Master_Employee[Daily_Rate],"",0),0)</f>
        <v>0</v>
      </c>
      <c r="P156" s="75">
        <f>IFERROR(Daily_Work[[#This Row],[OT_Hrs]]*_xlfn.XLOOKUP(Daily_Work[[#This Row],[Emp_ID]],Master_Employee[Emp_ID],Master_Employee[OT_Hr_Rate],0),0)</f>
        <v>0</v>
      </c>
    </row>
    <row r="157" spans="1:16" ht="19.5" customHeight="1">
      <c r="A157" s="6">
        <v>152</v>
      </c>
      <c r="B157" s="72"/>
      <c r="D157" s="66" t="str">
        <f>_xlfn.XLOOKUP(Daily_Work[[#This Row],[Emp_ID]],Master_Employee[Emp_ID],Master_Employee[Name_AR],"",0)</f>
        <v/>
      </c>
      <c r="E157" s="59" t="str">
        <f>_xlfn.XLOOKUP(Daily_Work[[#This Row],[Emp_ID]],Master_Employee[Emp_ID],Master_Employee[Name_EN],"",0)</f>
        <v/>
      </c>
      <c r="F157" s="37" t="str" cm="1">
        <f t="array" ref="F157">IF(Daily_Work[[#This Row],[Emp_ID]]=0,"",
_xlfn.XLOOKUP(Daily_Work[[#This Row],[Emp_ID]],Master_Employee[Emp_ID],EmpDepts,"",0)
)</f>
        <v/>
      </c>
      <c r="G157" s="31"/>
      <c r="I157" t="str">
        <f>IF(Daily_Work[[#This Row],[Project_Name]]="","",_xlfn.XLOOKUP(Daily_Work[[#This Row],[Project_Name]],ProjectNames,ProjectList,"",0))</f>
        <v/>
      </c>
      <c r="K157">
        <f>IF(Daily_Work[[#This Row],[Emp_Status]]="Absent",0,1)</f>
        <v>1</v>
      </c>
      <c r="M157" s="2"/>
      <c r="N157" s="2">
        <f>Daily_Work[[#This Row],[Days_Work]]*8</f>
        <v>0</v>
      </c>
      <c r="O157" s="73">
        <f>IFERROR(Daily_Work[[#This Row],[Days_Work]]*_xlfn.XLOOKUP(Daily_Work[[#This Row],[Emp_ID]],Master_Employee[Emp_ID],Master_Employee[Daily_Rate],"",0),0)</f>
        <v>0</v>
      </c>
      <c r="P157" s="75">
        <f>IFERROR(Daily_Work[[#This Row],[OT_Hrs]]*_xlfn.XLOOKUP(Daily_Work[[#This Row],[Emp_ID]],Master_Employee[Emp_ID],Master_Employee[OT_Hr_Rate],0),0)</f>
        <v>0</v>
      </c>
    </row>
    <row r="158" spans="1:16" ht="19.5" customHeight="1">
      <c r="A158" s="6">
        <v>153</v>
      </c>
      <c r="B158" s="72"/>
      <c r="D158" s="66" t="str">
        <f>_xlfn.XLOOKUP(Daily_Work[[#This Row],[Emp_ID]],Master_Employee[Emp_ID],Master_Employee[Name_AR],"",0)</f>
        <v/>
      </c>
      <c r="E158" s="59" t="str">
        <f>_xlfn.XLOOKUP(Daily_Work[[#This Row],[Emp_ID]],Master_Employee[Emp_ID],Master_Employee[Name_EN],"",0)</f>
        <v/>
      </c>
      <c r="F158" s="37" t="str" cm="1">
        <f t="array" ref="F158">IF(Daily_Work[[#This Row],[Emp_ID]]=0,"",
_xlfn.XLOOKUP(Daily_Work[[#This Row],[Emp_ID]],Master_Employee[Emp_ID],EmpDepts,"",0)
)</f>
        <v/>
      </c>
      <c r="G158" s="31"/>
      <c r="I158" t="str">
        <f>IF(Daily_Work[[#This Row],[Project_Name]]="","",_xlfn.XLOOKUP(Daily_Work[[#This Row],[Project_Name]],ProjectNames,ProjectList,"",0))</f>
        <v/>
      </c>
      <c r="K158">
        <f>IF(Daily_Work[[#This Row],[Emp_Status]]="Absent",0,1)</f>
        <v>1</v>
      </c>
      <c r="M158" s="2"/>
      <c r="N158" s="2">
        <f>Daily_Work[[#This Row],[Days_Work]]*8</f>
        <v>0</v>
      </c>
      <c r="O158" s="73">
        <f>IFERROR(Daily_Work[[#This Row],[Days_Work]]*_xlfn.XLOOKUP(Daily_Work[[#This Row],[Emp_ID]],Master_Employee[Emp_ID],Master_Employee[Daily_Rate],"",0),0)</f>
        <v>0</v>
      </c>
      <c r="P158" s="75">
        <f>IFERROR(Daily_Work[[#This Row],[OT_Hrs]]*_xlfn.XLOOKUP(Daily_Work[[#This Row],[Emp_ID]],Master_Employee[Emp_ID],Master_Employee[OT_Hr_Rate],0),0)</f>
        <v>0</v>
      </c>
    </row>
    <row r="159" spans="1:16" ht="19.5" customHeight="1">
      <c r="A159" s="6">
        <v>154</v>
      </c>
      <c r="B159" s="72"/>
      <c r="D159" s="66" t="str">
        <f>_xlfn.XLOOKUP(Daily_Work[[#This Row],[Emp_ID]],Master_Employee[Emp_ID],Master_Employee[Name_AR],"",0)</f>
        <v/>
      </c>
      <c r="E159" s="59" t="str">
        <f>_xlfn.XLOOKUP(Daily_Work[[#This Row],[Emp_ID]],Master_Employee[Emp_ID],Master_Employee[Name_EN],"",0)</f>
        <v/>
      </c>
      <c r="F159" s="37" t="str" cm="1">
        <f t="array" ref="F159">IF(Daily_Work[[#This Row],[Emp_ID]]=0,"",
_xlfn.XLOOKUP(Daily_Work[[#This Row],[Emp_ID]],Master_Employee[Emp_ID],EmpDepts,"",0)
)</f>
        <v/>
      </c>
      <c r="G159" s="31"/>
      <c r="I159" t="str">
        <f>IF(Daily_Work[[#This Row],[Project_Name]]="","",_xlfn.XLOOKUP(Daily_Work[[#This Row],[Project_Name]],ProjectNames,ProjectList,"",0))</f>
        <v/>
      </c>
      <c r="K159">
        <f>IF(Daily_Work[[#This Row],[Emp_Status]]="Absent",0,1)</f>
        <v>1</v>
      </c>
      <c r="M159" s="2"/>
      <c r="N159" s="2">
        <f>Daily_Work[[#This Row],[Days_Work]]*8</f>
        <v>0</v>
      </c>
      <c r="O159" s="73">
        <f>IFERROR(Daily_Work[[#This Row],[Days_Work]]*_xlfn.XLOOKUP(Daily_Work[[#This Row],[Emp_ID]],Master_Employee[Emp_ID],Master_Employee[Daily_Rate],"",0),0)</f>
        <v>0</v>
      </c>
      <c r="P159" s="75">
        <f>IFERROR(Daily_Work[[#This Row],[OT_Hrs]]*_xlfn.XLOOKUP(Daily_Work[[#This Row],[Emp_ID]],Master_Employee[Emp_ID],Master_Employee[OT_Hr_Rate],0),0)</f>
        <v>0</v>
      </c>
    </row>
    <row r="160" spans="1:16" ht="19.5" customHeight="1">
      <c r="A160" s="6">
        <v>155</v>
      </c>
      <c r="B160" s="72"/>
      <c r="D160" s="66" t="str">
        <f>_xlfn.XLOOKUP(Daily_Work[[#This Row],[Emp_ID]],Master_Employee[Emp_ID],Master_Employee[Name_AR],"",0)</f>
        <v/>
      </c>
      <c r="E160" s="59" t="str">
        <f>_xlfn.XLOOKUP(Daily_Work[[#This Row],[Emp_ID]],Master_Employee[Emp_ID],Master_Employee[Name_EN],"",0)</f>
        <v/>
      </c>
      <c r="F160" s="37" t="str" cm="1">
        <f t="array" ref="F160">IF(Daily_Work[[#This Row],[Emp_ID]]=0,"",
_xlfn.XLOOKUP(Daily_Work[[#This Row],[Emp_ID]],Master_Employee[Emp_ID],EmpDepts,"",0)
)</f>
        <v/>
      </c>
      <c r="G160" s="31"/>
      <c r="I160" t="str">
        <f>IF(Daily_Work[[#This Row],[Project_Name]]="","",_xlfn.XLOOKUP(Daily_Work[[#This Row],[Project_Name]],ProjectNames,ProjectList,"",0))</f>
        <v/>
      </c>
      <c r="K160">
        <f>IF(Daily_Work[[#This Row],[Emp_Status]]="Absent",0,1)</f>
        <v>1</v>
      </c>
      <c r="M160" s="2"/>
      <c r="N160" s="2">
        <f>Daily_Work[[#This Row],[Days_Work]]*8</f>
        <v>0</v>
      </c>
      <c r="O160" s="73">
        <f>IFERROR(Daily_Work[[#This Row],[Days_Work]]*_xlfn.XLOOKUP(Daily_Work[[#This Row],[Emp_ID]],Master_Employee[Emp_ID],Master_Employee[Daily_Rate],"",0),0)</f>
        <v>0</v>
      </c>
      <c r="P160" s="75">
        <f>IFERROR(Daily_Work[[#This Row],[OT_Hrs]]*_xlfn.XLOOKUP(Daily_Work[[#This Row],[Emp_ID]],Master_Employee[Emp_ID],Master_Employee[OT_Hr_Rate],0),0)</f>
        <v>0</v>
      </c>
    </row>
    <row r="161" spans="1:16" ht="19.5" customHeight="1">
      <c r="A161" s="6">
        <v>156</v>
      </c>
      <c r="B161" s="72"/>
      <c r="D161" s="66" t="str">
        <f>_xlfn.XLOOKUP(Daily_Work[[#This Row],[Emp_ID]],Master_Employee[Emp_ID],Master_Employee[Name_AR],"",0)</f>
        <v/>
      </c>
      <c r="E161" s="59" t="str">
        <f>_xlfn.XLOOKUP(Daily_Work[[#This Row],[Emp_ID]],Master_Employee[Emp_ID],Master_Employee[Name_EN],"",0)</f>
        <v/>
      </c>
      <c r="F161" s="37" t="str" cm="1">
        <f t="array" ref="F161">IF(Daily_Work[[#This Row],[Emp_ID]]=0,"",
_xlfn.XLOOKUP(Daily_Work[[#This Row],[Emp_ID]],Master_Employee[Emp_ID],EmpDepts,"",0)
)</f>
        <v/>
      </c>
      <c r="G161" s="31"/>
      <c r="I161" t="str">
        <f>IF(Daily_Work[[#This Row],[Project_Name]]="","",_xlfn.XLOOKUP(Daily_Work[[#This Row],[Project_Name]],ProjectNames,ProjectList,"",0))</f>
        <v/>
      </c>
      <c r="K161">
        <f>IF(Daily_Work[[#This Row],[Emp_Status]]="Absent",0,1)</f>
        <v>1</v>
      </c>
      <c r="M161" s="2"/>
      <c r="N161" s="2">
        <f>Daily_Work[[#This Row],[Days_Work]]*8</f>
        <v>0</v>
      </c>
      <c r="O161" s="73">
        <f>IFERROR(Daily_Work[[#This Row],[Days_Work]]*_xlfn.XLOOKUP(Daily_Work[[#This Row],[Emp_ID]],Master_Employee[Emp_ID],Master_Employee[Daily_Rate],"",0),0)</f>
        <v>0</v>
      </c>
      <c r="P161" s="75">
        <f>IFERROR(Daily_Work[[#This Row],[OT_Hrs]]*_xlfn.XLOOKUP(Daily_Work[[#This Row],[Emp_ID]],Master_Employee[Emp_ID],Master_Employee[OT_Hr_Rate],0),0)</f>
        <v>0</v>
      </c>
    </row>
    <row r="162" spans="1:16" ht="19.5" customHeight="1">
      <c r="A162" s="6">
        <v>157</v>
      </c>
      <c r="B162" s="72"/>
      <c r="D162" s="66" t="str">
        <f>_xlfn.XLOOKUP(Daily_Work[[#This Row],[Emp_ID]],Master_Employee[Emp_ID],Master_Employee[Name_AR],"",0)</f>
        <v/>
      </c>
      <c r="E162" s="59" t="str">
        <f>_xlfn.XLOOKUP(Daily_Work[[#This Row],[Emp_ID]],Master_Employee[Emp_ID],Master_Employee[Name_EN],"",0)</f>
        <v/>
      </c>
      <c r="F162" s="37" t="str" cm="1">
        <f t="array" ref="F162">IF(Daily_Work[[#This Row],[Emp_ID]]=0,"",
_xlfn.XLOOKUP(Daily_Work[[#This Row],[Emp_ID]],Master_Employee[Emp_ID],EmpDepts,"",0)
)</f>
        <v/>
      </c>
      <c r="G162" s="31"/>
      <c r="I162" t="str">
        <f>IF(Daily_Work[[#This Row],[Project_Name]]="","",_xlfn.XLOOKUP(Daily_Work[[#This Row],[Project_Name]],ProjectNames,ProjectList,"",0))</f>
        <v/>
      </c>
      <c r="K162">
        <f>IF(Daily_Work[[#This Row],[Emp_Status]]="Absent",0,1)</f>
        <v>1</v>
      </c>
      <c r="M162" s="2"/>
      <c r="N162" s="2">
        <f>Daily_Work[[#This Row],[Days_Work]]*8</f>
        <v>0</v>
      </c>
      <c r="O162" s="73">
        <f>IFERROR(Daily_Work[[#This Row],[Days_Work]]*_xlfn.XLOOKUP(Daily_Work[[#This Row],[Emp_ID]],Master_Employee[Emp_ID],Master_Employee[Daily_Rate],"",0),0)</f>
        <v>0</v>
      </c>
      <c r="P162" s="75">
        <f>IFERROR(Daily_Work[[#This Row],[OT_Hrs]]*_xlfn.XLOOKUP(Daily_Work[[#This Row],[Emp_ID]],Master_Employee[Emp_ID],Master_Employee[OT_Hr_Rate],0),0)</f>
        <v>0</v>
      </c>
    </row>
    <row r="163" spans="1:16" ht="19.5" customHeight="1">
      <c r="A163" s="6">
        <v>158</v>
      </c>
      <c r="B163" s="72"/>
      <c r="D163" s="66" t="str">
        <f>_xlfn.XLOOKUP(Daily_Work[[#This Row],[Emp_ID]],Master_Employee[Emp_ID],Master_Employee[Name_AR],"",0)</f>
        <v/>
      </c>
      <c r="E163" s="59" t="str">
        <f>_xlfn.XLOOKUP(Daily_Work[[#This Row],[Emp_ID]],Master_Employee[Emp_ID],Master_Employee[Name_EN],"",0)</f>
        <v/>
      </c>
      <c r="F163" s="37" t="str" cm="1">
        <f t="array" ref="F163">IF(Daily_Work[[#This Row],[Emp_ID]]=0,"",
_xlfn.XLOOKUP(Daily_Work[[#This Row],[Emp_ID]],Master_Employee[Emp_ID],EmpDepts,"",0)
)</f>
        <v/>
      </c>
      <c r="G163" s="31"/>
      <c r="I163" t="str">
        <f>IF(Daily_Work[[#This Row],[Project_Name]]="","",_xlfn.XLOOKUP(Daily_Work[[#This Row],[Project_Name]],ProjectNames,ProjectList,"",0))</f>
        <v/>
      </c>
      <c r="K163">
        <f>IF(Daily_Work[[#This Row],[Emp_Status]]="Absent",0,1)</f>
        <v>1</v>
      </c>
      <c r="M163" s="2"/>
      <c r="N163" s="2">
        <f>Daily_Work[[#This Row],[Days_Work]]*8</f>
        <v>0</v>
      </c>
      <c r="O163" s="73">
        <f>IFERROR(Daily_Work[[#This Row],[Days_Work]]*_xlfn.XLOOKUP(Daily_Work[[#This Row],[Emp_ID]],Master_Employee[Emp_ID],Master_Employee[Daily_Rate],"",0),0)</f>
        <v>0</v>
      </c>
      <c r="P163" s="75">
        <f>IFERROR(Daily_Work[[#This Row],[OT_Hrs]]*_xlfn.XLOOKUP(Daily_Work[[#This Row],[Emp_ID]],Master_Employee[Emp_ID],Master_Employee[OT_Hr_Rate],0),0)</f>
        <v>0</v>
      </c>
    </row>
    <row r="164" spans="1:16" ht="19.5" customHeight="1">
      <c r="A164" s="6">
        <v>159</v>
      </c>
      <c r="B164" s="72"/>
      <c r="D164" s="66" t="str">
        <f>_xlfn.XLOOKUP(Daily_Work[[#This Row],[Emp_ID]],Master_Employee[Emp_ID],Master_Employee[Name_AR],"",0)</f>
        <v/>
      </c>
      <c r="E164" s="59" t="str">
        <f>_xlfn.XLOOKUP(Daily_Work[[#This Row],[Emp_ID]],Master_Employee[Emp_ID],Master_Employee[Name_EN],"",0)</f>
        <v/>
      </c>
      <c r="F164" s="37" t="str" cm="1">
        <f t="array" ref="F164">IF(Daily_Work[[#This Row],[Emp_ID]]=0,"",
_xlfn.XLOOKUP(Daily_Work[[#This Row],[Emp_ID]],Master_Employee[Emp_ID],EmpDepts,"",0)
)</f>
        <v/>
      </c>
      <c r="G164" s="31"/>
      <c r="I164" t="str">
        <f>IF(Daily_Work[[#This Row],[Project_Name]]="","",_xlfn.XLOOKUP(Daily_Work[[#This Row],[Project_Name]],ProjectNames,ProjectList,"",0))</f>
        <v/>
      </c>
      <c r="K164">
        <f>IF(Daily_Work[[#This Row],[Emp_Status]]="Absent",0,1)</f>
        <v>1</v>
      </c>
      <c r="M164" s="2"/>
      <c r="N164" s="2">
        <f>Daily_Work[[#This Row],[Days_Work]]*8</f>
        <v>0</v>
      </c>
      <c r="O164" s="73">
        <f>IFERROR(Daily_Work[[#This Row],[Days_Work]]*_xlfn.XLOOKUP(Daily_Work[[#This Row],[Emp_ID]],Master_Employee[Emp_ID],Master_Employee[Daily_Rate],"",0),0)</f>
        <v>0</v>
      </c>
      <c r="P164" s="75">
        <f>IFERROR(Daily_Work[[#This Row],[OT_Hrs]]*_xlfn.XLOOKUP(Daily_Work[[#This Row],[Emp_ID]],Master_Employee[Emp_ID],Master_Employee[OT_Hr_Rate],0),0)</f>
        <v>0</v>
      </c>
    </row>
    <row r="165" spans="1:16" ht="19.5" customHeight="1">
      <c r="A165" s="6">
        <v>160</v>
      </c>
      <c r="B165" s="72"/>
      <c r="D165" s="66" t="str">
        <f>_xlfn.XLOOKUP(Daily_Work[[#This Row],[Emp_ID]],Master_Employee[Emp_ID],Master_Employee[Name_AR],"",0)</f>
        <v/>
      </c>
      <c r="E165" s="59" t="str">
        <f>_xlfn.XLOOKUP(Daily_Work[[#This Row],[Emp_ID]],Master_Employee[Emp_ID],Master_Employee[Name_EN],"",0)</f>
        <v/>
      </c>
      <c r="F165" s="37" t="str" cm="1">
        <f t="array" ref="F165">IF(Daily_Work[[#This Row],[Emp_ID]]=0,"",
_xlfn.XLOOKUP(Daily_Work[[#This Row],[Emp_ID]],Master_Employee[Emp_ID],EmpDepts,"",0)
)</f>
        <v/>
      </c>
      <c r="G165" s="31"/>
      <c r="I165" t="str">
        <f>IF(Daily_Work[[#This Row],[Project_Name]]="","",_xlfn.XLOOKUP(Daily_Work[[#This Row],[Project_Name]],ProjectNames,ProjectList,"",0))</f>
        <v/>
      </c>
      <c r="K165">
        <f>IF(Daily_Work[[#This Row],[Emp_Status]]="Absent",0,1)</f>
        <v>1</v>
      </c>
      <c r="M165" s="2"/>
      <c r="N165" s="2">
        <f>Daily_Work[[#This Row],[Days_Work]]*8</f>
        <v>0</v>
      </c>
      <c r="O165" s="73">
        <f>IFERROR(Daily_Work[[#This Row],[Days_Work]]*_xlfn.XLOOKUP(Daily_Work[[#This Row],[Emp_ID]],Master_Employee[Emp_ID],Master_Employee[Daily_Rate],"",0),0)</f>
        <v>0</v>
      </c>
      <c r="P165" s="75">
        <f>IFERROR(Daily_Work[[#This Row],[OT_Hrs]]*_xlfn.XLOOKUP(Daily_Work[[#This Row],[Emp_ID]],Master_Employee[Emp_ID],Master_Employee[OT_Hr_Rate],0),0)</f>
        <v>0</v>
      </c>
    </row>
    <row r="166" spans="1:16" ht="19.5" customHeight="1">
      <c r="A166" s="6">
        <v>161</v>
      </c>
      <c r="B166" s="72"/>
      <c r="D166" s="66" t="str">
        <f>_xlfn.XLOOKUP(Daily_Work[[#This Row],[Emp_ID]],Master_Employee[Emp_ID],Master_Employee[Name_AR],"",0)</f>
        <v/>
      </c>
      <c r="E166" s="59" t="str">
        <f>_xlfn.XLOOKUP(Daily_Work[[#This Row],[Emp_ID]],Master_Employee[Emp_ID],Master_Employee[Name_EN],"",0)</f>
        <v/>
      </c>
      <c r="F166" s="37" t="str" cm="1">
        <f t="array" ref="F166">IF(Daily_Work[[#This Row],[Emp_ID]]=0,"",
_xlfn.XLOOKUP(Daily_Work[[#This Row],[Emp_ID]],Master_Employee[Emp_ID],EmpDepts,"",0)
)</f>
        <v/>
      </c>
      <c r="G166" s="31"/>
      <c r="I166" t="str">
        <f>IF(Daily_Work[[#This Row],[Project_Name]]="","",_xlfn.XLOOKUP(Daily_Work[[#This Row],[Project_Name]],ProjectNames,ProjectList,"",0))</f>
        <v/>
      </c>
      <c r="K166">
        <f>IF(Daily_Work[[#This Row],[Emp_Status]]="Absent",0,1)</f>
        <v>1</v>
      </c>
      <c r="M166" s="2"/>
      <c r="N166" s="2">
        <f>Daily_Work[[#This Row],[Days_Work]]*8</f>
        <v>0</v>
      </c>
      <c r="O166" s="73">
        <f>IFERROR(Daily_Work[[#This Row],[Days_Work]]*_xlfn.XLOOKUP(Daily_Work[[#This Row],[Emp_ID]],Master_Employee[Emp_ID],Master_Employee[Daily_Rate],"",0),0)</f>
        <v>0</v>
      </c>
      <c r="P166" s="75">
        <f>IFERROR(Daily_Work[[#This Row],[OT_Hrs]]*_xlfn.XLOOKUP(Daily_Work[[#This Row],[Emp_ID]],Master_Employee[Emp_ID],Master_Employee[OT_Hr_Rate],0),0)</f>
        <v>0</v>
      </c>
    </row>
    <row r="167" spans="1:16" ht="19.5" customHeight="1">
      <c r="A167" s="6">
        <v>162</v>
      </c>
      <c r="B167" s="72"/>
      <c r="D167" s="66" t="str">
        <f>_xlfn.XLOOKUP(Daily_Work[[#This Row],[Emp_ID]],Master_Employee[Emp_ID],Master_Employee[Name_AR],"",0)</f>
        <v/>
      </c>
      <c r="E167" s="59" t="str">
        <f>_xlfn.XLOOKUP(Daily_Work[[#This Row],[Emp_ID]],Master_Employee[Emp_ID],Master_Employee[Name_EN],"",0)</f>
        <v/>
      </c>
      <c r="F167" s="37" t="str" cm="1">
        <f t="array" ref="F167">IF(Daily_Work[[#This Row],[Emp_ID]]=0,"",
_xlfn.XLOOKUP(Daily_Work[[#This Row],[Emp_ID]],Master_Employee[Emp_ID],EmpDepts,"",0)
)</f>
        <v/>
      </c>
      <c r="G167" s="31"/>
      <c r="I167" t="str">
        <f>IF(Daily_Work[[#This Row],[Project_Name]]="","",_xlfn.XLOOKUP(Daily_Work[[#This Row],[Project_Name]],ProjectNames,ProjectList,"",0))</f>
        <v/>
      </c>
      <c r="K167">
        <f>IF(Daily_Work[[#This Row],[Emp_Status]]="Absent",0,1)</f>
        <v>1</v>
      </c>
      <c r="M167" s="2"/>
      <c r="N167" s="2">
        <f>Daily_Work[[#This Row],[Days_Work]]*8</f>
        <v>0</v>
      </c>
      <c r="O167" s="73">
        <f>IFERROR(Daily_Work[[#This Row],[Days_Work]]*_xlfn.XLOOKUP(Daily_Work[[#This Row],[Emp_ID]],Master_Employee[Emp_ID],Master_Employee[Daily_Rate],"",0),0)</f>
        <v>0</v>
      </c>
      <c r="P167" s="75">
        <f>IFERROR(Daily_Work[[#This Row],[OT_Hrs]]*_xlfn.XLOOKUP(Daily_Work[[#This Row],[Emp_ID]],Master_Employee[Emp_ID],Master_Employee[OT_Hr_Rate],0),0)</f>
        <v>0</v>
      </c>
    </row>
    <row r="168" spans="1:16" ht="19.5" customHeight="1">
      <c r="A168" s="6">
        <v>163</v>
      </c>
      <c r="B168" s="72"/>
      <c r="D168" s="66" t="str">
        <f>_xlfn.XLOOKUP(Daily_Work[[#This Row],[Emp_ID]],Master_Employee[Emp_ID],Master_Employee[Name_AR],"",0)</f>
        <v/>
      </c>
      <c r="E168" s="59" t="str">
        <f>_xlfn.XLOOKUP(Daily_Work[[#This Row],[Emp_ID]],Master_Employee[Emp_ID],Master_Employee[Name_EN],"",0)</f>
        <v/>
      </c>
      <c r="F168" s="37" t="str" cm="1">
        <f t="array" ref="F168">IF(Daily_Work[[#This Row],[Emp_ID]]=0,"",
_xlfn.XLOOKUP(Daily_Work[[#This Row],[Emp_ID]],Master_Employee[Emp_ID],EmpDepts,"",0)
)</f>
        <v/>
      </c>
      <c r="G168" s="31"/>
      <c r="I168" t="str">
        <f>IF(Daily_Work[[#This Row],[Project_Name]]="","",_xlfn.XLOOKUP(Daily_Work[[#This Row],[Project_Name]],ProjectNames,ProjectList,"",0))</f>
        <v/>
      </c>
      <c r="K168">
        <f>IF(Daily_Work[[#This Row],[Emp_Status]]="Absent",0,1)</f>
        <v>1</v>
      </c>
      <c r="M168" s="2"/>
      <c r="N168" s="2">
        <f>Daily_Work[[#This Row],[Days_Work]]*8</f>
        <v>0</v>
      </c>
      <c r="O168" s="73">
        <f>IFERROR(Daily_Work[[#This Row],[Days_Work]]*_xlfn.XLOOKUP(Daily_Work[[#This Row],[Emp_ID]],Master_Employee[Emp_ID],Master_Employee[Daily_Rate],"",0),0)</f>
        <v>0</v>
      </c>
      <c r="P168" s="75">
        <f>IFERROR(Daily_Work[[#This Row],[OT_Hrs]]*_xlfn.XLOOKUP(Daily_Work[[#This Row],[Emp_ID]],Master_Employee[Emp_ID],Master_Employee[OT_Hr_Rate],0),0)</f>
        <v>0</v>
      </c>
    </row>
    <row r="169" spans="1:16" ht="19.5" customHeight="1">
      <c r="A169" s="6">
        <v>164</v>
      </c>
      <c r="B169" s="72"/>
      <c r="D169" s="66" t="str">
        <f>_xlfn.XLOOKUP(Daily_Work[[#This Row],[Emp_ID]],Master_Employee[Emp_ID],Master_Employee[Name_AR],"",0)</f>
        <v/>
      </c>
      <c r="E169" s="59" t="str">
        <f>_xlfn.XLOOKUP(Daily_Work[[#This Row],[Emp_ID]],Master_Employee[Emp_ID],Master_Employee[Name_EN],"",0)</f>
        <v/>
      </c>
      <c r="F169" s="37" t="str" cm="1">
        <f t="array" ref="F169">IF(Daily_Work[[#This Row],[Emp_ID]]=0,"",
_xlfn.XLOOKUP(Daily_Work[[#This Row],[Emp_ID]],Master_Employee[Emp_ID],EmpDepts,"",0)
)</f>
        <v/>
      </c>
      <c r="G169" s="31"/>
      <c r="I169" t="str">
        <f>IF(Daily_Work[[#This Row],[Project_Name]]="","",_xlfn.XLOOKUP(Daily_Work[[#This Row],[Project_Name]],ProjectNames,ProjectList,"",0))</f>
        <v/>
      </c>
      <c r="K169">
        <f>IF(Daily_Work[[#This Row],[Emp_Status]]="Absent",0,1)</f>
        <v>1</v>
      </c>
      <c r="M169" s="2"/>
      <c r="N169" s="2">
        <f>Daily_Work[[#This Row],[Days_Work]]*8</f>
        <v>0</v>
      </c>
      <c r="O169" s="73">
        <f>IFERROR(Daily_Work[[#This Row],[Days_Work]]*_xlfn.XLOOKUP(Daily_Work[[#This Row],[Emp_ID]],Master_Employee[Emp_ID],Master_Employee[Daily_Rate],"",0),0)</f>
        <v>0</v>
      </c>
      <c r="P169" s="75">
        <f>IFERROR(Daily_Work[[#This Row],[OT_Hrs]]*_xlfn.XLOOKUP(Daily_Work[[#This Row],[Emp_ID]],Master_Employee[Emp_ID],Master_Employee[OT_Hr_Rate],0),0)</f>
        <v>0</v>
      </c>
    </row>
    <row r="170" spans="1:16" ht="19.5" customHeight="1">
      <c r="A170" s="6">
        <v>165</v>
      </c>
      <c r="B170" s="72"/>
      <c r="D170" s="66" t="str">
        <f>_xlfn.XLOOKUP(Daily_Work[[#This Row],[Emp_ID]],Master_Employee[Emp_ID],Master_Employee[Name_AR],"",0)</f>
        <v/>
      </c>
      <c r="E170" s="59" t="str">
        <f>_xlfn.XLOOKUP(Daily_Work[[#This Row],[Emp_ID]],Master_Employee[Emp_ID],Master_Employee[Name_EN],"",0)</f>
        <v/>
      </c>
      <c r="F170" s="37" t="str" cm="1">
        <f t="array" ref="F170">IF(Daily_Work[[#This Row],[Emp_ID]]=0,"",
_xlfn.XLOOKUP(Daily_Work[[#This Row],[Emp_ID]],Master_Employee[Emp_ID],EmpDepts,"",0)
)</f>
        <v/>
      </c>
      <c r="G170" s="31"/>
      <c r="I170" t="str">
        <f>IF(Daily_Work[[#This Row],[Project_Name]]="","",_xlfn.XLOOKUP(Daily_Work[[#This Row],[Project_Name]],ProjectNames,ProjectList,"",0))</f>
        <v/>
      </c>
      <c r="K170">
        <f>IF(Daily_Work[[#This Row],[Emp_Status]]="Absent",0,1)</f>
        <v>1</v>
      </c>
      <c r="M170" s="2"/>
      <c r="N170" s="2">
        <f>Daily_Work[[#This Row],[Days_Work]]*8</f>
        <v>0</v>
      </c>
      <c r="O170" s="73">
        <f>IFERROR(Daily_Work[[#This Row],[Days_Work]]*_xlfn.XLOOKUP(Daily_Work[[#This Row],[Emp_ID]],Master_Employee[Emp_ID],Master_Employee[Daily_Rate],"",0),0)</f>
        <v>0</v>
      </c>
      <c r="P170" s="75">
        <f>IFERROR(Daily_Work[[#This Row],[OT_Hrs]]*_xlfn.XLOOKUP(Daily_Work[[#This Row],[Emp_ID]],Master_Employee[Emp_ID],Master_Employee[OT_Hr_Rate],0),0)</f>
        <v>0</v>
      </c>
    </row>
    <row r="171" spans="1:16" ht="19.5" customHeight="1">
      <c r="A171" s="6">
        <v>166</v>
      </c>
      <c r="B171" s="72"/>
      <c r="D171" s="66" t="str">
        <f>_xlfn.XLOOKUP(Daily_Work[[#This Row],[Emp_ID]],Master_Employee[Emp_ID],Master_Employee[Name_AR],"",0)</f>
        <v/>
      </c>
      <c r="E171" s="59" t="str">
        <f>_xlfn.XLOOKUP(Daily_Work[[#This Row],[Emp_ID]],Master_Employee[Emp_ID],Master_Employee[Name_EN],"",0)</f>
        <v/>
      </c>
      <c r="F171" s="37" t="str" cm="1">
        <f t="array" ref="F171">IF(Daily_Work[[#This Row],[Emp_ID]]=0,"",
_xlfn.XLOOKUP(Daily_Work[[#This Row],[Emp_ID]],Master_Employee[Emp_ID],EmpDepts,"",0)
)</f>
        <v/>
      </c>
      <c r="G171" s="31"/>
      <c r="I171" t="str">
        <f>IF(Daily_Work[[#This Row],[Project_Name]]="","",_xlfn.XLOOKUP(Daily_Work[[#This Row],[Project_Name]],ProjectNames,ProjectList,"",0))</f>
        <v/>
      </c>
      <c r="K171">
        <f>IF(Daily_Work[[#This Row],[Emp_Status]]="Absent",0,1)</f>
        <v>1</v>
      </c>
      <c r="M171" s="2"/>
      <c r="N171" s="2">
        <f>Daily_Work[[#This Row],[Days_Work]]*8</f>
        <v>0</v>
      </c>
      <c r="O171" s="73">
        <f>IFERROR(Daily_Work[[#This Row],[Days_Work]]*_xlfn.XLOOKUP(Daily_Work[[#This Row],[Emp_ID]],Master_Employee[Emp_ID],Master_Employee[Daily_Rate],"",0),0)</f>
        <v>0</v>
      </c>
      <c r="P171" s="75">
        <f>IFERROR(Daily_Work[[#This Row],[OT_Hrs]]*_xlfn.XLOOKUP(Daily_Work[[#This Row],[Emp_ID]],Master_Employee[Emp_ID],Master_Employee[OT_Hr_Rate],0),0)</f>
        <v>0</v>
      </c>
    </row>
    <row r="172" spans="1:16" ht="19.5" customHeight="1">
      <c r="A172" s="6">
        <v>167</v>
      </c>
      <c r="B172" s="72"/>
      <c r="D172" s="66" t="str">
        <f>_xlfn.XLOOKUP(Daily_Work[[#This Row],[Emp_ID]],Master_Employee[Emp_ID],Master_Employee[Name_AR],"",0)</f>
        <v/>
      </c>
      <c r="E172" s="59" t="str">
        <f>_xlfn.XLOOKUP(Daily_Work[[#This Row],[Emp_ID]],Master_Employee[Emp_ID],Master_Employee[Name_EN],"",0)</f>
        <v/>
      </c>
      <c r="F172" s="37" t="str" cm="1">
        <f t="array" ref="F172">IF(Daily_Work[[#This Row],[Emp_ID]]=0,"",
_xlfn.XLOOKUP(Daily_Work[[#This Row],[Emp_ID]],Master_Employee[Emp_ID],EmpDepts,"",0)
)</f>
        <v/>
      </c>
      <c r="G172" s="31"/>
      <c r="I172" t="str">
        <f>IF(Daily_Work[[#This Row],[Project_Name]]="","",_xlfn.XLOOKUP(Daily_Work[[#This Row],[Project_Name]],ProjectNames,ProjectList,"",0))</f>
        <v/>
      </c>
      <c r="K172">
        <f>IF(Daily_Work[[#This Row],[Emp_Status]]="Absent",0,1)</f>
        <v>1</v>
      </c>
      <c r="M172" s="2"/>
      <c r="N172" s="2">
        <f>Daily_Work[[#This Row],[Days_Work]]*8</f>
        <v>0</v>
      </c>
      <c r="O172" s="73">
        <f>IFERROR(Daily_Work[[#This Row],[Days_Work]]*_xlfn.XLOOKUP(Daily_Work[[#This Row],[Emp_ID]],Master_Employee[Emp_ID],Master_Employee[Daily_Rate],"",0),0)</f>
        <v>0</v>
      </c>
      <c r="P172" s="75">
        <f>IFERROR(Daily_Work[[#This Row],[OT_Hrs]]*_xlfn.XLOOKUP(Daily_Work[[#This Row],[Emp_ID]],Master_Employee[Emp_ID],Master_Employee[OT_Hr_Rate],0),0)</f>
        <v>0</v>
      </c>
    </row>
    <row r="173" spans="1:16" ht="19.5" customHeight="1">
      <c r="A173" s="6">
        <v>168</v>
      </c>
      <c r="B173" s="72"/>
      <c r="D173" s="66" t="str">
        <f>_xlfn.XLOOKUP(Daily_Work[[#This Row],[Emp_ID]],Master_Employee[Emp_ID],Master_Employee[Name_AR],"",0)</f>
        <v/>
      </c>
      <c r="E173" s="59" t="str">
        <f>_xlfn.XLOOKUP(Daily_Work[[#This Row],[Emp_ID]],Master_Employee[Emp_ID],Master_Employee[Name_EN],"",0)</f>
        <v/>
      </c>
      <c r="F173" s="37" t="str" cm="1">
        <f t="array" ref="F173">IF(Daily_Work[[#This Row],[Emp_ID]]=0,"",
_xlfn.XLOOKUP(Daily_Work[[#This Row],[Emp_ID]],Master_Employee[Emp_ID],EmpDepts,"",0)
)</f>
        <v/>
      </c>
      <c r="G173" s="31"/>
      <c r="I173" t="str">
        <f>IF(Daily_Work[[#This Row],[Project_Name]]="","",_xlfn.XLOOKUP(Daily_Work[[#This Row],[Project_Name]],ProjectNames,ProjectList,"",0))</f>
        <v/>
      </c>
      <c r="K173">
        <f>IF(Daily_Work[[#This Row],[Emp_Status]]="Absent",0,1)</f>
        <v>1</v>
      </c>
      <c r="M173" s="2"/>
      <c r="N173" s="2">
        <f>Daily_Work[[#This Row],[Days_Work]]*8</f>
        <v>0</v>
      </c>
      <c r="O173" s="73">
        <f>IFERROR(Daily_Work[[#This Row],[Days_Work]]*_xlfn.XLOOKUP(Daily_Work[[#This Row],[Emp_ID]],Master_Employee[Emp_ID],Master_Employee[Daily_Rate],"",0),0)</f>
        <v>0</v>
      </c>
      <c r="P173" s="75">
        <f>IFERROR(Daily_Work[[#This Row],[OT_Hrs]]*_xlfn.XLOOKUP(Daily_Work[[#This Row],[Emp_ID]],Master_Employee[Emp_ID],Master_Employee[OT_Hr_Rate],0),0)</f>
        <v>0</v>
      </c>
    </row>
    <row r="174" spans="1:16" ht="19.5" customHeight="1">
      <c r="A174" s="6">
        <v>169</v>
      </c>
      <c r="B174" s="72"/>
      <c r="D174" s="66" t="str">
        <f>_xlfn.XLOOKUP(Daily_Work[[#This Row],[Emp_ID]],Master_Employee[Emp_ID],Master_Employee[Name_AR],"",0)</f>
        <v/>
      </c>
      <c r="E174" s="59" t="str">
        <f>_xlfn.XLOOKUP(Daily_Work[[#This Row],[Emp_ID]],Master_Employee[Emp_ID],Master_Employee[Name_EN],"",0)</f>
        <v/>
      </c>
      <c r="F174" s="37" t="str" cm="1">
        <f t="array" ref="F174">IF(Daily_Work[[#This Row],[Emp_ID]]=0,"",
_xlfn.XLOOKUP(Daily_Work[[#This Row],[Emp_ID]],Master_Employee[Emp_ID],EmpDepts,"",0)
)</f>
        <v/>
      </c>
      <c r="G174" s="31"/>
      <c r="I174" t="str">
        <f>IF(Daily_Work[[#This Row],[Project_Name]]="","",_xlfn.XLOOKUP(Daily_Work[[#This Row],[Project_Name]],ProjectNames,ProjectList,"",0))</f>
        <v/>
      </c>
      <c r="K174">
        <f>IF(Daily_Work[[#This Row],[Emp_Status]]="Absent",0,1)</f>
        <v>1</v>
      </c>
      <c r="M174" s="2"/>
      <c r="N174" s="2">
        <f>Daily_Work[[#This Row],[Days_Work]]*8</f>
        <v>0</v>
      </c>
      <c r="O174" s="73">
        <f>IFERROR(Daily_Work[[#This Row],[Days_Work]]*_xlfn.XLOOKUP(Daily_Work[[#This Row],[Emp_ID]],Master_Employee[Emp_ID],Master_Employee[Daily_Rate],"",0),0)</f>
        <v>0</v>
      </c>
      <c r="P174" s="75">
        <f>IFERROR(Daily_Work[[#This Row],[OT_Hrs]]*_xlfn.XLOOKUP(Daily_Work[[#This Row],[Emp_ID]],Master_Employee[Emp_ID],Master_Employee[OT_Hr_Rate],0),0)</f>
        <v>0</v>
      </c>
    </row>
    <row r="175" spans="1:16" ht="19.5" customHeight="1">
      <c r="A175" s="6">
        <v>170</v>
      </c>
      <c r="B175" s="72"/>
      <c r="D175" s="66" t="str">
        <f>_xlfn.XLOOKUP(Daily_Work[[#This Row],[Emp_ID]],Master_Employee[Emp_ID],Master_Employee[Name_AR],"",0)</f>
        <v/>
      </c>
      <c r="E175" s="59" t="str">
        <f>_xlfn.XLOOKUP(Daily_Work[[#This Row],[Emp_ID]],Master_Employee[Emp_ID],Master_Employee[Name_EN],"",0)</f>
        <v/>
      </c>
      <c r="F175" s="37" t="str" cm="1">
        <f t="array" ref="F175">IF(Daily_Work[[#This Row],[Emp_ID]]=0,"",
_xlfn.XLOOKUP(Daily_Work[[#This Row],[Emp_ID]],Master_Employee[Emp_ID],EmpDepts,"",0)
)</f>
        <v/>
      </c>
      <c r="G175" s="31"/>
      <c r="I175" t="str">
        <f>IF(Daily_Work[[#This Row],[Project_Name]]="","",_xlfn.XLOOKUP(Daily_Work[[#This Row],[Project_Name]],ProjectNames,ProjectList,"",0))</f>
        <v/>
      </c>
      <c r="K175">
        <f>IF(Daily_Work[[#This Row],[Emp_Status]]="Absent",0,1)</f>
        <v>1</v>
      </c>
      <c r="M175" s="2"/>
      <c r="N175" s="2">
        <f>Daily_Work[[#This Row],[Days_Work]]*8</f>
        <v>0</v>
      </c>
      <c r="O175" s="73">
        <f>IFERROR(Daily_Work[[#This Row],[Days_Work]]*_xlfn.XLOOKUP(Daily_Work[[#This Row],[Emp_ID]],Master_Employee[Emp_ID],Master_Employee[Daily_Rate],"",0),0)</f>
        <v>0</v>
      </c>
      <c r="P175" s="75">
        <f>IFERROR(Daily_Work[[#This Row],[OT_Hrs]]*_xlfn.XLOOKUP(Daily_Work[[#This Row],[Emp_ID]],Master_Employee[Emp_ID],Master_Employee[OT_Hr_Rate],0),0)</f>
        <v>0</v>
      </c>
    </row>
    <row r="176" spans="1:16" ht="19.5" customHeight="1">
      <c r="A176" s="6">
        <v>171</v>
      </c>
      <c r="B176" s="72"/>
      <c r="D176" s="66" t="str">
        <f>_xlfn.XLOOKUP(Daily_Work[[#This Row],[Emp_ID]],Master_Employee[Emp_ID],Master_Employee[Name_AR],"",0)</f>
        <v/>
      </c>
      <c r="E176" s="59" t="str">
        <f>_xlfn.XLOOKUP(Daily_Work[[#This Row],[Emp_ID]],Master_Employee[Emp_ID],Master_Employee[Name_EN],"",0)</f>
        <v/>
      </c>
      <c r="F176" s="37" t="str" cm="1">
        <f t="array" ref="F176">IF(Daily_Work[[#This Row],[Emp_ID]]=0,"",
_xlfn.XLOOKUP(Daily_Work[[#This Row],[Emp_ID]],Master_Employee[Emp_ID],EmpDepts,"",0)
)</f>
        <v/>
      </c>
      <c r="G176" s="31"/>
      <c r="I176" t="str">
        <f>IF(Daily_Work[[#This Row],[Project_Name]]="","",_xlfn.XLOOKUP(Daily_Work[[#This Row],[Project_Name]],ProjectNames,ProjectList,"",0))</f>
        <v/>
      </c>
      <c r="K176">
        <f>IF(Daily_Work[[#This Row],[Emp_Status]]="Absent",0,1)</f>
        <v>1</v>
      </c>
      <c r="M176" s="2"/>
      <c r="N176" s="2">
        <f>Daily_Work[[#This Row],[Days_Work]]*8</f>
        <v>0</v>
      </c>
      <c r="O176" s="73">
        <f>IFERROR(Daily_Work[[#This Row],[Days_Work]]*_xlfn.XLOOKUP(Daily_Work[[#This Row],[Emp_ID]],Master_Employee[Emp_ID],Master_Employee[Daily_Rate],"",0),0)</f>
        <v>0</v>
      </c>
      <c r="P176" s="75">
        <f>IFERROR(Daily_Work[[#This Row],[OT_Hrs]]*_xlfn.XLOOKUP(Daily_Work[[#This Row],[Emp_ID]],Master_Employee[Emp_ID],Master_Employee[OT_Hr_Rate],0),0)</f>
        <v>0</v>
      </c>
    </row>
    <row r="177" spans="1:16" ht="19.5" customHeight="1">
      <c r="A177" s="6">
        <v>172</v>
      </c>
      <c r="B177" s="72"/>
      <c r="D177" s="66" t="str">
        <f>_xlfn.XLOOKUP(Daily_Work[[#This Row],[Emp_ID]],Master_Employee[Emp_ID],Master_Employee[Name_AR],"",0)</f>
        <v/>
      </c>
      <c r="E177" s="59" t="str">
        <f>_xlfn.XLOOKUP(Daily_Work[[#This Row],[Emp_ID]],Master_Employee[Emp_ID],Master_Employee[Name_EN],"",0)</f>
        <v/>
      </c>
      <c r="F177" s="37" t="str" cm="1">
        <f t="array" ref="F177">IF(Daily_Work[[#This Row],[Emp_ID]]=0,"",
_xlfn.XLOOKUP(Daily_Work[[#This Row],[Emp_ID]],Master_Employee[Emp_ID],EmpDepts,"",0)
)</f>
        <v/>
      </c>
      <c r="G177" s="31"/>
      <c r="I177" t="str">
        <f>IF(Daily_Work[[#This Row],[Project_Name]]="","",_xlfn.XLOOKUP(Daily_Work[[#This Row],[Project_Name]],ProjectNames,ProjectList,"",0))</f>
        <v/>
      </c>
      <c r="K177">
        <f>IF(Daily_Work[[#This Row],[Emp_Status]]="Absent",0,1)</f>
        <v>1</v>
      </c>
      <c r="M177" s="2"/>
      <c r="N177" s="2">
        <f>Daily_Work[[#This Row],[Days_Work]]*8</f>
        <v>0</v>
      </c>
      <c r="O177" s="73">
        <f>IFERROR(Daily_Work[[#This Row],[Days_Work]]*_xlfn.XLOOKUP(Daily_Work[[#This Row],[Emp_ID]],Master_Employee[Emp_ID],Master_Employee[Daily_Rate],"",0),0)</f>
        <v>0</v>
      </c>
      <c r="P177" s="75">
        <f>IFERROR(Daily_Work[[#This Row],[OT_Hrs]]*_xlfn.XLOOKUP(Daily_Work[[#This Row],[Emp_ID]],Master_Employee[Emp_ID],Master_Employee[OT_Hr_Rate],0),0)</f>
        <v>0</v>
      </c>
    </row>
    <row r="178" spans="1:16" ht="19.5" customHeight="1">
      <c r="A178" s="6">
        <v>173</v>
      </c>
      <c r="B178" s="72"/>
      <c r="D178" s="66" t="str">
        <f>_xlfn.XLOOKUP(Daily_Work[[#This Row],[Emp_ID]],Master_Employee[Emp_ID],Master_Employee[Name_AR],"",0)</f>
        <v/>
      </c>
      <c r="E178" s="59" t="str">
        <f>_xlfn.XLOOKUP(Daily_Work[[#This Row],[Emp_ID]],Master_Employee[Emp_ID],Master_Employee[Name_EN],"",0)</f>
        <v/>
      </c>
      <c r="F178" s="37" t="str" cm="1">
        <f t="array" ref="F178">IF(Daily_Work[[#This Row],[Emp_ID]]=0,"",
_xlfn.XLOOKUP(Daily_Work[[#This Row],[Emp_ID]],Master_Employee[Emp_ID],EmpDepts,"",0)
)</f>
        <v/>
      </c>
      <c r="G178" s="31"/>
      <c r="I178" t="str">
        <f>IF(Daily_Work[[#This Row],[Project_Name]]="","",_xlfn.XLOOKUP(Daily_Work[[#This Row],[Project_Name]],ProjectNames,ProjectList,"",0))</f>
        <v/>
      </c>
      <c r="K178">
        <f>IF(Daily_Work[[#This Row],[Emp_Status]]="Absent",0,1)</f>
        <v>1</v>
      </c>
      <c r="M178" s="2"/>
      <c r="N178" s="2">
        <f>Daily_Work[[#This Row],[Days_Work]]*8</f>
        <v>0</v>
      </c>
      <c r="O178" s="73">
        <f>IFERROR(Daily_Work[[#This Row],[Days_Work]]*_xlfn.XLOOKUP(Daily_Work[[#This Row],[Emp_ID]],Master_Employee[Emp_ID],Master_Employee[Daily_Rate],"",0),0)</f>
        <v>0</v>
      </c>
      <c r="P178" s="75">
        <f>IFERROR(Daily_Work[[#This Row],[OT_Hrs]]*_xlfn.XLOOKUP(Daily_Work[[#This Row],[Emp_ID]],Master_Employee[Emp_ID],Master_Employee[OT_Hr_Rate],0),0)</f>
        <v>0</v>
      </c>
    </row>
    <row r="179" spans="1:16" ht="19.5" customHeight="1">
      <c r="A179" s="6">
        <v>174</v>
      </c>
      <c r="B179" s="72"/>
      <c r="D179" s="66" t="str">
        <f>_xlfn.XLOOKUP(Daily_Work[[#This Row],[Emp_ID]],Master_Employee[Emp_ID],Master_Employee[Name_AR],"",0)</f>
        <v/>
      </c>
      <c r="E179" s="59" t="str">
        <f>_xlfn.XLOOKUP(Daily_Work[[#This Row],[Emp_ID]],Master_Employee[Emp_ID],Master_Employee[Name_EN],"",0)</f>
        <v/>
      </c>
      <c r="F179" s="37" t="str" cm="1">
        <f t="array" ref="F179">IF(Daily_Work[[#This Row],[Emp_ID]]=0,"",
_xlfn.XLOOKUP(Daily_Work[[#This Row],[Emp_ID]],Master_Employee[Emp_ID],EmpDepts,"",0)
)</f>
        <v/>
      </c>
      <c r="G179" s="31"/>
      <c r="I179" t="str">
        <f>IF(Daily_Work[[#This Row],[Project_Name]]="","",_xlfn.XLOOKUP(Daily_Work[[#This Row],[Project_Name]],ProjectNames,ProjectList,"",0))</f>
        <v/>
      </c>
      <c r="K179">
        <f>IF(Daily_Work[[#This Row],[Emp_Status]]="Absent",0,1)</f>
        <v>1</v>
      </c>
      <c r="M179" s="2"/>
      <c r="N179" s="2">
        <f>Daily_Work[[#This Row],[Days_Work]]*8</f>
        <v>0</v>
      </c>
      <c r="O179" s="73">
        <f>IFERROR(Daily_Work[[#This Row],[Days_Work]]*_xlfn.XLOOKUP(Daily_Work[[#This Row],[Emp_ID]],Master_Employee[Emp_ID],Master_Employee[Daily_Rate],"",0),0)</f>
        <v>0</v>
      </c>
      <c r="P179" s="75">
        <f>IFERROR(Daily_Work[[#This Row],[OT_Hrs]]*_xlfn.XLOOKUP(Daily_Work[[#This Row],[Emp_ID]],Master_Employee[Emp_ID],Master_Employee[OT_Hr_Rate],0),0)</f>
        <v>0</v>
      </c>
    </row>
    <row r="180" spans="1:16" ht="19.5" customHeight="1">
      <c r="A180" s="6">
        <v>175</v>
      </c>
      <c r="B180" s="72"/>
      <c r="D180" s="66" t="str">
        <f>_xlfn.XLOOKUP(Daily_Work[[#This Row],[Emp_ID]],Master_Employee[Emp_ID],Master_Employee[Name_AR],"",0)</f>
        <v/>
      </c>
      <c r="E180" s="59" t="str">
        <f>_xlfn.XLOOKUP(Daily_Work[[#This Row],[Emp_ID]],Master_Employee[Emp_ID],Master_Employee[Name_EN],"",0)</f>
        <v/>
      </c>
      <c r="F180" s="37" t="str" cm="1">
        <f t="array" ref="F180">IF(Daily_Work[[#This Row],[Emp_ID]]=0,"",
_xlfn.XLOOKUP(Daily_Work[[#This Row],[Emp_ID]],Master_Employee[Emp_ID],EmpDepts,"",0)
)</f>
        <v/>
      </c>
      <c r="G180" s="31"/>
      <c r="I180" t="str">
        <f>IF(Daily_Work[[#This Row],[Project_Name]]="","",_xlfn.XLOOKUP(Daily_Work[[#This Row],[Project_Name]],ProjectNames,ProjectList,"",0))</f>
        <v/>
      </c>
      <c r="K180">
        <f>IF(Daily_Work[[#This Row],[Emp_Status]]="Absent",0,1)</f>
        <v>1</v>
      </c>
      <c r="M180" s="2"/>
      <c r="N180" s="2">
        <f>Daily_Work[[#This Row],[Days_Work]]*8</f>
        <v>0</v>
      </c>
      <c r="O180" s="73">
        <f>IFERROR(Daily_Work[[#This Row],[Days_Work]]*_xlfn.XLOOKUP(Daily_Work[[#This Row],[Emp_ID]],Master_Employee[Emp_ID],Master_Employee[Daily_Rate],"",0),0)</f>
        <v>0</v>
      </c>
      <c r="P180" s="75">
        <f>IFERROR(Daily_Work[[#This Row],[OT_Hrs]]*_xlfn.XLOOKUP(Daily_Work[[#This Row],[Emp_ID]],Master_Employee[Emp_ID],Master_Employee[OT_Hr_Rate],0),0)</f>
        <v>0</v>
      </c>
    </row>
    <row r="181" spans="1:16" ht="19.5" customHeight="1">
      <c r="A181" s="6">
        <v>176</v>
      </c>
      <c r="B181" s="72"/>
      <c r="D181" s="66" t="str">
        <f>_xlfn.XLOOKUP(Daily_Work[[#This Row],[Emp_ID]],Master_Employee[Emp_ID],Master_Employee[Name_AR],"",0)</f>
        <v/>
      </c>
      <c r="E181" s="59" t="str">
        <f>_xlfn.XLOOKUP(Daily_Work[[#This Row],[Emp_ID]],Master_Employee[Emp_ID],Master_Employee[Name_EN],"",0)</f>
        <v/>
      </c>
      <c r="F181" s="37" t="str" cm="1">
        <f t="array" ref="F181">IF(Daily_Work[[#This Row],[Emp_ID]]=0,"",
_xlfn.XLOOKUP(Daily_Work[[#This Row],[Emp_ID]],Master_Employee[Emp_ID],EmpDepts,"",0)
)</f>
        <v/>
      </c>
      <c r="G181" s="31"/>
      <c r="I181" t="str">
        <f>IF(Daily_Work[[#This Row],[Project_Name]]="","",_xlfn.XLOOKUP(Daily_Work[[#This Row],[Project_Name]],ProjectNames,ProjectList,"",0))</f>
        <v/>
      </c>
      <c r="K181">
        <f>IF(Daily_Work[[#This Row],[Emp_Status]]="Absent",0,1)</f>
        <v>1</v>
      </c>
      <c r="M181" s="2"/>
      <c r="N181" s="2">
        <f>Daily_Work[[#This Row],[Days_Work]]*8</f>
        <v>0</v>
      </c>
      <c r="O181" s="73">
        <f>IFERROR(Daily_Work[[#This Row],[Days_Work]]*_xlfn.XLOOKUP(Daily_Work[[#This Row],[Emp_ID]],Master_Employee[Emp_ID],Master_Employee[Daily_Rate],"",0),0)</f>
        <v>0</v>
      </c>
      <c r="P181" s="75">
        <f>IFERROR(Daily_Work[[#This Row],[OT_Hrs]]*_xlfn.XLOOKUP(Daily_Work[[#This Row],[Emp_ID]],Master_Employee[Emp_ID],Master_Employee[OT_Hr_Rate],0),0)</f>
        <v>0</v>
      </c>
    </row>
    <row r="182" spans="1:16" ht="19.5" customHeight="1">
      <c r="A182" s="6">
        <v>177</v>
      </c>
      <c r="B182" s="72"/>
      <c r="D182" s="66" t="str">
        <f>_xlfn.XLOOKUP(Daily_Work[[#This Row],[Emp_ID]],Master_Employee[Emp_ID],Master_Employee[Name_AR],"",0)</f>
        <v/>
      </c>
      <c r="E182" s="59" t="str">
        <f>_xlfn.XLOOKUP(Daily_Work[[#This Row],[Emp_ID]],Master_Employee[Emp_ID],Master_Employee[Name_EN],"",0)</f>
        <v/>
      </c>
      <c r="F182" s="37" t="str" cm="1">
        <f t="array" ref="F182">IF(Daily_Work[[#This Row],[Emp_ID]]=0,"",
_xlfn.XLOOKUP(Daily_Work[[#This Row],[Emp_ID]],Master_Employee[Emp_ID],EmpDepts,"",0)
)</f>
        <v/>
      </c>
      <c r="G182" s="31"/>
      <c r="I182" t="str">
        <f>IF(Daily_Work[[#This Row],[Project_Name]]="","",_xlfn.XLOOKUP(Daily_Work[[#This Row],[Project_Name]],ProjectNames,ProjectList,"",0))</f>
        <v/>
      </c>
      <c r="K182">
        <f>IF(Daily_Work[[#This Row],[Emp_Status]]="Absent",0,1)</f>
        <v>1</v>
      </c>
      <c r="M182" s="2"/>
      <c r="N182" s="2">
        <f>Daily_Work[[#This Row],[Days_Work]]*8</f>
        <v>0</v>
      </c>
      <c r="O182" s="73">
        <f>IFERROR(Daily_Work[[#This Row],[Days_Work]]*_xlfn.XLOOKUP(Daily_Work[[#This Row],[Emp_ID]],Master_Employee[Emp_ID],Master_Employee[Daily_Rate],"",0),0)</f>
        <v>0</v>
      </c>
      <c r="P182" s="75">
        <f>IFERROR(Daily_Work[[#This Row],[OT_Hrs]]*_xlfn.XLOOKUP(Daily_Work[[#This Row],[Emp_ID]],Master_Employee[Emp_ID],Master_Employee[OT_Hr_Rate],0),0)</f>
        <v>0</v>
      </c>
    </row>
    <row r="183" spans="1:16" ht="19.5" customHeight="1">
      <c r="A183" s="6">
        <v>178</v>
      </c>
      <c r="B183" s="72"/>
      <c r="D183" s="66" t="str">
        <f>_xlfn.XLOOKUP(Daily_Work[[#This Row],[Emp_ID]],Master_Employee[Emp_ID],Master_Employee[Name_AR],"",0)</f>
        <v/>
      </c>
      <c r="E183" s="59" t="str">
        <f>_xlfn.XLOOKUP(Daily_Work[[#This Row],[Emp_ID]],Master_Employee[Emp_ID],Master_Employee[Name_EN],"",0)</f>
        <v/>
      </c>
      <c r="F183" s="37" t="str" cm="1">
        <f t="array" ref="F183">IF(Daily_Work[[#This Row],[Emp_ID]]=0,"",
_xlfn.XLOOKUP(Daily_Work[[#This Row],[Emp_ID]],Master_Employee[Emp_ID],EmpDepts,"",0)
)</f>
        <v/>
      </c>
      <c r="G183" s="31"/>
      <c r="I183" t="str">
        <f>IF(Daily_Work[[#This Row],[Project_Name]]="","",_xlfn.XLOOKUP(Daily_Work[[#This Row],[Project_Name]],ProjectNames,ProjectList,"",0))</f>
        <v/>
      </c>
      <c r="K183">
        <f>IF(Daily_Work[[#This Row],[Emp_Status]]="Absent",0,1)</f>
        <v>1</v>
      </c>
      <c r="M183" s="2"/>
      <c r="N183" s="2">
        <f>Daily_Work[[#This Row],[Days_Work]]*8</f>
        <v>0</v>
      </c>
      <c r="O183" s="73">
        <f>IFERROR(Daily_Work[[#This Row],[Days_Work]]*_xlfn.XLOOKUP(Daily_Work[[#This Row],[Emp_ID]],Master_Employee[Emp_ID],Master_Employee[Daily_Rate],"",0),0)</f>
        <v>0</v>
      </c>
      <c r="P183" s="75">
        <f>IFERROR(Daily_Work[[#This Row],[OT_Hrs]]*_xlfn.XLOOKUP(Daily_Work[[#This Row],[Emp_ID]],Master_Employee[Emp_ID],Master_Employee[OT_Hr_Rate],0),0)</f>
        <v>0</v>
      </c>
    </row>
    <row r="184" spans="1:16" ht="19.5" customHeight="1">
      <c r="A184" s="6">
        <v>179</v>
      </c>
      <c r="B184" s="72"/>
      <c r="D184" s="66" t="str">
        <f>_xlfn.XLOOKUP(Daily_Work[[#This Row],[Emp_ID]],Master_Employee[Emp_ID],Master_Employee[Name_AR],"",0)</f>
        <v/>
      </c>
      <c r="E184" s="59" t="str">
        <f>_xlfn.XLOOKUP(Daily_Work[[#This Row],[Emp_ID]],Master_Employee[Emp_ID],Master_Employee[Name_EN],"",0)</f>
        <v/>
      </c>
      <c r="F184" s="37" t="str" cm="1">
        <f t="array" ref="F184">IF(Daily_Work[[#This Row],[Emp_ID]]=0,"",
_xlfn.XLOOKUP(Daily_Work[[#This Row],[Emp_ID]],Master_Employee[Emp_ID],EmpDepts,"",0)
)</f>
        <v/>
      </c>
      <c r="G184" s="31"/>
      <c r="I184" t="str">
        <f>IF(Daily_Work[[#This Row],[Project_Name]]="","",_xlfn.XLOOKUP(Daily_Work[[#This Row],[Project_Name]],ProjectNames,ProjectList,"",0))</f>
        <v/>
      </c>
      <c r="K184">
        <f>IF(Daily_Work[[#This Row],[Emp_Status]]="Absent",0,1)</f>
        <v>1</v>
      </c>
      <c r="M184" s="2"/>
      <c r="N184" s="2">
        <f>Daily_Work[[#This Row],[Days_Work]]*8</f>
        <v>0</v>
      </c>
      <c r="O184" s="73">
        <f>IFERROR(Daily_Work[[#This Row],[Days_Work]]*_xlfn.XLOOKUP(Daily_Work[[#This Row],[Emp_ID]],Master_Employee[Emp_ID],Master_Employee[Daily_Rate],"",0),0)</f>
        <v>0</v>
      </c>
      <c r="P184" s="75">
        <f>IFERROR(Daily_Work[[#This Row],[OT_Hrs]]*_xlfn.XLOOKUP(Daily_Work[[#This Row],[Emp_ID]],Master_Employee[Emp_ID],Master_Employee[OT_Hr_Rate],0),0)</f>
        <v>0</v>
      </c>
    </row>
    <row r="185" spans="1:16" ht="19.5" customHeight="1">
      <c r="A185" s="6">
        <v>180</v>
      </c>
      <c r="B185" s="72"/>
      <c r="D185" s="66" t="str">
        <f>_xlfn.XLOOKUP(Daily_Work[[#This Row],[Emp_ID]],Master_Employee[Emp_ID],Master_Employee[Name_AR],"",0)</f>
        <v/>
      </c>
      <c r="E185" s="59" t="str">
        <f>_xlfn.XLOOKUP(Daily_Work[[#This Row],[Emp_ID]],Master_Employee[Emp_ID],Master_Employee[Name_EN],"",0)</f>
        <v/>
      </c>
      <c r="F185" s="37" t="str" cm="1">
        <f t="array" ref="F185">IF(Daily_Work[[#This Row],[Emp_ID]]=0,"",
_xlfn.XLOOKUP(Daily_Work[[#This Row],[Emp_ID]],Master_Employee[Emp_ID],EmpDepts,"",0)
)</f>
        <v/>
      </c>
      <c r="G185" s="31"/>
      <c r="I185" t="str">
        <f>IF(Daily_Work[[#This Row],[Project_Name]]="","",_xlfn.XLOOKUP(Daily_Work[[#This Row],[Project_Name]],ProjectNames,ProjectList,"",0))</f>
        <v/>
      </c>
      <c r="K185">
        <f>IF(Daily_Work[[#This Row],[Emp_Status]]="Absent",0,1)</f>
        <v>1</v>
      </c>
      <c r="M185" s="2"/>
      <c r="N185" s="2">
        <f>Daily_Work[[#This Row],[Days_Work]]*8</f>
        <v>0</v>
      </c>
      <c r="O185" s="73">
        <f>IFERROR(Daily_Work[[#This Row],[Days_Work]]*_xlfn.XLOOKUP(Daily_Work[[#This Row],[Emp_ID]],Master_Employee[Emp_ID],Master_Employee[Daily_Rate],"",0),0)</f>
        <v>0</v>
      </c>
      <c r="P185" s="75">
        <f>IFERROR(Daily_Work[[#This Row],[OT_Hrs]]*_xlfn.XLOOKUP(Daily_Work[[#This Row],[Emp_ID]],Master_Employee[Emp_ID],Master_Employee[OT_Hr_Rate],0),0)</f>
        <v>0</v>
      </c>
    </row>
    <row r="186" spans="1:16" ht="19.5" customHeight="1">
      <c r="A186" s="6">
        <v>181</v>
      </c>
      <c r="B186" s="72"/>
      <c r="D186" s="66" t="str">
        <f>_xlfn.XLOOKUP(Daily_Work[[#This Row],[Emp_ID]],Master_Employee[Emp_ID],Master_Employee[Name_AR],"",0)</f>
        <v/>
      </c>
      <c r="E186" s="59" t="str">
        <f>_xlfn.XLOOKUP(Daily_Work[[#This Row],[Emp_ID]],Master_Employee[Emp_ID],Master_Employee[Name_EN],"",0)</f>
        <v/>
      </c>
      <c r="F186" s="37" t="str" cm="1">
        <f t="array" ref="F186">IF(Daily_Work[[#This Row],[Emp_ID]]=0,"",
_xlfn.XLOOKUP(Daily_Work[[#This Row],[Emp_ID]],Master_Employee[Emp_ID],EmpDepts,"",0)
)</f>
        <v/>
      </c>
      <c r="G186" s="31"/>
      <c r="I186" t="str">
        <f>IF(Daily_Work[[#This Row],[Project_Name]]="","",_xlfn.XLOOKUP(Daily_Work[[#This Row],[Project_Name]],ProjectNames,ProjectList,"",0))</f>
        <v/>
      </c>
      <c r="K186">
        <f>IF(Daily_Work[[#This Row],[Emp_Status]]="Absent",0,1)</f>
        <v>1</v>
      </c>
      <c r="M186" s="2"/>
      <c r="N186" s="2">
        <f>Daily_Work[[#This Row],[Days_Work]]*8</f>
        <v>0</v>
      </c>
      <c r="O186" s="73">
        <f>IFERROR(Daily_Work[[#This Row],[Days_Work]]*_xlfn.XLOOKUP(Daily_Work[[#This Row],[Emp_ID]],Master_Employee[Emp_ID],Master_Employee[Daily_Rate],"",0),0)</f>
        <v>0</v>
      </c>
      <c r="P186" s="75">
        <f>IFERROR(Daily_Work[[#This Row],[OT_Hrs]]*_xlfn.XLOOKUP(Daily_Work[[#This Row],[Emp_ID]],Master_Employee[Emp_ID],Master_Employee[OT_Hr_Rate],0),0)</f>
        <v>0</v>
      </c>
    </row>
    <row r="187" spans="1:16" ht="19.5" customHeight="1">
      <c r="A187" s="6">
        <v>182</v>
      </c>
      <c r="B187" s="72"/>
      <c r="D187" s="66" t="str">
        <f>_xlfn.XLOOKUP(Daily_Work[[#This Row],[Emp_ID]],Master_Employee[Emp_ID],Master_Employee[Name_AR],"",0)</f>
        <v/>
      </c>
      <c r="E187" s="59" t="str">
        <f>_xlfn.XLOOKUP(Daily_Work[[#This Row],[Emp_ID]],Master_Employee[Emp_ID],Master_Employee[Name_EN],"",0)</f>
        <v/>
      </c>
      <c r="F187" s="37" t="str" cm="1">
        <f t="array" ref="F187">IF(Daily_Work[[#This Row],[Emp_ID]]=0,"",
_xlfn.XLOOKUP(Daily_Work[[#This Row],[Emp_ID]],Master_Employee[Emp_ID],EmpDepts,"",0)
)</f>
        <v/>
      </c>
      <c r="G187" s="31"/>
      <c r="I187" t="str">
        <f>IF(Daily_Work[[#This Row],[Project_Name]]="","",_xlfn.XLOOKUP(Daily_Work[[#This Row],[Project_Name]],ProjectNames,ProjectList,"",0))</f>
        <v/>
      </c>
      <c r="K187">
        <f>IF(Daily_Work[[#This Row],[Emp_Status]]="Absent",0,1)</f>
        <v>1</v>
      </c>
      <c r="M187" s="2"/>
      <c r="N187" s="2">
        <f>Daily_Work[[#This Row],[Days_Work]]*8</f>
        <v>0</v>
      </c>
      <c r="O187" s="73">
        <f>IFERROR(Daily_Work[[#This Row],[Days_Work]]*_xlfn.XLOOKUP(Daily_Work[[#This Row],[Emp_ID]],Master_Employee[Emp_ID],Master_Employee[Daily_Rate],"",0),0)</f>
        <v>0</v>
      </c>
      <c r="P187" s="75">
        <f>IFERROR(Daily_Work[[#This Row],[OT_Hrs]]*_xlfn.XLOOKUP(Daily_Work[[#This Row],[Emp_ID]],Master_Employee[Emp_ID],Master_Employee[OT_Hr_Rate],0),0)</f>
        <v>0</v>
      </c>
    </row>
    <row r="188" spans="1:16" ht="19.5" customHeight="1">
      <c r="A188" s="6">
        <v>183</v>
      </c>
      <c r="B188" s="72"/>
      <c r="D188" s="66" t="str">
        <f>_xlfn.XLOOKUP(Daily_Work[[#This Row],[Emp_ID]],Master_Employee[Emp_ID],Master_Employee[Name_AR],"",0)</f>
        <v/>
      </c>
      <c r="E188" s="59" t="str">
        <f>_xlfn.XLOOKUP(Daily_Work[[#This Row],[Emp_ID]],Master_Employee[Emp_ID],Master_Employee[Name_EN],"",0)</f>
        <v/>
      </c>
      <c r="F188" s="37" t="str" cm="1">
        <f t="array" ref="F188">IF(Daily_Work[[#This Row],[Emp_ID]]=0,"",
_xlfn.XLOOKUP(Daily_Work[[#This Row],[Emp_ID]],Master_Employee[Emp_ID],EmpDepts,"",0)
)</f>
        <v/>
      </c>
      <c r="G188" s="31"/>
      <c r="I188" t="str">
        <f>IF(Daily_Work[[#This Row],[Project_Name]]="","",_xlfn.XLOOKUP(Daily_Work[[#This Row],[Project_Name]],ProjectNames,ProjectList,"",0))</f>
        <v/>
      </c>
      <c r="K188">
        <f>IF(Daily_Work[[#This Row],[Emp_Status]]="Absent",0,1)</f>
        <v>1</v>
      </c>
      <c r="M188" s="2"/>
      <c r="N188" s="2">
        <f>Daily_Work[[#This Row],[Days_Work]]*8</f>
        <v>0</v>
      </c>
      <c r="O188" s="73">
        <f>IFERROR(Daily_Work[[#This Row],[Days_Work]]*_xlfn.XLOOKUP(Daily_Work[[#This Row],[Emp_ID]],Master_Employee[Emp_ID],Master_Employee[Daily_Rate],"",0),0)</f>
        <v>0</v>
      </c>
      <c r="P188" s="75">
        <f>IFERROR(Daily_Work[[#This Row],[OT_Hrs]]*_xlfn.XLOOKUP(Daily_Work[[#This Row],[Emp_ID]],Master_Employee[Emp_ID],Master_Employee[OT_Hr_Rate],0),0)</f>
        <v>0</v>
      </c>
    </row>
    <row r="189" spans="1:16" ht="19.5" customHeight="1">
      <c r="A189" s="6">
        <v>184</v>
      </c>
      <c r="B189" s="72"/>
      <c r="D189" s="66" t="str">
        <f>_xlfn.XLOOKUP(Daily_Work[[#This Row],[Emp_ID]],Master_Employee[Emp_ID],Master_Employee[Name_AR],"",0)</f>
        <v/>
      </c>
      <c r="E189" s="59" t="str">
        <f>_xlfn.XLOOKUP(Daily_Work[[#This Row],[Emp_ID]],Master_Employee[Emp_ID],Master_Employee[Name_EN],"",0)</f>
        <v/>
      </c>
      <c r="F189" s="37" t="str" cm="1">
        <f t="array" ref="F189">IF(Daily_Work[[#This Row],[Emp_ID]]=0,"",
_xlfn.XLOOKUP(Daily_Work[[#This Row],[Emp_ID]],Master_Employee[Emp_ID],EmpDepts,"",0)
)</f>
        <v/>
      </c>
      <c r="G189" s="31"/>
      <c r="I189" t="str">
        <f>IF(Daily_Work[[#This Row],[Project_Name]]="","",_xlfn.XLOOKUP(Daily_Work[[#This Row],[Project_Name]],ProjectNames,ProjectList,"",0))</f>
        <v/>
      </c>
      <c r="K189">
        <f>IF(Daily_Work[[#This Row],[Emp_Status]]="Absent",0,1)</f>
        <v>1</v>
      </c>
      <c r="M189" s="2"/>
      <c r="N189" s="2">
        <f>Daily_Work[[#This Row],[Days_Work]]*8</f>
        <v>0</v>
      </c>
      <c r="O189" s="73">
        <f>IFERROR(Daily_Work[[#This Row],[Days_Work]]*_xlfn.XLOOKUP(Daily_Work[[#This Row],[Emp_ID]],Master_Employee[Emp_ID],Master_Employee[Daily_Rate],"",0),0)</f>
        <v>0</v>
      </c>
      <c r="P189" s="75">
        <f>IFERROR(Daily_Work[[#This Row],[OT_Hrs]]*_xlfn.XLOOKUP(Daily_Work[[#This Row],[Emp_ID]],Master_Employee[Emp_ID],Master_Employee[OT_Hr_Rate],0),0)</f>
        <v>0</v>
      </c>
    </row>
    <row r="190" spans="1:16" ht="19.5" customHeight="1">
      <c r="A190" s="6">
        <v>185</v>
      </c>
      <c r="B190" s="72"/>
      <c r="D190" s="66" t="str">
        <f>_xlfn.XLOOKUP(Daily_Work[[#This Row],[Emp_ID]],Master_Employee[Emp_ID],Master_Employee[Name_AR],"",0)</f>
        <v/>
      </c>
      <c r="E190" s="59" t="str">
        <f>_xlfn.XLOOKUP(Daily_Work[[#This Row],[Emp_ID]],Master_Employee[Emp_ID],Master_Employee[Name_EN],"",0)</f>
        <v/>
      </c>
      <c r="F190" s="37" t="str" cm="1">
        <f t="array" ref="F190">IF(Daily_Work[[#This Row],[Emp_ID]]=0,"",
_xlfn.XLOOKUP(Daily_Work[[#This Row],[Emp_ID]],Master_Employee[Emp_ID],EmpDepts,"",0)
)</f>
        <v/>
      </c>
      <c r="G190" s="31"/>
      <c r="I190" t="str">
        <f>IF(Daily_Work[[#This Row],[Project_Name]]="","",_xlfn.XLOOKUP(Daily_Work[[#This Row],[Project_Name]],ProjectNames,ProjectList,"",0))</f>
        <v/>
      </c>
      <c r="K190">
        <f>IF(Daily_Work[[#This Row],[Emp_Status]]="Absent",0,1)</f>
        <v>1</v>
      </c>
      <c r="M190" s="2"/>
      <c r="N190" s="2">
        <f>Daily_Work[[#This Row],[Days_Work]]*8</f>
        <v>0</v>
      </c>
      <c r="O190" s="73">
        <f>IFERROR(Daily_Work[[#This Row],[Days_Work]]*_xlfn.XLOOKUP(Daily_Work[[#This Row],[Emp_ID]],Master_Employee[Emp_ID],Master_Employee[Daily_Rate],"",0),0)</f>
        <v>0</v>
      </c>
      <c r="P190" s="75">
        <f>IFERROR(Daily_Work[[#This Row],[OT_Hrs]]*_xlfn.XLOOKUP(Daily_Work[[#This Row],[Emp_ID]],Master_Employee[Emp_ID],Master_Employee[OT_Hr_Rate],0),0)</f>
        <v>0</v>
      </c>
    </row>
    <row r="191" spans="1:16" ht="19.5" customHeight="1">
      <c r="A191" s="6">
        <v>186</v>
      </c>
      <c r="B191" s="72"/>
      <c r="D191" s="66" t="str">
        <f>_xlfn.XLOOKUP(Daily_Work[[#This Row],[Emp_ID]],Master_Employee[Emp_ID],Master_Employee[Name_AR],"",0)</f>
        <v/>
      </c>
      <c r="E191" s="59" t="str">
        <f>_xlfn.XLOOKUP(Daily_Work[[#This Row],[Emp_ID]],Master_Employee[Emp_ID],Master_Employee[Name_EN],"",0)</f>
        <v/>
      </c>
      <c r="F191" s="37" t="str" cm="1">
        <f t="array" ref="F191">IF(Daily_Work[[#This Row],[Emp_ID]]=0,"",
_xlfn.XLOOKUP(Daily_Work[[#This Row],[Emp_ID]],Master_Employee[Emp_ID],EmpDepts,"",0)
)</f>
        <v/>
      </c>
      <c r="G191" s="31"/>
      <c r="I191" t="str">
        <f>IF(Daily_Work[[#This Row],[Project_Name]]="","",_xlfn.XLOOKUP(Daily_Work[[#This Row],[Project_Name]],ProjectNames,ProjectList,"",0))</f>
        <v/>
      </c>
      <c r="K191">
        <f>IF(Daily_Work[[#This Row],[Emp_Status]]="Absent",0,1)</f>
        <v>1</v>
      </c>
      <c r="M191" s="2"/>
      <c r="N191" s="2">
        <f>Daily_Work[[#This Row],[Days_Work]]*8</f>
        <v>0</v>
      </c>
      <c r="O191" s="73">
        <f>IFERROR(Daily_Work[[#This Row],[Days_Work]]*_xlfn.XLOOKUP(Daily_Work[[#This Row],[Emp_ID]],Master_Employee[Emp_ID],Master_Employee[Daily_Rate],"",0),0)</f>
        <v>0</v>
      </c>
      <c r="P191" s="75">
        <f>IFERROR(Daily_Work[[#This Row],[OT_Hrs]]*_xlfn.XLOOKUP(Daily_Work[[#This Row],[Emp_ID]],Master_Employee[Emp_ID],Master_Employee[OT_Hr_Rate],0),0)</f>
        <v>0</v>
      </c>
    </row>
    <row r="192" spans="1:16" ht="19.5" customHeight="1">
      <c r="A192" s="6">
        <v>187</v>
      </c>
      <c r="B192" s="72"/>
      <c r="D192" s="66" t="str">
        <f>_xlfn.XLOOKUP(Daily_Work[[#This Row],[Emp_ID]],Master_Employee[Emp_ID],Master_Employee[Name_AR],"",0)</f>
        <v/>
      </c>
      <c r="E192" s="59" t="str">
        <f>_xlfn.XLOOKUP(Daily_Work[[#This Row],[Emp_ID]],Master_Employee[Emp_ID],Master_Employee[Name_EN],"",0)</f>
        <v/>
      </c>
      <c r="F192" s="37" t="str" cm="1">
        <f t="array" ref="F192">IF(Daily_Work[[#This Row],[Emp_ID]]=0,"",
_xlfn.XLOOKUP(Daily_Work[[#This Row],[Emp_ID]],Master_Employee[Emp_ID],EmpDepts,"",0)
)</f>
        <v/>
      </c>
      <c r="G192" s="31"/>
      <c r="I192" t="str">
        <f>IF(Daily_Work[[#This Row],[Project_Name]]="","",_xlfn.XLOOKUP(Daily_Work[[#This Row],[Project_Name]],ProjectNames,ProjectList,"",0))</f>
        <v/>
      </c>
      <c r="K192">
        <f>IF(Daily_Work[[#This Row],[Emp_Status]]="Absent",0,1)</f>
        <v>1</v>
      </c>
      <c r="M192" s="2"/>
      <c r="N192" s="2">
        <f>Daily_Work[[#This Row],[Days_Work]]*8</f>
        <v>0</v>
      </c>
      <c r="O192" s="73">
        <f>IFERROR(Daily_Work[[#This Row],[Days_Work]]*_xlfn.XLOOKUP(Daily_Work[[#This Row],[Emp_ID]],Master_Employee[Emp_ID],Master_Employee[Daily_Rate],"",0),0)</f>
        <v>0</v>
      </c>
      <c r="P192" s="75">
        <f>IFERROR(Daily_Work[[#This Row],[OT_Hrs]]*_xlfn.XLOOKUP(Daily_Work[[#This Row],[Emp_ID]],Master_Employee[Emp_ID],Master_Employee[OT_Hr_Rate],0),0)</f>
        <v>0</v>
      </c>
    </row>
    <row r="193" spans="1:16" ht="19.5" customHeight="1">
      <c r="A193" s="6">
        <v>188</v>
      </c>
      <c r="B193" s="72"/>
      <c r="D193" s="66" t="str">
        <f>_xlfn.XLOOKUP(Daily_Work[[#This Row],[Emp_ID]],Master_Employee[Emp_ID],Master_Employee[Name_AR],"",0)</f>
        <v/>
      </c>
      <c r="E193" s="59" t="str">
        <f>_xlfn.XLOOKUP(Daily_Work[[#This Row],[Emp_ID]],Master_Employee[Emp_ID],Master_Employee[Name_EN],"",0)</f>
        <v/>
      </c>
      <c r="F193" s="37" t="str" cm="1">
        <f t="array" ref="F193">IF(Daily_Work[[#This Row],[Emp_ID]]=0,"",
_xlfn.XLOOKUP(Daily_Work[[#This Row],[Emp_ID]],Master_Employee[Emp_ID],EmpDepts,"",0)
)</f>
        <v/>
      </c>
      <c r="G193" s="31"/>
      <c r="I193" t="str">
        <f>IF(Daily_Work[[#This Row],[Project_Name]]="","",_xlfn.XLOOKUP(Daily_Work[[#This Row],[Project_Name]],ProjectNames,ProjectList,"",0))</f>
        <v/>
      </c>
      <c r="K193">
        <f>IF(Daily_Work[[#This Row],[Emp_Status]]="Absent",0,1)</f>
        <v>1</v>
      </c>
      <c r="M193" s="2"/>
      <c r="N193" s="2">
        <f>Daily_Work[[#This Row],[Days_Work]]*8</f>
        <v>0</v>
      </c>
      <c r="O193" s="73">
        <f>IFERROR(Daily_Work[[#This Row],[Days_Work]]*_xlfn.XLOOKUP(Daily_Work[[#This Row],[Emp_ID]],Master_Employee[Emp_ID],Master_Employee[Daily_Rate],"",0),0)</f>
        <v>0</v>
      </c>
      <c r="P193" s="75">
        <f>IFERROR(Daily_Work[[#This Row],[OT_Hrs]]*_xlfn.XLOOKUP(Daily_Work[[#This Row],[Emp_ID]],Master_Employee[Emp_ID],Master_Employee[OT_Hr_Rate],0),0)</f>
        <v>0</v>
      </c>
    </row>
    <row r="194" spans="1:16" ht="19.5" customHeight="1">
      <c r="A194" s="6">
        <v>189</v>
      </c>
      <c r="B194" s="72"/>
      <c r="D194" s="66" t="str">
        <f>_xlfn.XLOOKUP(Daily_Work[[#This Row],[Emp_ID]],Master_Employee[Emp_ID],Master_Employee[Name_AR],"",0)</f>
        <v/>
      </c>
      <c r="E194" s="59" t="str">
        <f>_xlfn.XLOOKUP(Daily_Work[[#This Row],[Emp_ID]],Master_Employee[Emp_ID],Master_Employee[Name_EN],"",0)</f>
        <v/>
      </c>
      <c r="F194" s="37" t="str" cm="1">
        <f t="array" ref="F194">IF(Daily_Work[[#This Row],[Emp_ID]]=0,"",
_xlfn.XLOOKUP(Daily_Work[[#This Row],[Emp_ID]],Master_Employee[Emp_ID],EmpDepts,"",0)
)</f>
        <v/>
      </c>
      <c r="G194" s="31"/>
      <c r="I194" t="str">
        <f>IF(Daily_Work[[#This Row],[Project_Name]]="","",_xlfn.XLOOKUP(Daily_Work[[#This Row],[Project_Name]],ProjectNames,ProjectList,"",0))</f>
        <v/>
      </c>
      <c r="K194">
        <f>IF(Daily_Work[[#This Row],[Emp_Status]]="Absent",0,1)</f>
        <v>1</v>
      </c>
      <c r="M194" s="2"/>
      <c r="N194" s="2">
        <f>Daily_Work[[#This Row],[Days_Work]]*8</f>
        <v>0</v>
      </c>
      <c r="O194" s="73">
        <f>IFERROR(Daily_Work[[#This Row],[Days_Work]]*_xlfn.XLOOKUP(Daily_Work[[#This Row],[Emp_ID]],Master_Employee[Emp_ID],Master_Employee[Daily_Rate],"",0),0)</f>
        <v>0</v>
      </c>
      <c r="P194" s="75">
        <f>IFERROR(Daily_Work[[#This Row],[OT_Hrs]]*_xlfn.XLOOKUP(Daily_Work[[#This Row],[Emp_ID]],Master_Employee[Emp_ID],Master_Employee[OT_Hr_Rate],0),0)</f>
        <v>0</v>
      </c>
    </row>
    <row r="195" spans="1:16" ht="19.5" customHeight="1">
      <c r="A195" s="6">
        <v>190</v>
      </c>
      <c r="B195" s="72"/>
      <c r="D195" s="66" t="str">
        <f>_xlfn.XLOOKUP(Daily_Work[[#This Row],[Emp_ID]],Master_Employee[Emp_ID],Master_Employee[Name_AR],"",0)</f>
        <v/>
      </c>
      <c r="E195" s="59" t="str">
        <f>_xlfn.XLOOKUP(Daily_Work[[#This Row],[Emp_ID]],Master_Employee[Emp_ID],Master_Employee[Name_EN],"",0)</f>
        <v/>
      </c>
      <c r="F195" s="37" t="str" cm="1">
        <f t="array" ref="F195">IF(Daily_Work[[#This Row],[Emp_ID]]=0,"",
_xlfn.XLOOKUP(Daily_Work[[#This Row],[Emp_ID]],Master_Employee[Emp_ID],EmpDepts,"",0)
)</f>
        <v/>
      </c>
      <c r="G195" s="31"/>
      <c r="I195" t="str">
        <f>IF(Daily_Work[[#This Row],[Project_Name]]="","",_xlfn.XLOOKUP(Daily_Work[[#This Row],[Project_Name]],ProjectNames,ProjectList,"",0))</f>
        <v/>
      </c>
      <c r="K195">
        <f>IF(Daily_Work[[#This Row],[Emp_Status]]="Absent",0,1)</f>
        <v>1</v>
      </c>
      <c r="M195" s="2"/>
      <c r="N195" s="2">
        <f>Daily_Work[[#This Row],[Days_Work]]*8</f>
        <v>0</v>
      </c>
      <c r="O195" s="73">
        <f>IFERROR(Daily_Work[[#This Row],[Days_Work]]*_xlfn.XLOOKUP(Daily_Work[[#This Row],[Emp_ID]],Master_Employee[Emp_ID],Master_Employee[Daily_Rate],"",0),0)</f>
        <v>0</v>
      </c>
      <c r="P195" s="75">
        <f>IFERROR(Daily_Work[[#This Row],[OT_Hrs]]*_xlfn.XLOOKUP(Daily_Work[[#This Row],[Emp_ID]],Master_Employee[Emp_ID],Master_Employee[OT_Hr_Rate],0),0)</f>
        <v>0</v>
      </c>
    </row>
    <row r="196" spans="1:16" ht="19.5" customHeight="1">
      <c r="A196" s="6">
        <v>191</v>
      </c>
      <c r="B196" s="72"/>
      <c r="D196" s="66" t="str">
        <f>_xlfn.XLOOKUP(Daily_Work[[#This Row],[Emp_ID]],Master_Employee[Emp_ID],Master_Employee[Name_AR],"",0)</f>
        <v/>
      </c>
      <c r="E196" s="59" t="str">
        <f>_xlfn.XLOOKUP(Daily_Work[[#This Row],[Emp_ID]],Master_Employee[Emp_ID],Master_Employee[Name_EN],"",0)</f>
        <v/>
      </c>
      <c r="F196" s="37" t="str" cm="1">
        <f t="array" ref="F196">IF(Daily_Work[[#This Row],[Emp_ID]]=0,"",
_xlfn.XLOOKUP(Daily_Work[[#This Row],[Emp_ID]],Master_Employee[Emp_ID],EmpDepts,"",0)
)</f>
        <v/>
      </c>
      <c r="G196" s="31"/>
      <c r="I196" t="str">
        <f>IF(Daily_Work[[#This Row],[Project_Name]]="","",_xlfn.XLOOKUP(Daily_Work[[#This Row],[Project_Name]],ProjectNames,ProjectList,"",0))</f>
        <v/>
      </c>
      <c r="K196">
        <f>IF(Daily_Work[[#This Row],[Emp_Status]]="Absent",0,1)</f>
        <v>1</v>
      </c>
      <c r="M196" s="2"/>
      <c r="N196" s="2">
        <f>Daily_Work[[#This Row],[Days_Work]]*8</f>
        <v>0</v>
      </c>
      <c r="O196" s="73">
        <f>IFERROR(Daily_Work[[#This Row],[Days_Work]]*_xlfn.XLOOKUP(Daily_Work[[#This Row],[Emp_ID]],Master_Employee[Emp_ID],Master_Employee[Daily_Rate],"",0),0)</f>
        <v>0</v>
      </c>
      <c r="P196" s="75">
        <f>IFERROR(Daily_Work[[#This Row],[OT_Hrs]]*_xlfn.XLOOKUP(Daily_Work[[#This Row],[Emp_ID]],Master_Employee[Emp_ID],Master_Employee[OT_Hr_Rate],0),0)</f>
        <v>0</v>
      </c>
    </row>
    <row r="197" spans="1:16" ht="19.5" customHeight="1">
      <c r="A197" s="6">
        <v>192</v>
      </c>
      <c r="B197" s="72"/>
      <c r="D197" s="66" t="str">
        <f>_xlfn.XLOOKUP(Daily_Work[[#This Row],[Emp_ID]],Master_Employee[Emp_ID],Master_Employee[Name_AR],"",0)</f>
        <v/>
      </c>
      <c r="E197" s="59" t="str">
        <f>_xlfn.XLOOKUP(Daily_Work[[#This Row],[Emp_ID]],Master_Employee[Emp_ID],Master_Employee[Name_EN],"",0)</f>
        <v/>
      </c>
      <c r="F197" s="37" t="str" cm="1">
        <f t="array" ref="F197">IF(Daily_Work[[#This Row],[Emp_ID]]=0,"",
_xlfn.XLOOKUP(Daily_Work[[#This Row],[Emp_ID]],Master_Employee[Emp_ID],EmpDepts,"",0)
)</f>
        <v/>
      </c>
      <c r="G197" s="31"/>
      <c r="I197" t="str">
        <f>IF(Daily_Work[[#This Row],[Project_Name]]="","",_xlfn.XLOOKUP(Daily_Work[[#This Row],[Project_Name]],ProjectNames,ProjectList,"",0))</f>
        <v/>
      </c>
      <c r="K197">
        <f>IF(Daily_Work[[#This Row],[Emp_Status]]="Absent",0,1)</f>
        <v>1</v>
      </c>
      <c r="M197" s="2"/>
      <c r="N197" s="2">
        <f>Daily_Work[[#This Row],[Days_Work]]*8</f>
        <v>0</v>
      </c>
      <c r="O197" s="73">
        <f>IFERROR(Daily_Work[[#This Row],[Days_Work]]*_xlfn.XLOOKUP(Daily_Work[[#This Row],[Emp_ID]],Master_Employee[Emp_ID],Master_Employee[Daily_Rate],"",0),0)</f>
        <v>0</v>
      </c>
      <c r="P197" s="75">
        <f>IFERROR(Daily_Work[[#This Row],[OT_Hrs]]*_xlfn.XLOOKUP(Daily_Work[[#This Row],[Emp_ID]],Master_Employee[Emp_ID],Master_Employee[OT_Hr_Rate],0),0)</f>
        <v>0</v>
      </c>
    </row>
    <row r="198" spans="1:16" ht="19.5" customHeight="1">
      <c r="A198" s="6">
        <v>193</v>
      </c>
      <c r="B198" s="72"/>
      <c r="D198" s="66" t="str">
        <f>_xlfn.XLOOKUP(Daily_Work[[#This Row],[Emp_ID]],Master_Employee[Emp_ID],Master_Employee[Name_AR],"",0)</f>
        <v/>
      </c>
      <c r="E198" s="59" t="str">
        <f>_xlfn.XLOOKUP(Daily_Work[[#This Row],[Emp_ID]],Master_Employee[Emp_ID],Master_Employee[Name_EN],"",0)</f>
        <v/>
      </c>
      <c r="F198" s="37" t="str" cm="1">
        <f t="array" ref="F198">IF(Daily_Work[[#This Row],[Emp_ID]]=0,"",
_xlfn.XLOOKUP(Daily_Work[[#This Row],[Emp_ID]],Master_Employee[Emp_ID],EmpDepts,"",0)
)</f>
        <v/>
      </c>
      <c r="G198" s="31"/>
      <c r="I198" t="str">
        <f>IF(Daily_Work[[#This Row],[Project_Name]]="","",_xlfn.XLOOKUP(Daily_Work[[#This Row],[Project_Name]],ProjectNames,ProjectList,"",0))</f>
        <v/>
      </c>
      <c r="K198">
        <f>IF(Daily_Work[[#This Row],[Emp_Status]]="Absent",0,1)</f>
        <v>1</v>
      </c>
      <c r="M198" s="2"/>
      <c r="N198" s="2">
        <f>Daily_Work[[#This Row],[Days_Work]]*8</f>
        <v>0</v>
      </c>
      <c r="O198" s="73">
        <f>IFERROR(Daily_Work[[#This Row],[Days_Work]]*_xlfn.XLOOKUP(Daily_Work[[#This Row],[Emp_ID]],Master_Employee[Emp_ID],Master_Employee[Daily_Rate],"",0),0)</f>
        <v>0</v>
      </c>
      <c r="P198" s="75">
        <f>IFERROR(Daily_Work[[#This Row],[OT_Hrs]]*_xlfn.XLOOKUP(Daily_Work[[#This Row],[Emp_ID]],Master_Employee[Emp_ID],Master_Employee[OT_Hr_Rate],0),0)</f>
        <v>0</v>
      </c>
    </row>
    <row r="199" spans="1:16" ht="19.5" customHeight="1">
      <c r="A199" s="6">
        <v>194</v>
      </c>
      <c r="B199" s="72"/>
      <c r="D199" s="66" t="str">
        <f>_xlfn.XLOOKUP(Daily_Work[[#This Row],[Emp_ID]],Master_Employee[Emp_ID],Master_Employee[Name_AR],"",0)</f>
        <v/>
      </c>
      <c r="E199" s="59" t="str">
        <f>_xlfn.XLOOKUP(Daily_Work[[#This Row],[Emp_ID]],Master_Employee[Emp_ID],Master_Employee[Name_EN],"",0)</f>
        <v/>
      </c>
      <c r="F199" s="37" t="str" cm="1">
        <f t="array" ref="F199">IF(Daily_Work[[#This Row],[Emp_ID]]=0,"",
_xlfn.XLOOKUP(Daily_Work[[#This Row],[Emp_ID]],Master_Employee[Emp_ID],EmpDepts,"",0)
)</f>
        <v/>
      </c>
      <c r="G199" s="31"/>
      <c r="I199" t="str">
        <f>IF(Daily_Work[[#This Row],[Project_Name]]="","",_xlfn.XLOOKUP(Daily_Work[[#This Row],[Project_Name]],ProjectNames,ProjectList,"",0))</f>
        <v/>
      </c>
      <c r="K199">
        <f>IF(Daily_Work[[#This Row],[Emp_Status]]="Absent",0,1)</f>
        <v>1</v>
      </c>
      <c r="M199" s="2"/>
      <c r="N199" s="2">
        <f>Daily_Work[[#This Row],[Days_Work]]*8</f>
        <v>0</v>
      </c>
      <c r="O199" s="73">
        <f>IFERROR(Daily_Work[[#This Row],[Days_Work]]*_xlfn.XLOOKUP(Daily_Work[[#This Row],[Emp_ID]],Master_Employee[Emp_ID],Master_Employee[Daily_Rate],"",0),0)</f>
        <v>0</v>
      </c>
      <c r="P199" s="75">
        <f>IFERROR(Daily_Work[[#This Row],[OT_Hrs]]*_xlfn.XLOOKUP(Daily_Work[[#This Row],[Emp_ID]],Master_Employee[Emp_ID],Master_Employee[OT_Hr_Rate],0),0)</f>
        <v>0</v>
      </c>
    </row>
    <row r="200" spans="1:16" ht="19.5" customHeight="1">
      <c r="A200" s="6">
        <v>195</v>
      </c>
      <c r="B200" s="72"/>
      <c r="D200" s="66" t="str">
        <f>_xlfn.XLOOKUP(Daily_Work[[#This Row],[Emp_ID]],Master_Employee[Emp_ID],Master_Employee[Name_AR],"",0)</f>
        <v/>
      </c>
      <c r="E200" s="59" t="str">
        <f>_xlfn.XLOOKUP(Daily_Work[[#This Row],[Emp_ID]],Master_Employee[Emp_ID],Master_Employee[Name_EN],"",0)</f>
        <v/>
      </c>
      <c r="F200" s="37" t="str" cm="1">
        <f t="array" ref="F200">IF(Daily_Work[[#This Row],[Emp_ID]]=0,"",
_xlfn.XLOOKUP(Daily_Work[[#This Row],[Emp_ID]],Master_Employee[Emp_ID],EmpDepts,"",0)
)</f>
        <v/>
      </c>
      <c r="G200" s="31"/>
      <c r="I200" t="str">
        <f>IF(Daily_Work[[#This Row],[Project_Name]]="","",_xlfn.XLOOKUP(Daily_Work[[#This Row],[Project_Name]],ProjectNames,ProjectList,"",0))</f>
        <v/>
      </c>
      <c r="K200">
        <f>IF(Daily_Work[[#This Row],[Emp_Status]]="Absent",0,1)</f>
        <v>1</v>
      </c>
      <c r="M200" s="2"/>
      <c r="N200" s="2">
        <f>Daily_Work[[#This Row],[Days_Work]]*8</f>
        <v>0</v>
      </c>
      <c r="O200" s="73">
        <f>IFERROR(Daily_Work[[#This Row],[Days_Work]]*_xlfn.XLOOKUP(Daily_Work[[#This Row],[Emp_ID]],Master_Employee[Emp_ID],Master_Employee[Daily_Rate],"",0),0)</f>
        <v>0</v>
      </c>
      <c r="P200" s="75">
        <f>IFERROR(Daily_Work[[#This Row],[OT_Hrs]]*_xlfn.XLOOKUP(Daily_Work[[#This Row],[Emp_ID]],Master_Employee[Emp_ID],Master_Employee[OT_Hr_Rate],0),0)</f>
        <v>0</v>
      </c>
    </row>
    <row r="201" spans="1:16" ht="19.5" customHeight="1">
      <c r="A201" s="6">
        <v>196</v>
      </c>
      <c r="B201" s="72"/>
      <c r="D201" s="66" t="str">
        <f>_xlfn.XLOOKUP(Daily_Work[[#This Row],[Emp_ID]],Master_Employee[Emp_ID],Master_Employee[Name_AR],"",0)</f>
        <v/>
      </c>
      <c r="E201" s="59" t="str">
        <f>_xlfn.XLOOKUP(Daily_Work[[#This Row],[Emp_ID]],Master_Employee[Emp_ID],Master_Employee[Name_EN],"",0)</f>
        <v/>
      </c>
      <c r="F201" s="37" t="str" cm="1">
        <f t="array" ref="F201">IF(Daily_Work[[#This Row],[Emp_ID]]=0,"",
_xlfn.XLOOKUP(Daily_Work[[#This Row],[Emp_ID]],Master_Employee[Emp_ID],EmpDepts,"",0)
)</f>
        <v/>
      </c>
      <c r="G201" s="31"/>
      <c r="I201" t="str">
        <f>IF(Daily_Work[[#This Row],[Project_Name]]="","",_xlfn.XLOOKUP(Daily_Work[[#This Row],[Project_Name]],ProjectNames,ProjectList,"",0))</f>
        <v/>
      </c>
      <c r="K201">
        <f>IF(Daily_Work[[#This Row],[Emp_Status]]="Absent",0,1)</f>
        <v>1</v>
      </c>
      <c r="M201" s="2"/>
      <c r="N201" s="2">
        <f>Daily_Work[[#This Row],[Days_Work]]*8</f>
        <v>0</v>
      </c>
      <c r="O201" s="73">
        <f>IFERROR(Daily_Work[[#This Row],[Days_Work]]*_xlfn.XLOOKUP(Daily_Work[[#This Row],[Emp_ID]],Master_Employee[Emp_ID],Master_Employee[Daily_Rate],"",0),0)</f>
        <v>0</v>
      </c>
      <c r="P201" s="75">
        <f>IFERROR(Daily_Work[[#This Row],[OT_Hrs]]*_xlfn.XLOOKUP(Daily_Work[[#This Row],[Emp_ID]],Master_Employee[Emp_ID],Master_Employee[OT_Hr_Rate],0),0)</f>
        <v>0</v>
      </c>
    </row>
    <row r="202" spans="1:16" ht="19.5" customHeight="1">
      <c r="A202" s="6">
        <v>197</v>
      </c>
      <c r="B202" s="72"/>
      <c r="D202" s="66" t="str">
        <f>_xlfn.XLOOKUP(Daily_Work[[#This Row],[Emp_ID]],Master_Employee[Emp_ID],Master_Employee[Name_AR],"",0)</f>
        <v/>
      </c>
      <c r="E202" s="59" t="str">
        <f>_xlfn.XLOOKUP(Daily_Work[[#This Row],[Emp_ID]],Master_Employee[Emp_ID],Master_Employee[Name_EN],"",0)</f>
        <v/>
      </c>
      <c r="F202" s="38" t="str" cm="1">
        <f t="array" ref="F202">IF(Daily_Work[[#This Row],[Emp_ID]]=0,"",
_xlfn.XLOOKUP(Daily_Work[[#This Row],[Emp_ID]],Master_Employee[Emp_ID],EmpDepts,"",0)
)</f>
        <v/>
      </c>
      <c r="G202" s="32"/>
      <c r="I202" t="str">
        <f>IF(Daily_Work[[#This Row],[Project_Name]]="","",_xlfn.XLOOKUP(Daily_Work[[#This Row],[Project_Name]],ProjectNames,ProjectList,"",0))</f>
        <v/>
      </c>
      <c r="K202">
        <f>IF(Daily_Work[[#This Row],[Emp_Status]]="Absent",0,1)</f>
        <v>1</v>
      </c>
      <c r="M202" s="9"/>
      <c r="N202" s="2">
        <f>Daily_Work[[#This Row],[Days_Work]]*8</f>
        <v>0</v>
      </c>
      <c r="O202" s="74">
        <f>IFERROR(Daily_Work[[#This Row],[Days_Work]]*_xlfn.XLOOKUP(Daily_Work[[#This Row],[Emp_ID]],Master_Employee[Emp_ID],Master_Employee[Daily_Rate],"",0),0)</f>
        <v>0</v>
      </c>
      <c r="P202" s="76">
        <f>IFERROR(Daily_Work[[#This Row],[OT_Hrs]]*_xlfn.XLOOKUP(Daily_Work[[#This Row],[Emp_ID]],Master_Employee[Emp_ID],Master_Employee[OT_Hr_Rate],0),0)</f>
        <v>0</v>
      </c>
    </row>
    <row r="203" spans="1:16" ht="19.5" customHeight="1"/>
    <row r="204" spans="1:16" ht="19.5" customHeight="1"/>
    <row r="205" spans="1:16" ht="19.5" customHeight="1"/>
  </sheetData>
  <mergeCells count="2">
    <mergeCell ref="A2:C2"/>
    <mergeCell ref="F1:I1"/>
  </mergeCells>
  <phoneticPr fontId="15" type="noConversion"/>
  <dataValidations count="8">
    <dataValidation type="list" allowBlank="1" showInputMessage="1" showErrorMessage="1" sqref="D2" xr:uid="{2BDECB36-31EE-46CB-86F2-24002FBD67D3}">
      <formula1>INDIRECT("tbl_Dept[Dept_Name]")</formula1>
    </dataValidation>
    <dataValidation type="list" allowBlank="1" showInputMessage="1" showErrorMessage="1" sqref="U7" xr:uid="{2D4A10C7-779F-4F5B-895D-5302D08E427F}">
      <formula1>_xlfn.ANCHORARRAY($S$8)</formula1>
    </dataValidation>
    <dataValidation type="list" allowBlank="1" showInputMessage="1" showErrorMessage="1" sqref="G6:G202" xr:uid="{2661AC50-B758-4F98-B039-638E33604097}">
      <formula1>INDIRECT("Super[Supervisor_Name]")</formula1>
    </dataValidation>
    <dataValidation type="list" allowBlank="1" showInputMessage="1" showErrorMessage="1" sqref="H6:H202" xr:uid="{DE1BF8EE-2813-469E-A1A3-10C9A1241960}">
      <formula1>INDIRECT("tbl_Projects[Project_Name]")</formula1>
    </dataValidation>
    <dataValidation type="list" allowBlank="1" showInputMessage="1" showErrorMessage="1" sqref="J6:J202" xr:uid="{691A2E4F-7C31-4107-89B2-288E4768BCDA}">
      <formula1>INDIRECT("Work_Status[Work_Status]")</formula1>
    </dataValidation>
    <dataValidation type="custom" allowBlank="1" showInputMessage="1" showErrorMessage="1" errorTitle="Alert - تنبيه" error="لا يمكن إدخال بيانات إلا إذا كانت حالة الموظف يعمل_x000d__x000a__x000d__x000a_Data can only be entered if the employee's status is Work" sqref="L6:L202" xr:uid="{8EA9BBEE-C9E4-4052-9765-A22E7C2DF0E0}">
      <formula1>J6&lt;&gt;"Absent"</formula1>
    </dataValidation>
    <dataValidation type="custom" allowBlank="1" showInputMessage="1" showErrorMessage="1" errorTitle="Alert - تنبيه" error="لا يمكن إدخال بيانات إلا إذا كانت حالة الموظف يعمل_x000d__x000a__x000d__x000a_Data can only be entered if the employee's status is Work" sqref="M6:M202" xr:uid="{FF90094F-9CEF-4FB8-B74D-E85E8501D63C}">
      <formula1>J6&lt;&gt;"Absent"</formula1>
    </dataValidation>
    <dataValidation type="list" allowBlank="1" showInputMessage="1" showErrorMessage="1" sqref="C6:C202" xr:uid="{CAFFF9C0-71FD-4AC1-BDCA-5BB29BCE5DE1}">
      <formula1>_xlfn.ANCHORARRAY($X$8)</formula1>
    </dataValidation>
  </dataValidations>
  <pageMargins left="0.75" right="0.75" top="1" bottom="1" header="0.511811023622047" footer="0.511811023622047"/>
  <pageSetup orientation="portrait" horizontalDpi="300" verticalDpi="300"/>
  <ignoredErrors>
    <ignoredError sqref="C46:C202" calculatedColumn="1"/>
  </ignoredErrors>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86196-EF67-4BA4-9671-DE86D48944AF}">
  <dimension ref="B1:CS336"/>
  <sheetViews>
    <sheetView rightToLeft="1" topLeftCell="AA1" workbookViewId="0">
      <selection activeCell="K8" sqref="K8"/>
    </sheetView>
  </sheetViews>
  <sheetFormatPr defaultRowHeight="14.4"/>
  <cols>
    <col min="1" max="1" width="5.47265625" customWidth="1"/>
    <col min="2" max="2" width="6.26171875" customWidth="1"/>
    <col min="3" max="3" width="19.7890625" customWidth="1"/>
    <col min="4" max="4" width="3.15625" customWidth="1"/>
    <col min="5" max="5" width="2.7890625" customWidth="1"/>
    <col min="6" max="8" width="18.83984375" customWidth="1"/>
    <col min="10" max="10" width="3.62890625" customWidth="1"/>
    <col min="11" max="11" width="16.1015625" customWidth="1"/>
    <col min="12" max="12" width="11.3671875" customWidth="1"/>
    <col min="13" max="13" width="27.20703125" customWidth="1"/>
    <col min="16" max="16" width="23.9453125" customWidth="1"/>
    <col min="19" max="20" width="13.7890625" customWidth="1"/>
    <col min="21" max="21" width="13.7890625" hidden="1" customWidth="1"/>
    <col min="22" max="22" width="10.9453125" bestFit="1" customWidth="1"/>
    <col min="23" max="23" width="10.9453125" customWidth="1"/>
    <col min="24" max="24" width="15.1015625" customWidth="1"/>
    <col min="25" max="25" width="10.9453125" customWidth="1"/>
    <col min="26" max="26" width="9.89453125" customWidth="1"/>
    <col min="28" max="28" width="1.62890625" customWidth="1"/>
    <col min="29" max="29" width="9.41796875" customWidth="1"/>
    <col min="30" max="30" width="1.41796875" customWidth="1"/>
    <col min="31" max="31" width="15.26171875" customWidth="1"/>
    <col min="32" max="32" width="2.734375" customWidth="1"/>
    <col min="33" max="33" width="19.83984375" customWidth="1"/>
    <col min="34" max="34" width="13.89453125" customWidth="1"/>
    <col min="36" max="36" width="6.05078125" bestFit="1" customWidth="1"/>
    <col min="37" max="42" width="15.734375" customWidth="1"/>
    <col min="43" max="43" width="6.05078125" customWidth="1"/>
    <col min="44" max="45" width="8.83984375" style="17" customWidth="1"/>
    <col min="46" max="46" width="15.1015625" style="17" customWidth="1"/>
    <col min="47" max="47" width="19.83984375" style="17" bestFit="1" customWidth="1"/>
    <col min="48" max="48" width="31.89453125" style="17" bestFit="1" customWidth="1"/>
    <col min="49" max="49" width="8.83984375" hidden="1" customWidth="1"/>
    <col min="53" max="53" width="13.26171875" customWidth="1"/>
    <col min="54" max="54" width="10.5234375" customWidth="1"/>
    <col min="55" max="55" width="10.47265625" customWidth="1"/>
    <col min="56" max="56" width="15.1015625" hidden="1" customWidth="1"/>
    <col min="60" max="60" width="13.26171875" customWidth="1"/>
    <col min="61" max="61" width="10.5234375" customWidth="1"/>
    <col min="62" max="62" width="10.47265625" customWidth="1"/>
    <col min="63" max="63" width="15.1015625" hidden="1" customWidth="1"/>
    <col min="70" max="70" width="0" hidden="1" customWidth="1"/>
    <col min="77" max="77" width="0" hidden="1" customWidth="1"/>
    <col min="84" max="84" width="0" hidden="1" customWidth="1"/>
    <col min="88" max="88" width="10.5234375" customWidth="1"/>
    <col min="89" max="89" width="10.47265625" customWidth="1"/>
    <col min="90" max="90" width="15.1015625" hidden="1" customWidth="1"/>
    <col min="94" max="94" width="13" customWidth="1"/>
    <col min="96" max="96" width="11.83984375" customWidth="1"/>
  </cols>
  <sheetData>
    <row r="1" spans="2:97" ht="14.4" customHeight="1">
      <c r="AR1" s="130" t="s">
        <v>16</v>
      </c>
      <c r="AS1" s="130"/>
      <c r="AT1" s="130"/>
      <c r="AY1" s="130" t="s">
        <v>11</v>
      </c>
      <c r="AZ1" s="130"/>
      <c r="BA1" s="130"/>
      <c r="BB1" s="17"/>
      <c r="BC1" s="17"/>
      <c r="BF1" s="130" t="s">
        <v>351</v>
      </c>
      <c r="BG1" s="130"/>
      <c r="BH1" s="130"/>
      <c r="BM1" s="130" t="s">
        <v>21</v>
      </c>
      <c r="BN1" s="130"/>
      <c r="BO1" s="130"/>
      <c r="BT1" s="130" t="s">
        <v>25</v>
      </c>
      <c r="BU1" s="130"/>
      <c r="BV1" s="130"/>
      <c r="CA1" s="130" t="s">
        <v>27</v>
      </c>
      <c r="CB1" s="130"/>
      <c r="CC1" s="130"/>
      <c r="CH1" s="130" t="s">
        <v>160</v>
      </c>
      <c r="CI1" s="130"/>
      <c r="CJ1" s="130"/>
    </row>
    <row r="2" spans="2:97" ht="23.1" customHeight="1">
      <c r="B2" s="129" t="s">
        <v>85</v>
      </c>
      <c r="C2" s="129"/>
      <c r="F2" s="129" t="s">
        <v>147</v>
      </c>
      <c r="G2" s="129"/>
      <c r="H2" s="129"/>
      <c r="K2" s="19" t="s">
        <v>88</v>
      </c>
      <c r="M2" s="19" t="s">
        <v>145</v>
      </c>
      <c r="P2" s="19" t="s">
        <v>2</v>
      </c>
      <c r="X2" s="131" t="s">
        <v>621</v>
      </c>
      <c r="Y2" s="131"/>
      <c r="AR2" s="130"/>
      <c r="AS2" s="130"/>
      <c r="AT2" s="130"/>
      <c r="AV2" s="42" t="str">
        <f>_xlfn.XLOOKUP(AR1,tbl_Dept[Dept_Name],tbl_Dept[Dept_ID],"",0)</f>
        <v>CON_D03</v>
      </c>
      <c r="AY2" s="130"/>
      <c r="AZ2" s="130"/>
      <c r="BA2" s="130"/>
      <c r="BB2" s="17"/>
      <c r="BC2" s="42" t="str">
        <f>_xlfn.XLOOKUP(AY1,tbl_Dept[Dept_Name],tbl_Dept[Dept_ID],"",0)</f>
        <v>FIN_D02</v>
      </c>
      <c r="BF2" s="130"/>
      <c r="BG2" s="130"/>
      <c r="BH2" s="130"/>
      <c r="BJ2" s="42" t="str">
        <f>_xlfn.XLOOKUP(BF1,tbl_Dept[Dept_Name],tbl_Dept[Dept_ID],"",0)</f>
        <v>ADM_D01</v>
      </c>
      <c r="BM2" s="130"/>
      <c r="BN2" s="130"/>
      <c r="BO2" s="130"/>
      <c r="BQ2" s="42" t="str">
        <f>_xlfn.XLOOKUP(BM1,tbl_Dept[Dept_Name],tbl_Dept[Dept_ID],"",0)</f>
        <v>ELE_D04</v>
      </c>
      <c r="BT2" s="130"/>
      <c r="BU2" s="130"/>
      <c r="BV2" s="130"/>
      <c r="BX2" s="42" t="str">
        <f>_xlfn.XLOOKUP(BT1,tbl_Dept[Dept_Name],tbl_Dept[Dept_ID],"",0)</f>
        <v>PLM_D05</v>
      </c>
      <c r="CA2" s="130"/>
      <c r="CB2" s="130"/>
      <c r="CC2" s="130"/>
      <c r="CE2" s="42" t="str">
        <f>_xlfn.XLOOKUP(CA1,tbl_Dept[Dept_Name],tbl_Dept[Dept_ID],"",0)</f>
        <v>STN_D06</v>
      </c>
      <c r="CH2" s="130"/>
      <c r="CI2" s="130"/>
      <c r="CJ2" s="130"/>
      <c r="CK2" s="42" t="str">
        <f>_xlfn.XLOOKUP(CH1,tbl_Dept[Dept_Name],tbl_Dept[Dept_ID],"",0)</f>
        <v>All_D11</v>
      </c>
      <c r="CP2" t="s">
        <v>578</v>
      </c>
      <c r="CR2" t="s">
        <v>4</v>
      </c>
      <c r="CS2" t="s">
        <v>597</v>
      </c>
    </row>
    <row r="3" spans="2:97" ht="14.4" customHeight="1">
      <c r="F3" t="s">
        <v>87</v>
      </c>
      <c r="AK3" s="46" t="s">
        <v>37</v>
      </c>
      <c r="AL3" s="47" t="s">
        <v>79</v>
      </c>
      <c r="AM3" s="47" t="s">
        <v>364</v>
      </c>
      <c r="AN3" s="47" t="s">
        <v>82</v>
      </c>
      <c r="AO3" s="43" t="s">
        <v>83</v>
      </c>
      <c r="AP3" s="48" t="s">
        <v>350</v>
      </c>
      <c r="AR3" s="17" t="s">
        <v>37</v>
      </c>
      <c r="AS3" s="17" t="s">
        <v>79</v>
      </c>
      <c r="AT3" s="17" t="s">
        <v>364</v>
      </c>
      <c r="AU3" s="17" t="s">
        <v>82</v>
      </c>
      <c r="AV3" s="17" t="s">
        <v>83</v>
      </c>
      <c r="AW3" s="17" t="s">
        <v>350</v>
      </c>
      <c r="AY3" s="17" t="s">
        <v>37</v>
      </c>
      <c r="AZ3" s="17" t="s">
        <v>79</v>
      </c>
      <c r="BA3" s="17" t="s">
        <v>364</v>
      </c>
      <c r="BB3" s="17" t="s">
        <v>82</v>
      </c>
      <c r="BC3" s="17" t="s">
        <v>83</v>
      </c>
      <c r="BD3" s="44" t="s">
        <v>350</v>
      </c>
      <c r="BF3" t="s">
        <v>37</v>
      </c>
      <c r="BG3" t="s">
        <v>79</v>
      </c>
      <c r="BH3" t="s">
        <v>364</v>
      </c>
      <c r="BI3" t="s">
        <v>82</v>
      </c>
      <c r="BJ3" t="s">
        <v>83</v>
      </c>
      <c r="BK3" t="s">
        <v>350</v>
      </c>
      <c r="BM3" t="s">
        <v>37</v>
      </c>
      <c r="BN3" t="s">
        <v>79</v>
      </c>
      <c r="BO3" t="s">
        <v>364</v>
      </c>
      <c r="BP3" t="s">
        <v>82</v>
      </c>
      <c r="BQ3" t="s">
        <v>83</v>
      </c>
      <c r="BR3" t="s">
        <v>350</v>
      </c>
      <c r="BT3" t="s">
        <v>37</v>
      </c>
      <c r="BU3" t="s">
        <v>79</v>
      </c>
      <c r="BV3" t="s">
        <v>364</v>
      </c>
      <c r="BW3" t="s">
        <v>82</v>
      </c>
      <c r="BX3" t="s">
        <v>83</v>
      </c>
      <c r="BY3" t="s">
        <v>350</v>
      </c>
      <c r="CA3" t="s">
        <v>37</v>
      </c>
      <c r="CB3" t="s">
        <v>79</v>
      </c>
      <c r="CC3" t="s">
        <v>364</v>
      </c>
      <c r="CD3" t="s">
        <v>82</v>
      </c>
      <c r="CE3" t="s">
        <v>83</v>
      </c>
      <c r="CF3" t="s">
        <v>350</v>
      </c>
      <c r="CH3" t="s">
        <v>37</v>
      </c>
      <c r="CI3" t="s">
        <v>79</v>
      </c>
      <c r="CJ3" t="s">
        <v>82</v>
      </c>
      <c r="CK3" t="s">
        <v>83</v>
      </c>
      <c r="CL3" t="s">
        <v>350</v>
      </c>
      <c r="CP3" t="s">
        <v>579</v>
      </c>
      <c r="CR3" t="s">
        <v>602</v>
      </c>
      <c r="CS3" t="s">
        <v>601</v>
      </c>
    </row>
    <row r="4" spans="2:97">
      <c r="B4" s="22" t="s">
        <v>37</v>
      </c>
      <c r="C4" s="20" t="s">
        <v>79</v>
      </c>
      <c r="F4" s="20" t="s">
        <v>81</v>
      </c>
      <c r="G4" s="20" t="s">
        <v>86</v>
      </c>
      <c r="H4" s="20" t="s">
        <v>80</v>
      </c>
      <c r="K4" s="20" t="s">
        <v>88</v>
      </c>
      <c r="M4" s="17" t="s">
        <v>145</v>
      </c>
      <c r="N4" s="17" t="s">
        <v>403</v>
      </c>
      <c r="P4" t="s">
        <v>2</v>
      </c>
      <c r="Q4" t="s">
        <v>423</v>
      </c>
      <c r="S4" s="20" t="s">
        <v>360</v>
      </c>
      <c r="T4" s="20" t="s">
        <v>358</v>
      </c>
      <c r="U4" s="20" t="s">
        <v>359</v>
      </c>
      <c r="V4" s="20" t="s">
        <v>402</v>
      </c>
      <c r="W4" s="20"/>
      <c r="X4" s="18" t="s">
        <v>3</v>
      </c>
      <c r="Y4" s="20" t="s">
        <v>620</v>
      </c>
      <c r="AA4" s="18" t="s">
        <v>357</v>
      </c>
      <c r="AC4" s="18" t="s">
        <v>355</v>
      </c>
      <c r="AE4" s="18" t="s">
        <v>149</v>
      </c>
      <c r="AG4" s="17" t="s">
        <v>375</v>
      </c>
      <c r="AH4" s="17" t="s">
        <v>376</v>
      </c>
      <c r="AJ4" s="17"/>
      <c r="AK4" s="17" cm="1">
        <f t="array" ref="AK4:AP336">_xlfn.VSTACK(Emp_CON[],Emp_FIN[],Emp_ADM[],Emp_ELE[],Emp_PLM[],Emp_STN[])</f>
        <v>1</v>
      </c>
      <c r="AL4" s="17" t="str">
        <v>O183</v>
      </c>
      <c r="AM4" s="17">
        <v>0</v>
      </c>
      <c r="AN4" s="17" t="str">
        <v>محمد عمران انصاري</v>
      </c>
      <c r="AO4" s="17" t="str">
        <v>Muhammad Imran Ansari</v>
      </c>
      <c r="AP4" s="17" t="str">
        <v>CON_D03</v>
      </c>
      <c r="AR4" s="17">
        <v>1</v>
      </c>
      <c r="AS4" s="17" t="s">
        <v>161</v>
      </c>
      <c r="AU4" s="17" t="s">
        <v>162</v>
      </c>
      <c r="AV4" s="23" t="s">
        <v>444</v>
      </c>
      <c r="AW4" s="17" t="str">
        <f t="shared" ref="AW4:AW35" si="0">$AV$2</f>
        <v>CON_D03</v>
      </c>
      <c r="AY4" s="17">
        <v>1</v>
      </c>
      <c r="AZ4" s="17">
        <v>243</v>
      </c>
      <c r="BA4" s="17"/>
      <c r="BB4" s="17" t="s">
        <v>848</v>
      </c>
      <c r="BC4" s="17"/>
      <c r="BD4" t="str">
        <f t="shared" ref="BD4:BD35" si="1">$BC$2</f>
        <v>FIN_D02</v>
      </c>
      <c r="BF4">
        <v>1</v>
      </c>
      <c r="BG4">
        <v>146</v>
      </c>
      <c r="BI4" t="s">
        <v>832</v>
      </c>
      <c r="BK4" t="str">
        <f>$BJ$2</f>
        <v>ADM_D01</v>
      </c>
      <c r="BM4">
        <v>1</v>
      </c>
      <c r="BR4" t="str">
        <f>$BQ$2</f>
        <v>ELE_D04</v>
      </c>
      <c r="BT4">
        <v>1</v>
      </c>
      <c r="BY4" t="str">
        <f t="shared" ref="BY4:BY15" si="2">$BX$2</f>
        <v>PLM_D05</v>
      </c>
      <c r="CA4">
        <v>1</v>
      </c>
      <c r="CF4" t="str">
        <f t="shared" ref="CF4:CF15" si="3">$CE$2</f>
        <v>STN_D06</v>
      </c>
      <c r="CH4">
        <v>1</v>
      </c>
      <c r="CL4" t="str">
        <f t="shared" ref="CL4:CL16" si="4">$CK$2</f>
        <v>All_D11</v>
      </c>
      <c r="CP4" t="s">
        <v>580</v>
      </c>
      <c r="CR4" t="s">
        <v>156</v>
      </c>
      <c r="CS4" t="s">
        <v>599</v>
      </c>
    </row>
    <row r="5" spans="2:97">
      <c r="B5" s="20">
        <v>1</v>
      </c>
      <c r="C5" s="17" t="s">
        <v>161</v>
      </c>
      <c r="F5" t="s">
        <v>172</v>
      </c>
      <c r="G5" t="str">
        <f>IFERROR(_xlfn.XLOOKUP(Super[[#This Row],[Supervisor_Name]],EmpNames,EmpIDs,"",0),0)</f>
        <v/>
      </c>
      <c r="H5" t="s">
        <v>351</v>
      </c>
      <c r="K5" s="20" t="s">
        <v>427</v>
      </c>
      <c r="M5" s="17" t="s">
        <v>411</v>
      </c>
      <c r="N5" s="17" t="s">
        <v>412</v>
      </c>
      <c r="P5" s="54" t="s">
        <v>420</v>
      </c>
      <c r="Q5" t="s">
        <v>424</v>
      </c>
      <c r="S5" s="20">
        <v>2026</v>
      </c>
      <c r="T5" s="51">
        <v>1</v>
      </c>
      <c r="U5" s="51">
        <f>1</f>
        <v>1</v>
      </c>
      <c r="V5" s="65">
        <f>DATE(Month[[#This Row],[Year]],Month[[#This Row],[Month]],Month[[#This Row],[Day]])</f>
        <v>46023</v>
      </c>
      <c r="W5" s="64"/>
      <c r="X5" s="64" t="s">
        <v>622</v>
      </c>
      <c r="Y5" s="64" t="s">
        <v>625</v>
      </c>
      <c r="AA5" s="20" t="s">
        <v>830</v>
      </c>
      <c r="AC5" s="20"/>
      <c r="AE5" t="s">
        <v>962</v>
      </c>
      <c r="AG5" t="s">
        <v>377</v>
      </c>
      <c r="AJ5" s="17"/>
      <c r="AK5" s="17">
        <v>2</v>
      </c>
      <c r="AL5" s="17" t="str">
        <v>O287</v>
      </c>
      <c r="AM5" s="17">
        <v>0</v>
      </c>
      <c r="AN5" s="17" t="str">
        <v>علاء الدين مسلمان</v>
      </c>
      <c r="AO5" s="17" t="str">
        <v>Aladdin Muslim</v>
      </c>
      <c r="AP5" s="17" t="str">
        <v>CON_D03</v>
      </c>
      <c r="AR5" s="17">
        <v>2</v>
      </c>
      <c r="AS5" s="17" t="s">
        <v>163</v>
      </c>
      <c r="AU5" s="17" t="s">
        <v>164</v>
      </c>
      <c r="AV5" s="54" t="s">
        <v>445</v>
      </c>
      <c r="AW5" s="17" t="str">
        <f t="shared" si="0"/>
        <v>CON_D03</v>
      </c>
      <c r="AY5" s="17">
        <v>2</v>
      </c>
      <c r="AZ5" s="17">
        <v>389</v>
      </c>
      <c r="BA5" s="17"/>
      <c r="BB5" s="17" t="s">
        <v>849</v>
      </c>
      <c r="BC5" s="17"/>
      <c r="BD5" t="str">
        <f t="shared" si="1"/>
        <v>FIN_D02</v>
      </c>
      <c r="BF5">
        <v>2</v>
      </c>
      <c r="BG5">
        <v>228</v>
      </c>
      <c r="BI5" t="s">
        <v>833</v>
      </c>
      <c r="BK5" t="str">
        <f t="shared" ref="BK5:BK15" si="5">$BJ$2</f>
        <v>ADM_D01</v>
      </c>
      <c r="BM5">
        <v>2</v>
      </c>
      <c r="BR5" t="str">
        <f t="shared" ref="BR5:BR15" si="6">$BQ$2</f>
        <v>ELE_D04</v>
      </c>
      <c r="BT5">
        <v>2</v>
      </c>
      <c r="BY5" t="str">
        <f t="shared" si="2"/>
        <v>PLM_D05</v>
      </c>
      <c r="CA5">
        <v>2</v>
      </c>
      <c r="CF5" t="str">
        <f t="shared" si="3"/>
        <v>STN_D06</v>
      </c>
      <c r="CH5">
        <v>2</v>
      </c>
      <c r="CL5" t="str">
        <f t="shared" si="4"/>
        <v>All_D11</v>
      </c>
      <c r="CP5" t="s">
        <v>799</v>
      </c>
      <c r="CR5" t="s">
        <v>157</v>
      </c>
      <c r="CS5" t="s">
        <v>600</v>
      </c>
    </row>
    <row r="6" spans="2:97">
      <c r="B6" s="20">
        <v>2</v>
      </c>
      <c r="C6" s="20" t="s">
        <v>163</v>
      </c>
      <c r="G6" t="str">
        <f>IFERROR(_xlfn.XLOOKUP(Super[[#This Row],[Supervisor_Name]],EmpNames,EmpIDs,"",0),0)</f>
        <v/>
      </c>
      <c r="H6" t="s">
        <v>351</v>
      </c>
      <c r="K6" s="17" t="s">
        <v>120</v>
      </c>
      <c r="M6" s="17" t="s">
        <v>404</v>
      </c>
      <c r="N6" s="17" t="s">
        <v>413</v>
      </c>
      <c r="P6" s="54" t="s">
        <v>422</v>
      </c>
      <c r="Q6" t="s">
        <v>425</v>
      </c>
      <c r="S6" s="20">
        <v>2026</v>
      </c>
      <c r="T6" s="51">
        <v>2</v>
      </c>
      <c r="U6" s="51">
        <f>1</f>
        <v>1</v>
      </c>
      <c r="V6" s="65">
        <f>DATE(Month[[#This Row],[Year]],Month[[#This Row],[Month]],Month[[#This Row],[Day]])</f>
        <v>46054</v>
      </c>
      <c r="W6" s="20"/>
      <c r="X6" s="64" t="s">
        <v>623</v>
      </c>
      <c r="Y6" s="64" t="s">
        <v>626</v>
      </c>
      <c r="AA6" s="20" t="s">
        <v>46</v>
      </c>
      <c r="AE6" t="s">
        <v>963</v>
      </c>
      <c r="AG6" t="s">
        <v>378</v>
      </c>
      <c r="AK6">
        <v>3</v>
      </c>
      <c r="AL6" t="str">
        <v>O289</v>
      </c>
      <c r="AM6">
        <v>0</v>
      </c>
      <c r="AN6" t="str">
        <v>مقصود انصاري</v>
      </c>
      <c r="AO6" t="str">
        <v>Maqsood Ansari</v>
      </c>
      <c r="AP6" t="str">
        <v>CON_D03</v>
      </c>
      <c r="AR6" s="17">
        <v>3</v>
      </c>
      <c r="AS6" s="17" t="s">
        <v>165</v>
      </c>
      <c r="AU6" s="17" t="s">
        <v>166</v>
      </c>
      <c r="AV6" s="54" t="s">
        <v>446</v>
      </c>
      <c r="AW6" s="17" t="str">
        <f t="shared" si="0"/>
        <v>CON_D03</v>
      </c>
      <c r="AY6" s="17">
        <v>3</v>
      </c>
      <c r="AZ6" s="17">
        <v>411</v>
      </c>
      <c r="BA6" s="17"/>
      <c r="BB6" s="17" t="s">
        <v>850</v>
      </c>
      <c r="BC6" s="17"/>
      <c r="BD6" t="str">
        <f t="shared" si="1"/>
        <v>FIN_D02</v>
      </c>
      <c r="BF6">
        <v>3</v>
      </c>
      <c r="BG6">
        <v>189</v>
      </c>
      <c r="BI6" t="s">
        <v>834</v>
      </c>
      <c r="BK6" t="str">
        <f t="shared" si="5"/>
        <v>ADM_D01</v>
      </c>
      <c r="BM6">
        <v>3</v>
      </c>
      <c r="BR6" t="str">
        <f t="shared" si="6"/>
        <v>ELE_D04</v>
      </c>
      <c r="BT6">
        <v>3</v>
      </c>
      <c r="BY6" t="str">
        <f t="shared" si="2"/>
        <v>PLM_D05</v>
      </c>
      <c r="CA6">
        <v>3</v>
      </c>
      <c r="CF6" t="str">
        <f t="shared" si="3"/>
        <v>STN_D06</v>
      </c>
      <c r="CH6">
        <v>3</v>
      </c>
      <c r="CL6" t="str">
        <f t="shared" si="4"/>
        <v>All_D11</v>
      </c>
      <c r="CP6" t="s">
        <v>800</v>
      </c>
      <c r="CR6" t="s">
        <v>158</v>
      </c>
      <c r="CS6" t="s">
        <v>598</v>
      </c>
    </row>
    <row r="7" spans="2:97">
      <c r="B7" s="20">
        <v>3</v>
      </c>
      <c r="C7" s="17" t="s">
        <v>165</v>
      </c>
      <c r="G7" t="str">
        <f>IFERROR(_xlfn.XLOOKUP(Super[[#This Row],[Supervisor_Name]],EmpNames,EmpIDs,"",0),0)</f>
        <v/>
      </c>
      <c r="H7" t="s">
        <v>351</v>
      </c>
      <c r="K7" s="17" t="s">
        <v>121</v>
      </c>
      <c r="M7" s="17" t="s">
        <v>405</v>
      </c>
      <c r="N7" s="17" t="s">
        <v>414</v>
      </c>
      <c r="P7" s="23" t="s">
        <v>421</v>
      </c>
      <c r="Q7" t="s">
        <v>426</v>
      </c>
      <c r="S7" s="20">
        <v>2026</v>
      </c>
      <c r="T7" s="51">
        <v>3</v>
      </c>
      <c r="U7" s="51">
        <f>1</f>
        <v>1</v>
      </c>
      <c r="V7" s="65">
        <f>DATE(Month[[#This Row],[Year]],Month[[#This Row],[Month]],Month[[#This Row],[Day]])</f>
        <v>46082</v>
      </c>
      <c r="X7" s="64" t="s">
        <v>624</v>
      </c>
      <c r="Y7" s="64" t="s">
        <v>627</v>
      </c>
      <c r="AA7" s="20" t="s">
        <v>831</v>
      </c>
      <c r="AE7" t="s">
        <v>964</v>
      </c>
      <c r="AK7">
        <v>4</v>
      </c>
      <c r="AL7">
        <v>133</v>
      </c>
      <c r="AM7">
        <v>0</v>
      </c>
      <c r="AN7" t="str">
        <v>ﺑﻮﺟﻨﺎﻥ ﻛﻮﺭﻣﺎ</v>
      </c>
      <c r="AO7" t="str">
        <v>Bojnan Korma</v>
      </c>
      <c r="AP7" t="str">
        <v>CON_D03</v>
      </c>
      <c r="AR7" s="17">
        <v>4</v>
      </c>
      <c r="AS7" s="17">
        <v>133</v>
      </c>
      <c r="AU7" s="17" t="s">
        <v>167</v>
      </c>
      <c r="AV7" s="54" t="s">
        <v>447</v>
      </c>
      <c r="AW7" s="17" t="str">
        <f t="shared" si="0"/>
        <v>CON_D03</v>
      </c>
      <c r="AY7" s="17">
        <v>4</v>
      </c>
      <c r="AZ7" s="17">
        <v>448</v>
      </c>
      <c r="BA7" s="17"/>
      <c r="BB7" s="17" t="s">
        <v>851</v>
      </c>
      <c r="BC7" s="17"/>
      <c r="BD7" t="str">
        <f t="shared" si="1"/>
        <v>FIN_D02</v>
      </c>
      <c r="BF7">
        <v>4</v>
      </c>
      <c r="BG7">
        <v>314</v>
      </c>
      <c r="BI7" t="s">
        <v>835</v>
      </c>
      <c r="BK7" t="str">
        <f t="shared" si="5"/>
        <v>ADM_D01</v>
      </c>
      <c r="BM7">
        <v>4</v>
      </c>
      <c r="BR7" t="str">
        <f t="shared" si="6"/>
        <v>ELE_D04</v>
      </c>
      <c r="BT7">
        <v>4</v>
      </c>
      <c r="BY7" t="str">
        <f t="shared" si="2"/>
        <v>PLM_D05</v>
      </c>
      <c r="CA7">
        <v>4</v>
      </c>
      <c r="CF7" t="str">
        <f t="shared" si="3"/>
        <v>STN_D06</v>
      </c>
      <c r="CH7">
        <v>4</v>
      </c>
      <c r="CL7" t="str">
        <f t="shared" si="4"/>
        <v>All_D11</v>
      </c>
    </row>
    <row r="8" spans="2:97">
      <c r="B8" s="20">
        <v>4</v>
      </c>
      <c r="C8" s="20">
        <v>133</v>
      </c>
      <c r="G8" t="str">
        <f>IFERROR(_xlfn.XLOOKUP(Super[[#This Row],[Supervisor_Name]],EmpNames,EmpIDs,"",0),0)</f>
        <v/>
      </c>
      <c r="H8" t="s">
        <v>351</v>
      </c>
      <c r="K8" s="17" t="s">
        <v>122</v>
      </c>
      <c r="M8" s="17" t="s">
        <v>406</v>
      </c>
      <c r="N8" s="17" t="s">
        <v>415</v>
      </c>
      <c r="S8" s="20">
        <v>2026</v>
      </c>
      <c r="T8" s="51">
        <v>4</v>
      </c>
      <c r="U8" s="51">
        <f>1</f>
        <v>1</v>
      </c>
      <c r="V8" s="65">
        <f>DATE(Month[[#This Row],[Year]],Month[[#This Row],[Month]],Month[[#This Row],[Day]])</f>
        <v>46113</v>
      </c>
      <c r="W8" s="20"/>
      <c r="X8" s="20"/>
      <c r="Y8" s="20"/>
      <c r="AE8" t="s">
        <v>965</v>
      </c>
      <c r="AK8">
        <v>5</v>
      </c>
      <c r="AL8">
        <v>318</v>
      </c>
      <c r="AM8">
        <v>0</v>
      </c>
      <c r="AN8" t="str">
        <v>ارون كومار ساه</v>
      </c>
      <c r="AO8" t="str">
        <v>Arun Kumar Sah</v>
      </c>
      <c r="AP8" t="str">
        <v>CON_D03</v>
      </c>
      <c r="AR8" s="17">
        <v>5</v>
      </c>
      <c r="AS8" s="17">
        <v>318</v>
      </c>
      <c r="AU8" s="17" t="s">
        <v>168</v>
      </c>
      <c r="AV8" s="23" t="s">
        <v>448</v>
      </c>
      <c r="AW8" s="17" t="str">
        <f t="shared" si="0"/>
        <v>CON_D03</v>
      </c>
      <c r="AY8" s="17">
        <v>5</v>
      </c>
      <c r="AZ8" s="17">
        <v>496</v>
      </c>
      <c r="BA8" s="17"/>
      <c r="BB8" s="17" t="s">
        <v>852</v>
      </c>
      <c r="BC8" s="17"/>
      <c r="BD8" t="str">
        <f t="shared" si="1"/>
        <v>FIN_D02</v>
      </c>
      <c r="BF8">
        <v>5</v>
      </c>
      <c r="BG8">
        <v>284</v>
      </c>
      <c r="BI8" t="s">
        <v>836</v>
      </c>
      <c r="BK8" t="str">
        <f t="shared" si="5"/>
        <v>ADM_D01</v>
      </c>
      <c r="BM8">
        <v>5</v>
      </c>
      <c r="BR8" t="str">
        <f t="shared" si="6"/>
        <v>ELE_D04</v>
      </c>
      <c r="BT8">
        <v>5</v>
      </c>
      <c r="BY8" t="str">
        <f t="shared" si="2"/>
        <v>PLM_D05</v>
      </c>
      <c r="CA8">
        <v>5</v>
      </c>
      <c r="CF8" t="str">
        <f t="shared" si="3"/>
        <v>STN_D06</v>
      </c>
      <c r="CH8">
        <v>5</v>
      </c>
      <c r="CL8" t="str">
        <f t="shared" si="4"/>
        <v>All_D11</v>
      </c>
    </row>
    <row r="9" spans="2:97">
      <c r="B9" s="20">
        <v>5</v>
      </c>
      <c r="C9" s="17">
        <v>318</v>
      </c>
      <c r="F9" t="s">
        <v>162</v>
      </c>
      <c r="G9" t="str">
        <f>IFERROR(_xlfn.XLOOKUP(Super[[#This Row],[Supervisor_Name]],EmpNames,EmpIDs,"",0),0)</f>
        <v>O183</v>
      </c>
      <c r="H9" t="s">
        <v>16</v>
      </c>
      <c r="K9" s="17" t="s">
        <v>123</v>
      </c>
      <c r="M9" s="17" t="s">
        <v>407</v>
      </c>
      <c r="N9" s="17" t="s">
        <v>416</v>
      </c>
      <c r="S9" s="20">
        <v>2026</v>
      </c>
      <c r="T9" s="51">
        <v>5</v>
      </c>
      <c r="U9" s="51">
        <f>1</f>
        <v>1</v>
      </c>
      <c r="V9" s="65">
        <f>DATE(Month[[#This Row],[Year]],Month[[#This Row],[Month]],Month[[#This Row],[Day]])</f>
        <v>46143</v>
      </c>
      <c r="W9" s="64"/>
      <c r="X9" s="64"/>
      <c r="Y9" s="64"/>
      <c r="AE9" t="s">
        <v>966</v>
      </c>
      <c r="AK9">
        <v>6</v>
      </c>
      <c r="AL9">
        <v>442</v>
      </c>
      <c r="AM9">
        <v>0</v>
      </c>
      <c r="AN9" t="str">
        <v>ايمامول انصاري</v>
      </c>
      <c r="AO9" t="str">
        <v>Emamol Ansari</v>
      </c>
      <c r="AP9" t="str">
        <v>CON_D03</v>
      </c>
      <c r="AR9" s="17">
        <v>6</v>
      </c>
      <c r="AS9" s="17">
        <v>442</v>
      </c>
      <c r="AU9" s="17" t="s">
        <v>169</v>
      </c>
      <c r="AV9" s="54" t="s">
        <v>449</v>
      </c>
      <c r="AW9" s="17" t="str">
        <f t="shared" si="0"/>
        <v>CON_D03</v>
      </c>
      <c r="AY9" s="17">
        <v>6</v>
      </c>
      <c r="AZ9" s="17">
        <v>247</v>
      </c>
      <c r="BA9" s="17"/>
      <c r="BB9" s="17" t="s">
        <v>853</v>
      </c>
      <c r="BC9" s="17"/>
      <c r="BD9" t="str">
        <f t="shared" si="1"/>
        <v>FIN_D02</v>
      </c>
      <c r="BF9">
        <v>6</v>
      </c>
      <c r="BG9">
        <v>440</v>
      </c>
      <c r="BI9" t="s">
        <v>837</v>
      </c>
      <c r="BK9" t="str">
        <f t="shared" si="5"/>
        <v>ADM_D01</v>
      </c>
      <c r="BM9">
        <v>6</v>
      </c>
      <c r="BR9" t="str">
        <f t="shared" si="6"/>
        <v>ELE_D04</v>
      </c>
      <c r="BT9">
        <v>6</v>
      </c>
      <c r="BY9" t="str">
        <f t="shared" si="2"/>
        <v>PLM_D05</v>
      </c>
      <c r="CA9">
        <v>6</v>
      </c>
      <c r="CF9" t="str">
        <f t="shared" si="3"/>
        <v>STN_D06</v>
      </c>
      <c r="CH9">
        <v>6</v>
      </c>
      <c r="CL9" t="str">
        <f t="shared" si="4"/>
        <v>All_D11</v>
      </c>
    </row>
    <row r="10" spans="2:97">
      <c r="B10" s="20">
        <v>6</v>
      </c>
      <c r="C10" s="20">
        <v>442</v>
      </c>
      <c r="G10" t="str">
        <f>IFERROR(_xlfn.XLOOKUP(Super[[#This Row],[Supervisor_Name]],EmpNames,EmpIDs,"",0),0)</f>
        <v/>
      </c>
      <c r="H10" t="str">
        <f>_xlfn.XLOOKUP(Super[[#This Row],[Supervisor_Name]],EmpNames,EmpDepts,"",0)</f>
        <v/>
      </c>
      <c r="K10" s="17" t="s">
        <v>124</v>
      </c>
      <c r="M10" s="17" t="s">
        <v>408</v>
      </c>
      <c r="N10" s="17" t="s">
        <v>417</v>
      </c>
      <c r="S10" s="20">
        <v>2026</v>
      </c>
      <c r="T10" s="51">
        <v>6</v>
      </c>
      <c r="U10" s="51">
        <f>1</f>
        <v>1</v>
      </c>
      <c r="V10" s="65">
        <f>DATE(Month[[#This Row],[Year]],Month[[#This Row],[Month]],Month[[#This Row],[Day]])</f>
        <v>46174</v>
      </c>
      <c r="W10" s="20"/>
      <c r="X10" s="20"/>
      <c r="Y10" s="20"/>
      <c r="AE10" t="s">
        <v>967</v>
      </c>
      <c r="AK10">
        <v>7</v>
      </c>
      <c r="AL10">
        <v>113</v>
      </c>
      <c r="AM10">
        <v>0</v>
      </c>
      <c r="AN10" t="str">
        <v>ﺟﻮﺟﺎﻧﻨﺪﺍ ﺳﺮﺩﺍﺭ ﺑﺎﺗﺮ</v>
      </c>
      <c r="AO10" t="str">
        <v>Jojananda Sardar Patar</v>
      </c>
      <c r="AP10" t="str">
        <v>CON_D03</v>
      </c>
      <c r="AR10" s="17">
        <v>7</v>
      </c>
      <c r="AS10" s="17">
        <v>113</v>
      </c>
      <c r="AU10" s="17" t="s">
        <v>170</v>
      </c>
      <c r="AV10" s="23" t="s">
        <v>450</v>
      </c>
      <c r="AW10" s="17" t="str">
        <f t="shared" si="0"/>
        <v>CON_D03</v>
      </c>
      <c r="AY10" s="17">
        <v>7</v>
      </c>
      <c r="AZ10" s="17" t="s">
        <v>105</v>
      </c>
      <c r="BA10" s="17"/>
      <c r="BB10" s="17" t="s">
        <v>854</v>
      </c>
      <c r="BC10" s="17"/>
      <c r="BD10" t="str">
        <f t="shared" si="1"/>
        <v>FIN_D02</v>
      </c>
      <c r="BF10">
        <v>7</v>
      </c>
      <c r="BG10" t="s">
        <v>844</v>
      </c>
      <c r="BI10" t="s">
        <v>838</v>
      </c>
      <c r="BK10" t="str">
        <f t="shared" si="5"/>
        <v>ADM_D01</v>
      </c>
      <c r="BM10">
        <v>7</v>
      </c>
      <c r="BR10" t="str">
        <f t="shared" si="6"/>
        <v>ELE_D04</v>
      </c>
      <c r="BT10">
        <v>7</v>
      </c>
      <c r="BY10" t="str">
        <f t="shared" si="2"/>
        <v>PLM_D05</v>
      </c>
      <c r="CA10">
        <v>7</v>
      </c>
      <c r="CF10" t="str">
        <f t="shared" si="3"/>
        <v>STN_D06</v>
      </c>
      <c r="CH10">
        <v>7</v>
      </c>
      <c r="CL10" t="str">
        <f t="shared" si="4"/>
        <v>All_D11</v>
      </c>
    </row>
    <row r="11" spans="2:97">
      <c r="B11" s="20">
        <v>7</v>
      </c>
      <c r="C11" s="17">
        <v>113</v>
      </c>
      <c r="G11" t="str">
        <f>IFERROR(_xlfn.XLOOKUP(Super[[#This Row],[Supervisor_Name]],EmpNames,EmpIDs,"",0),0)</f>
        <v/>
      </c>
      <c r="H11" t="str">
        <f>_xlfn.XLOOKUP(Super[[#This Row],[Supervisor_Name]],EmpNames,EmpDepts,"",0)</f>
        <v/>
      </c>
      <c r="K11" s="17" t="s">
        <v>125</v>
      </c>
      <c r="M11" s="17" t="s">
        <v>409</v>
      </c>
      <c r="N11" s="17" t="s">
        <v>418</v>
      </c>
      <c r="S11" s="20">
        <v>2026</v>
      </c>
      <c r="T11" s="51">
        <v>7</v>
      </c>
      <c r="U11" s="51">
        <f>1</f>
        <v>1</v>
      </c>
      <c r="V11" s="65">
        <f>DATE(Month[[#This Row],[Year]],Month[[#This Row],[Month]],Month[[#This Row],[Day]])</f>
        <v>46204</v>
      </c>
      <c r="W11" s="64"/>
      <c r="X11" s="64"/>
      <c r="Y11" s="64"/>
      <c r="AE11" t="s">
        <v>968</v>
      </c>
      <c r="AK11">
        <v>8</v>
      </c>
      <c r="AL11">
        <v>115</v>
      </c>
      <c r="AM11">
        <v>0</v>
      </c>
      <c r="AN11" t="str">
        <v>ﺻﺪﺍﻡ ﺣﺴﻴﻦ</v>
      </c>
      <c r="AO11" t="str">
        <v>Saddam Hussein</v>
      </c>
      <c r="AP11" t="str">
        <v>CON_D03</v>
      </c>
      <c r="AR11" s="17">
        <v>8</v>
      </c>
      <c r="AS11" s="17">
        <v>115</v>
      </c>
      <c r="AU11" s="17" t="s">
        <v>171</v>
      </c>
      <c r="AV11" s="23" t="s">
        <v>451</v>
      </c>
      <c r="AW11" s="17" t="str">
        <f t="shared" si="0"/>
        <v>CON_D03</v>
      </c>
      <c r="AY11" s="17">
        <v>8</v>
      </c>
      <c r="AZ11" s="17" t="s">
        <v>106</v>
      </c>
      <c r="BA11" s="17"/>
      <c r="BB11" s="17" t="s">
        <v>855</v>
      </c>
      <c r="BC11" s="17"/>
      <c r="BD11" t="str">
        <f t="shared" si="1"/>
        <v>FIN_D02</v>
      </c>
      <c r="BF11">
        <v>8</v>
      </c>
      <c r="BG11" t="s">
        <v>845</v>
      </c>
      <c r="BI11" t="s">
        <v>839</v>
      </c>
      <c r="BK11" t="str">
        <f t="shared" si="5"/>
        <v>ADM_D01</v>
      </c>
      <c r="BM11">
        <v>8</v>
      </c>
      <c r="BR11" t="str">
        <f t="shared" si="6"/>
        <v>ELE_D04</v>
      </c>
      <c r="BT11">
        <v>8</v>
      </c>
      <c r="BY11" t="str">
        <f t="shared" si="2"/>
        <v>PLM_D05</v>
      </c>
      <c r="CA11">
        <v>8</v>
      </c>
      <c r="CF11" t="str">
        <f t="shared" si="3"/>
        <v>STN_D06</v>
      </c>
      <c r="CH11">
        <v>8</v>
      </c>
      <c r="CL11" t="str">
        <f t="shared" si="4"/>
        <v>All_D11</v>
      </c>
    </row>
    <row r="12" spans="2:97">
      <c r="B12" s="20">
        <v>8</v>
      </c>
      <c r="C12" s="20">
        <v>115</v>
      </c>
      <c r="G12" t="str">
        <f>IFERROR(_xlfn.XLOOKUP(Super[[#This Row],[Supervisor_Name]],EmpNames,EmpIDs,"",0),0)</f>
        <v/>
      </c>
      <c r="H12" t="str">
        <f>_xlfn.XLOOKUP(Super[[#This Row],[Supervisor_Name]],EmpNames,EmpDepts,"",0)</f>
        <v/>
      </c>
      <c r="K12" s="17" t="s">
        <v>59</v>
      </c>
      <c r="M12" s="17" t="s">
        <v>410</v>
      </c>
      <c r="N12" s="17" t="s">
        <v>419</v>
      </c>
      <c r="S12" s="20">
        <v>2026</v>
      </c>
      <c r="T12" s="51">
        <v>8</v>
      </c>
      <c r="U12" s="51">
        <f>1</f>
        <v>1</v>
      </c>
      <c r="V12" s="65">
        <f>DATE(Month[[#This Row],[Year]],Month[[#This Row],[Month]],Month[[#This Row],[Day]])</f>
        <v>46235</v>
      </c>
      <c r="W12" s="20"/>
      <c r="X12" s="20"/>
      <c r="Y12" s="20"/>
      <c r="AE12" t="s">
        <v>969</v>
      </c>
      <c r="AK12">
        <v>9</v>
      </c>
      <c r="AL12">
        <v>118</v>
      </c>
      <c r="AM12">
        <v>0</v>
      </c>
      <c r="AN12" t="str">
        <v>ﻣﺪ ﺟﻠﺪﻳﻦ ﻣﻴﺎ</v>
      </c>
      <c r="AO12" t="str">
        <v>Extend two skins, Mia</v>
      </c>
      <c r="AP12" t="str">
        <v>CON_D03</v>
      </c>
      <c r="AR12" s="17">
        <v>9</v>
      </c>
      <c r="AS12" s="17">
        <v>118</v>
      </c>
      <c r="AU12" s="17" t="s">
        <v>172</v>
      </c>
      <c r="AV12" s="23" t="s">
        <v>452</v>
      </c>
      <c r="AW12" s="17" t="str">
        <f t="shared" si="0"/>
        <v>CON_D03</v>
      </c>
      <c r="AY12" s="17">
        <v>9</v>
      </c>
      <c r="AZ12" s="17" t="s">
        <v>107</v>
      </c>
      <c r="BA12" s="17"/>
      <c r="BB12" s="17" t="s">
        <v>856</v>
      </c>
      <c r="BC12" s="17"/>
      <c r="BD12" t="str">
        <f t="shared" si="1"/>
        <v>FIN_D02</v>
      </c>
      <c r="BF12">
        <v>9</v>
      </c>
      <c r="BG12" t="s">
        <v>846</v>
      </c>
      <c r="BI12" t="s">
        <v>840</v>
      </c>
      <c r="BK12" t="str">
        <f t="shared" si="5"/>
        <v>ADM_D01</v>
      </c>
      <c r="BM12">
        <v>9</v>
      </c>
      <c r="BR12" t="str">
        <f t="shared" si="6"/>
        <v>ELE_D04</v>
      </c>
      <c r="BT12">
        <v>9</v>
      </c>
      <c r="BY12" t="str">
        <f t="shared" si="2"/>
        <v>PLM_D05</v>
      </c>
      <c r="CA12">
        <v>9</v>
      </c>
      <c r="CF12" t="str">
        <f t="shared" si="3"/>
        <v>STN_D06</v>
      </c>
      <c r="CH12">
        <v>9</v>
      </c>
      <c r="CL12" t="str">
        <f t="shared" si="4"/>
        <v>All_D11</v>
      </c>
    </row>
    <row r="13" spans="2:97">
      <c r="B13" s="20">
        <v>9</v>
      </c>
      <c r="C13" s="17">
        <v>118</v>
      </c>
      <c r="G13" t="str">
        <f>IFERROR(_xlfn.XLOOKUP(Super[[#This Row],[Supervisor_Name]],EmpNames,EmpIDs,"",0),0)</f>
        <v/>
      </c>
      <c r="H13" t="s">
        <v>11</v>
      </c>
      <c r="K13" s="17" t="s">
        <v>126</v>
      </c>
      <c r="M13" s="17"/>
      <c r="N13" s="17"/>
      <c r="S13" s="20">
        <v>2026</v>
      </c>
      <c r="T13" s="51">
        <v>9</v>
      </c>
      <c r="U13" s="51">
        <f>1</f>
        <v>1</v>
      </c>
      <c r="V13" s="65">
        <f>DATE(Month[[#This Row],[Year]],Month[[#This Row],[Month]],Month[[#This Row],[Day]])</f>
        <v>46266</v>
      </c>
      <c r="W13" s="64"/>
      <c r="X13" s="64"/>
      <c r="Y13" s="64"/>
      <c r="AE13" t="s">
        <v>970</v>
      </c>
      <c r="AK13">
        <v>10</v>
      </c>
      <c r="AL13">
        <v>124</v>
      </c>
      <c r="AM13">
        <v>0</v>
      </c>
      <c r="AN13" t="str">
        <v>ﻧﺎﺻﺮ ﺣسين</v>
      </c>
      <c r="AO13" t="str">
        <v>Nasser Hussein</v>
      </c>
      <c r="AP13" t="str">
        <v>CON_D03</v>
      </c>
      <c r="AR13" s="17">
        <v>10</v>
      </c>
      <c r="AS13" s="17">
        <v>124</v>
      </c>
      <c r="AU13" s="17" t="s">
        <v>173</v>
      </c>
      <c r="AV13" s="54" t="s">
        <v>453</v>
      </c>
      <c r="AW13" s="17" t="str">
        <f t="shared" si="0"/>
        <v>CON_D03</v>
      </c>
      <c r="AY13" s="17">
        <v>10</v>
      </c>
      <c r="AZ13" s="17" t="s">
        <v>109</v>
      </c>
      <c r="BA13" s="17"/>
      <c r="BB13" s="17" t="s">
        <v>857</v>
      </c>
      <c r="BC13" s="17"/>
      <c r="BD13" t="str">
        <f t="shared" si="1"/>
        <v>FIN_D02</v>
      </c>
      <c r="BF13">
        <v>10</v>
      </c>
      <c r="BG13">
        <v>494</v>
      </c>
      <c r="BI13" t="s">
        <v>841</v>
      </c>
      <c r="BK13" t="str">
        <f t="shared" si="5"/>
        <v>ADM_D01</v>
      </c>
      <c r="BM13">
        <v>10</v>
      </c>
      <c r="BR13" t="str">
        <f t="shared" si="6"/>
        <v>ELE_D04</v>
      </c>
      <c r="BT13">
        <v>10</v>
      </c>
      <c r="BY13" t="str">
        <f t="shared" si="2"/>
        <v>PLM_D05</v>
      </c>
      <c r="CA13">
        <v>10</v>
      </c>
      <c r="CF13" t="str">
        <f t="shared" si="3"/>
        <v>STN_D06</v>
      </c>
      <c r="CH13">
        <v>10</v>
      </c>
      <c r="CL13" t="str">
        <f t="shared" si="4"/>
        <v>All_D11</v>
      </c>
    </row>
    <row r="14" spans="2:97">
      <c r="B14" s="20">
        <v>10</v>
      </c>
      <c r="C14" s="20">
        <v>124</v>
      </c>
      <c r="G14" t="str">
        <f>IFERROR(_xlfn.XLOOKUP(Super[[#This Row],[Supervisor_Name]],EmpNames,EmpIDs,"",0),0)</f>
        <v/>
      </c>
      <c r="H14" t="s">
        <v>11</v>
      </c>
      <c r="K14" s="17" t="s">
        <v>127</v>
      </c>
      <c r="S14" s="20">
        <v>2026</v>
      </c>
      <c r="T14" s="51">
        <v>10</v>
      </c>
      <c r="U14" s="51">
        <f>1</f>
        <v>1</v>
      </c>
      <c r="V14" s="65">
        <f>DATE(Month[[#This Row],[Year]],Month[[#This Row],[Month]],Month[[#This Row],[Day]])</f>
        <v>46296</v>
      </c>
      <c r="W14" s="20"/>
      <c r="X14" s="20"/>
      <c r="Y14" s="20"/>
      <c r="AE14" t="s">
        <v>971</v>
      </c>
      <c r="AK14">
        <v>11</v>
      </c>
      <c r="AL14">
        <v>178</v>
      </c>
      <c r="AM14">
        <v>0</v>
      </c>
      <c r="AN14" t="str">
        <v>ﻟﻴﻞ ﺑﻬﺎﺩﻭﺭ ﺑﻴﺸﻮﻛﺎﺭﻣﺎ</v>
      </c>
      <c r="AO14" t="str">
        <v>Lil Bhadur Bishokarma</v>
      </c>
      <c r="AP14" t="str">
        <v>CON_D03</v>
      </c>
      <c r="AR14" s="17">
        <v>11</v>
      </c>
      <c r="AS14" s="17">
        <v>178</v>
      </c>
      <c r="AU14" s="17" t="s">
        <v>174</v>
      </c>
      <c r="AV14" s="23" t="s">
        <v>454</v>
      </c>
      <c r="AW14" s="17" t="str">
        <f t="shared" si="0"/>
        <v>CON_D03</v>
      </c>
      <c r="AY14" s="17">
        <v>11</v>
      </c>
      <c r="AZ14" s="17" t="s">
        <v>108</v>
      </c>
      <c r="BA14" s="17"/>
      <c r="BB14" s="17" t="s">
        <v>858</v>
      </c>
      <c r="BC14" s="17"/>
      <c r="BD14" t="str">
        <f t="shared" si="1"/>
        <v>FIN_D02</v>
      </c>
      <c r="BF14">
        <v>11</v>
      </c>
      <c r="BG14">
        <v>515</v>
      </c>
      <c r="BI14" t="s">
        <v>842</v>
      </c>
      <c r="BK14" t="str">
        <f t="shared" si="5"/>
        <v>ADM_D01</v>
      </c>
      <c r="BM14">
        <v>11</v>
      </c>
      <c r="BR14" t="str">
        <f t="shared" si="6"/>
        <v>ELE_D04</v>
      </c>
      <c r="BT14">
        <v>11</v>
      </c>
      <c r="BY14" t="str">
        <f t="shared" si="2"/>
        <v>PLM_D05</v>
      </c>
      <c r="CA14">
        <v>11</v>
      </c>
      <c r="CF14" t="str">
        <f t="shared" si="3"/>
        <v>STN_D06</v>
      </c>
      <c r="CH14">
        <v>11</v>
      </c>
      <c r="CL14" t="str">
        <f t="shared" si="4"/>
        <v>All_D11</v>
      </c>
    </row>
    <row r="15" spans="2:97">
      <c r="B15" s="20">
        <v>11</v>
      </c>
      <c r="C15" s="20">
        <v>178</v>
      </c>
      <c r="G15" t="str">
        <f>IFERROR(_xlfn.XLOOKUP(Super[[#This Row],[Supervisor_Name]],EmpNames,EmpIDs,"",0),0)</f>
        <v/>
      </c>
      <c r="H15" t="s">
        <v>11</v>
      </c>
      <c r="K15" s="17" t="s">
        <v>128</v>
      </c>
      <c r="S15" s="20">
        <v>2026</v>
      </c>
      <c r="T15" s="51">
        <v>11</v>
      </c>
      <c r="U15" s="51">
        <f>1</f>
        <v>1</v>
      </c>
      <c r="V15" s="65">
        <f>DATE(Month[[#This Row],[Year]],Month[[#This Row],[Month]],Month[[#This Row],[Day]])</f>
        <v>46327</v>
      </c>
      <c r="W15" s="64"/>
      <c r="X15" s="64"/>
      <c r="Y15" s="64"/>
      <c r="AE15" t="s">
        <v>972</v>
      </c>
      <c r="AK15">
        <v>12</v>
      </c>
      <c r="AL15">
        <v>181</v>
      </c>
      <c r="AM15">
        <v>0</v>
      </c>
      <c r="AN15" t="str">
        <v>ﺳﺎﻣﺴﺎﺩ ﺍﻧﺼﺎﺭي</v>
      </c>
      <c r="AO15" t="str">
        <v>Samsad Ansari</v>
      </c>
      <c r="AP15" t="str">
        <v>CON_D03</v>
      </c>
      <c r="AR15" s="17">
        <v>12</v>
      </c>
      <c r="AS15" s="17">
        <v>181</v>
      </c>
      <c r="AU15" s="17" t="s">
        <v>175</v>
      </c>
      <c r="AV15" s="54" t="s">
        <v>455</v>
      </c>
      <c r="AW15" s="17" t="str">
        <f t="shared" si="0"/>
        <v>CON_D03</v>
      </c>
      <c r="AY15" s="17">
        <v>12</v>
      </c>
      <c r="AZ15" s="17" t="s">
        <v>110</v>
      </c>
      <c r="BA15" s="17"/>
      <c r="BB15" s="17" t="s">
        <v>859</v>
      </c>
      <c r="BC15" s="17"/>
      <c r="BD15" t="str">
        <f t="shared" si="1"/>
        <v>FIN_D02</v>
      </c>
      <c r="BF15">
        <v>12</v>
      </c>
      <c r="BG15" t="s">
        <v>847</v>
      </c>
      <c r="BI15" t="s">
        <v>843</v>
      </c>
      <c r="BK15" t="str">
        <f t="shared" si="5"/>
        <v>ADM_D01</v>
      </c>
      <c r="BM15">
        <v>12</v>
      </c>
      <c r="BR15" t="str">
        <f t="shared" si="6"/>
        <v>ELE_D04</v>
      </c>
      <c r="BT15">
        <v>12</v>
      </c>
      <c r="BY15" t="str">
        <f t="shared" si="2"/>
        <v>PLM_D05</v>
      </c>
      <c r="CA15">
        <v>12</v>
      </c>
      <c r="CF15" t="str">
        <f t="shared" si="3"/>
        <v>STN_D06</v>
      </c>
      <c r="CH15">
        <v>12</v>
      </c>
      <c r="CL15" t="str">
        <f t="shared" si="4"/>
        <v>All_D11</v>
      </c>
    </row>
    <row r="16" spans="2:97">
      <c r="B16" s="20">
        <v>12</v>
      </c>
      <c r="C16" s="20">
        <v>181</v>
      </c>
      <c r="G16" t="str">
        <f>IFERROR(_xlfn.XLOOKUP(Super[[#This Row],[Supervisor_Name]],EmpNames,EmpIDs,"",0),0)</f>
        <v/>
      </c>
      <c r="H16" t="s">
        <v>11</v>
      </c>
      <c r="K16" s="17" t="s">
        <v>129</v>
      </c>
      <c r="S16" s="20">
        <v>2026</v>
      </c>
      <c r="T16" s="51">
        <v>12</v>
      </c>
      <c r="U16" s="51">
        <f>1</f>
        <v>1</v>
      </c>
      <c r="V16" s="65">
        <f>DATE(Month[[#This Row],[Year]],Month[[#This Row],[Month]],Month[[#This Row],[Day]])</f>
        <v>46357</v>
      </c>
      <c r="W16" s="20"/>
      <c r="X16" s="20"/>
      <c r="Y16" s="20"/>
      <c r="AE16" t="s">
        <v>973</v>
      </c>
      <c r="AK16">
        <v>13</v>
      </c>
      <c r="AL16">
        <v>186</v>
      </c>
      <c r="AM16">
        <v>0</v>
      </c>
      <c r="AN16" t="str">
        <v>ﺷﺎﻛﻴﻞ ﺑﻜﺎﻟﻪ</v>
      </c>
      <c r="AO16" t="str">
        <v>Shakil Bakale</v>
      </c>
      <c r="AP16" t="str">
        <v>CON_D03</v>
      </c>
      <c r="AR16" s="17">
        <v>13</v>
      </c>
      <c r="AS16" s="17">
        <v>186</v>
      </c>
      <c r="AU16" s="17" t="s">
        <v>176</v>
      </c>
      <c r="AV16" s="54" t="s">
        <v>456</v>
      </c>
      <c r="AW16" s="17" t="str">
        <f t="shared" si="0"/>
        <v>CON_D03</v>
      </c>
      <c r="AY16" s="17">
        <v>13</v>
      </c>
      <c r="AZ16" s="17" t="s">
        <v>111</v>
      </c>
      <c r="BA16" s="17"/>
      <c r="BB16" s="17" t="s">
        <v>860</v>
      </c>
      <c r="BC16" s="17"/>
      <c r="BD16" t="str">
        <f t="shared" si="1"/>
        <v>FIN_D02</v>
      </c>
      <c r="CH16">
        <v>13</v>
      </c>
      <c r="CL16" t="str">
        <f t="shared" si="4"/>
        <v>All_D11</v>
      </c>
    </row>
    <row r="17" spans="2:56">
      <c r="B17" s="20">
        <v>13</v>
      </c>
      <c r="C17" s="20">
        <v>186</v>
      </c>
      <c r="F17" t="s">
        <v>339</v>
      </c>
      <c r="G17" t="str">
        <f>IFERROR(_xlfn.XLOOKUP(Super[[#This Row],[Supervisor_Name]],EmpNames,EmpIDs,"",0),0)</f>
        <v/>
      </c>
      <c r="H17" t="s">
        <v>21</v>
      </c>
      <c r="K17" s="17" t="s">
        <v>130</v>
      </c>
      <c r="S17" s="20">
        <v>2027</v>
      </c>
      <c r="T17" s="51">
        <v>1</v>
      </c>
      <c r="U17" s="51">
        <f>1</f>
        <v>1</v>
      </c>
      <c r="V17" s="65">
        <f>DATE(Month[[#This Row],[Year]],Month[[#This Row],[Month]],Month[[#This Row],[Day]])</f>
        <v>46388</v>
      </c>
      <c r="AE17" t="s">
        <v>974</v>
      </c>
      <c r="AK17">
        <v>14</v>
      </c>
      <c r="AL17">
        <v>195</v>
      </c>
      <c r="AM17">
        <v>0</v>
      </c>
      <c r="AN17" t="str">
        <v>ﻋﻄﺎﺑﻞ ﺍﻧﺼﺎﺭي</v>
      </c>
      <c r="AO17" t="str">
        <v>Atabil Ansari</v>
      </c>
      <c r="AP17" t="str">
        <v>CON_D03</v>
      </c>
      <c r="AR17" s="17">
        <v>14</v>
      </c>
      <c r="AS17" s="17">
        <v>195</v>
      </c>
      <c r="AU17" s="17" t="s">
        <v>177</v>
      </c>
      <c r="AV17" s="54" t="s">
        <v>457</v>
      </c>
      <c r="AW17" s="17" t="str">
        <f t="shared" si="0"/>
        <v>CON_D03</v>
      </c>
      <c r="AY17" s="17">
        <v>14</v>
      </c>
      <c r="AZ17" s="17" t="s">
        <v>112</v>
      </c>
      <c r="BA17" s="17"/>
      <c r="BB17" s="17" t="s">
        <v>861</v>
      </c>
      <c r="BC17" s="17"/>
      <c r="BD17" t="str">
        <f t="shared" si="1"/>
        <v>FIN_D02</v>
      </c>
    </row>
    <row r="18" spans="2:56">
      <c r="B18" s="20">
        <v>14</v>
      </c>
      <c r="C18" s="20">
        <v>195</v>
      </c>
      <c r="G18" t="str">
        <f>IFERROR(_xlfn.XLOOKUP(Super[[#This Row],[Supervisor_Name]],EmpNames,EmpIDs,"",0),0)</f>
        <v/>
      </c>
      <c r="H18" t="s">
        <v>21</v>
      </c>
      <c r="K18" s="17" t="s">
        <v>131</v>
      </c>
      <c r="S18" s="20">
        <v>2027</v>
      </c>
      <c r="T18" s="51">
        <v>2</v>
      </c>
      <c r="U18" s="51">
        <f>1</f>
        <v>1</v>
      </c>
      <c r="V18" s="65">
        <f>DATE(Month[[#This Row],[Year]],Month[[#This Row],[Month]],Month[[#This Row],[Day]])</f>
        <v>46419</v>
      </c>
      <c r="AE18" t="s">
        <v>975</v>
      </c>
      <c r="AK18">
        <v>15</v>
      </c>
      <c r="AL18">
        <v>201</v>
      </c>
      <c r="AM18">
        <v>0</v>
      </c>
      <c r="AN18" t="str">
        <v>ﺣﺴﻴﻦ ﻣﺤﻤﺪ</v>
      </c>
      <c r="AO18" t="str">
        <v>Hussein Mohammed</v>
      </c>
      <c r="AP18" t="str">
        <v>CON_D03</v>
      </c>
      <c r="AR18" s="17">
        <v>15</v>
      </c>
      <c r="AS18" s="17">
        <v>201</v>
      </c>
      <c r="AU18" s="17" t="s">
        <v>178</v>
      </c>
      <c r="AV18" s="23" t="s">
        <v>458</v>
      </c>
      <c r="AW18" s="17" t="str">
        <f t="shared" si="0"/>
        <v>CON_D03</v>
      </c>
      <c r="AY18" s="17">
        <v>15</v>
      </c>
      <c r="AZ18" s="17" t="s">
        <v>346</v>
      </c>
      <c r="BA18" s="17"/>
      <c r="BB18" s="17" t="s">
        <v>862</v>
      </c>
      <c r="BC18" s="17"/>
      <c r="BD18" t="str">
        <f t="shared" si="1"/>
        <v>FIN_D02</v>
      </c>
    </row>
    <row r="19" spans="2:56">
      <c r="B19" s="20">
        <v>15</v>
      </c>
      <c r="C19" s="20">
        <v>201</v>
      </c>
      <c r="G19" t="str">
        <f>IFERROR(_xlfn.XLOOKUP(Super[[#This Row],[Supervisor_Name]],EmpNames,EmpIDs,"",0),0)</f>
        <v/>
      </c>
      <c r="H19" t="s">
        <v>21</v>
      </c>
      <c r="K19" s="17" t="s">
        <v>132</v>
      </c>
      <c r="S19" s="20">
        <v>2027</v>
      </c>
      <c r="T19" s="51">
        <v>3</v>
      </c>
      <c r="U19" s="51">
        <f>1</f>
        <v>1</v>
      </c>
      <c r="V19" s="65">
        <f>DATE(Month[[#This Row],[Year]],Month[[#This Row],[Month]],Month[[#This Row],[Day]])</f>
        <v>46447</v>
      </c>
      <c r="AE19" t="s">
        <v>976</v>
      </c>
      <c r="AK19">
        <v>16</v>
      </c>
      <c r="AL19">
        <v>202</v>
      </c>
      <c r="AM19">
        <v>0</v>
      </c>
      <c r="AN19" t="str">
        <v>ﻣﻤﺘﺎﺯ ﻣﺎﻳﺎ</v>
      </c>
      <c r="AO19" t="str">
        <v>Excellent, Maya</v>
      </c>
      <c r="AP19" t="str">
        <v>CON_D03</v>
      </c>
      <c r="AR19" s="17">
        <v>16</v>
      </c>
      <c r="AS19" s="17">
        <v>202</v>
      </c>
      <c r="AU19" s="17" t="s">
        <v>179</v>
      </c>
      <c r="AV19" s="54" t="s">
        <v>459</v>
      </c>
      <c r="AW19" s="17" t="str">
        <f t="shared" si="0"/>
        <v>CON_D03</v>
      </c>
      <c r="AY19" s="17">
        <v>16</v>
      </c>
      <c r="AZ19" s="17" t="s">
        <v>347</v>
      </c>
      <c r="BA19" s="17"/>
      <c r="BB19" s="17" t="s">
        <v>863</v>
      </c>
      <c r="BC19" s="17"/>
      <c r="BD19" t="str">
        <f t="shared" si="1"/>
        <v>FIN_D02</v>
      </c>
    </row>
    <row r="20" spans="2:56">
      <c r="B20" s="20">
        <v>16</v>
      </c>
      <c r="C20" s="20">
        <v>202</v>
      </c>
      <c r="G20" t="str">
        <f>IFERROR(_xlfn.XLOOKUP(Super[[#This Row],[Supervisor_Name]],EmpNames,EmpIDs,"",0),0)</f>
        <v/>
      </c>
      <c r="H20" t="s">
        <v>21</v>
      </c>
      <c r="K20" s="17" t="s">
        <v>133</v>
      </c>
      <c r="S20" s="20">
        <v>2027</v>
      </c>
      <c r="T20" s="51">
        <v>4</v>
      </c>
      <c r="U20" s="51">
        <f>1</f>
        <v>1</v>
      </c>
      <c r="V20" s="65">
        <f>DATE(Month[[#This Row],[Year]],Month[[#This Row],[Month]],Month[[#This Row],[Day]])</f>
        <v>46478</v>
      </c>
      <c r="AE20" t="s">
        <v>977</v>
      </c>
      <c r="AK20">
        <v>17</v>
      </c>
      <c r="AL20">
        <v>208</v>
      </c>
      <c r="AM20">
        <v>0</v>
      </c>
      <c r="AN20" t="str">
        <v>ﺟﺎﺑﻴﺶ ﺷﺎﺭﻣﺎ ﺷﻴﻔﺠﻲ ﺷﺎﺭﻣﺎ</v>
      </c>
      <c r="AO20" t="str">
        <v>Jabesh Sharma Shivji Sharma</v>
      </c>
      <c r="AP20" t="str">
        <v>CON_D03</v>
      </c>
      <c r="AR20" s="17">
        <v>17</v>
      </c>
      <c r="AS20" s="17">
        <v>208</v>
      </c>
      <c r="AU20" s="17" t="s">
        <v>180</v>
      </c>
      <c r="AV20" s="23" t="s">
        <v>460</v>
      </c>
      <c r="AW20" s="17" t="str">
        <f t="shared" si="0"/>
        <v>CON_D03</v>
      </c>
      <c r="AY20" s="17">
        <v>17</v>
      </c>
      <c r="AZ20" s="17">
        <v>134</v>
      </c>
      <c r="BA20" s="17"/>
      <c r="BB20" s="17" t="s">
        <v>864</v>
      </c>
      <c r="BC20" s="17"/>
      <c r="BD20" t="str">
        <f t="shared" si="1"/>
        <v>FIN_D02</v>
      </c>
    </row>
    <row r="21" spans="2:56">
      <c r="B21" s="20">
        <v>17</v>
      </c>
      <c r="C21" s="20">
        <v>208</v>
      </c>
      <c r="G21" t="str">
        <f>IFERROR(_xlfn.XLOOKUP(Super[[#This Row],[Supervisor_Name]],EmpNames,EmpIDs,"",0),0)</f>
        <v/>
      </c>
      <c r="H21" t="s">
        <v>25</v>
      </c>
      <c r="K21" s="17" t="s">
        <v>134</v>
      </c>
      <c r="S21" s="20">
        <v>2027</v>
      </c>
      <c r="T21" s="51">
        <v>5</v>
      </c>
      <c r="U21" s="51">
        <f>1</f>
        <v>1</v>
      </c>
      <c r="V21" s="65">
        <f>DATE(Month[[#This Row],[Year]],Month[[#This Row],[Month]],Month[[#This Row],[Day]])</f>
        <v>46508</v>
      </c>
      <c r="AE21" t="s">
        <v>978</v>
      </c>
      <c r="AK21">
        <v>18</v>
      </c>
      <c r="AL21">
        <v>216</v>
      </c>
      <c r="AM21">
        <v>0</v>
      </c>
      <c r="AN21" t="str">
        <v>ﺭﺍﺟﻴﺶ ﻛﻮﻣﺎﺭ ﺷﻬﺎﻥ</v>
      </c>
      <c r="AO21" t="str">
        <v>Rajesh Kumar Shahan</v>
      </c>
      <c r="AP21" t="str">
        <v>CON_D03</v>
      </c>
      <c r="AR21" s="17">
        <v>18</v>
      </c>
      <c r="AS21" s="17">
        <v>216</v>
      </c>
      <c r="AU21" s="17" t="s">
        <v>181</v>
      </c>
      <c r="AV21" s="23" t="s">
        <v>461</v>
      </c>
      <c r="AW21" s="17" t="str">
        <f t="shared" si="0"/>
        <v>CON_D03</v>
      </c>
      <c r="AY21" s="17">
        <v>18</v>
      </c>
      <c r="AZ21" s="17">
        <v>142</v>
      </c>
      <c r="BA21" s="17"/>
      <c r="BB21" s="17" t="s">
        <v>865</v>
      </c>
      <c r="BC21" s="17"/>
      <c r="BD21" t="str">
        <f t="shared" si="1"/>
        <v>FIN_D02</v>
      </c>
    </row>
    <row r="22" spans="2:56">
      <c r="B22" s="20">
        <v>18</v>
      </c>
      <c r="C22" s="20">
        <v>216</v>
      </c>
      <c r="G22" t="str">
        <f>IFERROR(_xlfn.XLOOKUP(Super[[#This Row],[Supervisor_Name]],EmpNames,EmpIDs,"",0),0)</f>
        <v/>
      </c>
      <c r="H22" t="s">
        <v>25</v>
      </c>
      <c r="K22" s="17" t="s">
        <v>135</v>
      </c>
      <c r="S22" s="20">
        <v>2027</v>
      </c>
      <c r="T22" s="51">
        <v>6</v>
      </c>
      <c r="U22" s="51">
        <f>1</f>
        <v>1</v>
      </c>
      <c r="V22" s="65">
        <f>DATE(Month[[#This Row],[Year]],Month[[#This Row],[Month]],Month[[#This Row],[Day]])</f>
        <v>46539</v>
      </c>
      <c r="AE22" t="s">
        <v>979</v>
      </c>
      <c r="AK22">
        <v>19</v>
      </c>
      <c r="AL22">
        <v>244</v>
      </c>
      <c r="AM22">
        <v>0</v>
      </c>
      <c r="AN22" t="str">
        <v>جمال انصاري</v>
      </c>
      <c r="AO22" t="str">
        <v>Jamal Ansari</v>
      </c>
      <c r="AP22" t="str">
        <v>CON_D03</v>
      </c>
      <c r="AR22" s="17">
        <v>19</v>
      </c>
      <c r="AS22" s="17">
        <v>244</v>
      </c>
      <c r="AU22" s="17" t="s">
        <v>182</v>
      </c>
      <c r="AV22" s="54" t="s">
        <v>462</v>
      </c>
      <c r="AW22" s="17" t="str">
        <f t="shared" si="0"/>
        <v>CON_D03</v>
      </c>
      <c r="AY22" s="17">
        <v>19</v>
      </c>
      <c r="AZ22" s="17">
        <v>172</v>
      </c>
      <c r="BA22" s="17"/>
      <c r="BB22" s="17" t="s">
        <v>866</v>
      </c>
      <c r="BC22" s="17"/>
      <c r="BD22" t="str">
        <f t="shared" si="1"/>
        <v>FIN_D02</v>
      </c>
    </row>
    <row r="23" spans="2:56">
      <c r="B23" s="20">
        <v>19</v>
      </c>
      <c r="C23" s="20">
        <v>244</v>
      </c>
      <c r="G23" t="str">
        <f>IFERROR(_xlfn.XLOOKUP(Super[[#This Row],[Supervisor_Name]],EmpNames,EmpIDs,"",0),0)</f>
        <v/>
      </c>
      <c r="H23" t="s">
        <v>25</v>
      </c>
      <c r="K23" s="17" t="s">
        <v>136</v>
      </c>
      <c r="S23" s="20">
        <v>2027</v>
      </c>
      <c r="T23" s="51">
        <v>7</v>
      </c>
      <c r="U23" s="51">
        <f>1</f>
        <v>1</v>
      </c>
      <c r="V23" s="65">
        <f>DATE(Month[[#This Row],[Year]],Month[[#This Row],[Month]],Month[[#This Row],[Day]])</f>
        <v>46569</v>
      </c>
      <c r="AE23" t="s">
        <v>980</v>
      </c>
      <c r="AK23">
        <v>20</v>
      </c>
      <c r="AL23">
        <v>246</v>
      </c>
      <c r="AM23">
        <v>0</v>
      </c>
      <c r="AN23" t="str">
        <v>ميراجول انصاري</v>
      </c>
      <c r="AO23" t="str">
        <v>Mirajul Ansari</v>
      </c>
      <c r="AP23" t="str">
        <v>CON_D03</v>
      </c>
      <c r="AR23" s="17">
        <v>20</v>
      </c>
      <c r="AS23" s="17">
        <v>246</v>
      </c>
      <c r="AU23" s="17" t="s">
        <v>183</v>
      </c>
      <c r="AV23" s="54" t="s">
        <v>463</v>
      </c>
      <c r="AW23" s="17" t="str">
        <f t="shared" si="0"/>
        <v>CON_D03</v>
      </c>
      <c r="AY23" s="17">
        <v>20</v>
      </c>
      <c r="AZ23" s="17">
        <v>192</v>
      </c>
      <c r="BA23" s="17"/>
      <c r="BB23" s="17" t="s">
        <v>867</v>
      </c>
      <c r="BC23" s="17"/>
      <c r="BD23" t="str">
        <f t="shared" si="1"/>
        <v>FIN_D02</v>
      </c>
    </row>
    <row r="24" spans="2:56">
      <c r="B24" s="20">
        <v>20</v>
      </c>
      <c r="C24" s="20">
        <v>246</v>
      </c>
      <c r="G24" t="str">
        <f>IFERROR(_xlfn.XLOOKUP(Super[[#This Row],[Supervisor_Name]],EmpNames,EmpIDs,"",0),0)</f>
        <v/>
      </c>
      <c r="H24" t="s">
        <v>25</v>
      </c>
      <c r="K24" s="17" t="s">
        <v>137</v>
      </c>
      <c r="S24" s="20">
        <v>2027</v>
      </c>
      <c r="T24" s="51">
        <v>8</v>
      </c>
      <c r="U24" s="51">
        <f>1</f>
        <v>1</v>
      </c>
      <c r="V24" s="65">
        <f>DATE(Month[[#This Row],[Year]],Month[[#This Row],[Month]],Month[[#This Row],[Day]])</f>
        <v>46600</v>
      </c>
      <c r="AE24" t="s">
        <v>981</v>
      </c>
      <c r="AK24">
        <v>21</v>
      </c>
      <c r="AL24">
        <v>277</v>
      </c>
      <c r="AM24">
        <v>0</v>
      </c>
      <c r="AN24" t="str">
        <v>فينود ياداف</v>
      </c>
      <c r="AO24" t="str">
        <v>Vinod Yadav</v>
      </c>
      <c r="AP24" t="str">
        <v>CON_D03</v>
      </c>
      <c r="AR24" s="17">
        <v>21</v>
      </c>
      <c r="AS24" s="17">
        <v>277</v>
      </c>
      <c r="AU24" s="17" t="s">
        <v>184</v>
      </c>
      <c r="AV24" s="54" t="s">
        <v>464</v>
      </c>
      <c r="AW24" s="17" t="str">
        <f t="shared" si="0"/>
        <v>CON_D03</v>
      </c>
      <c r="AY24" s="17">
        <v>21</v>
      </c>
      <c r="AZ24" s="17">
        <v>309</v>
      </c>
      <c r="BA24" s="17"/>
      <c r="BB24" s="17" t="s">
        <v>868</v>
      </c>
      <c r="BC24" s="17"/>
      <c r="BD24" t="str">
        <f t="shared" si="1"/>
        <v>FIN_D02</v>
      </c>
    </row>
    <row r="25" spans="2:56">
      <c r="B25" s="20">
        <v>21</v>
      </c>
      <c r="C25" s="20">
        <v>277</v>
      </c>
      <c r="G25" t="str">
        <f>IFERROR(_xlfn.XLOOKUP(Super[[#This Row],[Supervisor_Name]],EmpNames,EmpIDs,"",0),0)</f>
        <v/>
      </c>
      <c r="H25" t="s">
        <v>25</v>
      </c>
      <c r="K25" s="17" t="s">
        <v>138</v>
      </c>
      <c r="S25" s="20">
        <v>2027</v>
      </c>
      <c r="T25" s="51">
        <v>9</v>
      </c>
      <c r="U25" s="51">
        <f>1</f>
        <v>1</v>
      </c>
      <c r="V25" s="65">
        <f>DATE(Month[[#This Row],[Year]],Month[[#This Row],[Month]],Month[[#This Row],[Day]])</f>
        <v>46631</v>
      </c>
      <c r="AE25" t="s">
        <v>982</v>
      </c>
      <c r="AK25">
        <v>22</v>
      </c>
      <c r="AL25">
        <v>373</v>
      </c>
      <c r="AM25">
        <v>0</v>
      </c>
      <c r="AN25" t="str">
        <v>الأمير ميان</v>
      </c>
      <c r="AO25" t="str">
        <v>Prince Mian</v>
      </c>
      <c r="AP25" t="str">
        <v>CON_D03</v>
      </c>
      <c r="AR25" s="17">
        <v>22</v>
      </c>
      <c r="AS25" s="17">
        <v>373</v>
      </c>
      <c r="AU25" s="17" t="s">
        <v>185</v>
      </c>
      <c r="AV25" s="54" t="s">
        <v>465</v>
      </c>
      <c r="AW25" s="17" t="str">
        <f t="shared" si="0"/>
        <v>CON_D03</v>
      </c>
      <c r="AY25" s="17">
        <v>22</v>
      </c>
      <c r="AZ25" s="17">
        <v>339</v>
      </c>
      <c r="BA25" s="17"/>
      <c r="BB25" s="17" t="s">
        <v>869</v>
      </c>
      <c r="BC25" s="17"/>
      <c r="BD25" t="str">
        <f t="shared" si="1"/>
        <v>FIN_D02</v>
      </c>
    </row>
    <row r="26" spans="2:56">
      <c r="B26" s="20">
        <v>22</v>
      </c>
      <c r="C26" s="20">
        <v>373</v>
      </c>
      <c r="K26" s="17" t="s">
        <v>139</v>
      </c>
      <c r="S26" s="20">
        <v>2027</v>
      </c>
      <c r="T26" s="51">
        <v>10</v>
      </c>
      <c r="U26" s="51">
        <f>1</f>
        <v>1</v>
      </c>
      <c r="V26" s="65">
        <f>DATE(Month[[#This Row],[Year]],Month[[#This Row],[Month]],Month[[#This Row],[Day]])</f>
        <v>46661</v>
      </c>
      <c r="AE26" t="s">
        <v>983</v>
      </c>
      <c r="AK26">
        <v>23</v>
      </c>
      <c r="AL26" t="str">
        <v>O162</v>
      </c>
      <c r="AM26">
        <v>0</v>
      </c>
      <c r="AN26" t="str">
        <v>يرافن انصاري</v>
      </c>
      <c r="AO26" t="str">
        <v>Yaraven Ansari</v>
      </c>
      <c r="AP26" t="str">
        <v>CON_D03</v>
      </c>
      <c r="AR26" s="17">
        <v>23</v>
      </c>
      <c r="AS26" s="17" t="s">
        <v>186</v>
      </c>
      <c r="AU26" s="17" t="s">
        <v>187</v>
      </c>
      <c r="AV26" s="54" t="s">
        <v>466</v>
      </c>
      <c r="AW26" s="17" t="str">
        <f t="shared" si="0"/>
        <v>CON_D03</v>
      </c>
      <c r="AY26" s="17">
        <v>23</v>
      </c>
      <c r="AZ26" s="17" t="s">
        <v>118</v>
      </c>
      <c r="BA26" s="17"/>
      <c r="BB26" s="17" t="s">
        <v>870</v>
      </c>
      <c r="BC26" s="17"/>
      <c r="BD26" t="str">
        <f t="shared" si="1"/>
        <v>FIN_D02</v>
      </c>
    </row>
    <row r="27" spans="2:56">
      <c r="B27" s="20">
        <v>23</v>
      </c>
      <c r="C27" s="20" t="s">
        <v>186</v>
      </c>
      <c r="K27" s="17" t="s">
        <v>140</v>
      </c>
      <c r="S27" s="20">
        <v>2027</v>
      </c>
      <c r="T27" s="51">
        <v>11</v>
      </c>
      <c r="U27" s="51">
        <f>1</f>
        <v>1</v>
      </c>
      <c r="V27" s="65">
        <f>DATE(Month[[#This Row],[Year]],Month[[#This Row],[Month]],Month[[#This Row],[Day]])</f>
        <v>46692</v>
      </c>
      <c r="AK27">
        <v>24</v>
      </c>
      <c r="AL27" t="str">
        <v>O52</v>
      </c>
      <c r="AM27">
        <v>0</v>
      </c>
      <c r="AN27" t="str">
        <v>شميم انصاري</v>
      </c>
      <c r="AO27" t="str">
        <v>Shamim Ansari</v>
      </c>
      <c r="AP27" t="str">
        <v>CON_D03</v>
      </c>
      <c r="AR27" s="17">
        <v>24</v>
      </c>
      <c r="AS27" s="17" t="s">
        <v>188</v>
      </c>
      <c r="AU27" s="17" t="s">
        <v>189</v>
      </c>
      <c r="AV27" s="54" t="s">
        <v>467</v>
      </c>
      <c r="AW27" s="17" t="str">
        <f t="shared" si="0"/>
        <v>CON_D03</v>
      </c>
      <c r="AY27" s="17">
        <v>24</v>
      </c>
      <c r="AZ27" s="17" t="s">
        <v>115</v>
      </c>
      <c r="BA27" s="17"/>
      <c r="BB27" s="17" t="s">
        <v>871</v>
      </c>
      <c r="BC27" s="17"/>
      <c r="BD27" t="str">
        <f t="shared" si="1"/>
        <v>FIN_D02</v>
      </c>
    </row>
    <row r="28" spans="2:56">
      <c r="B28" s="20">
        <v>24</v>
      </c>
      <c r="C28" s="20" t="s">
        <v>188</v>
      </c>
      <c r="K28" s="17" t="s">
        <v>141</v>
      </c>
      <c r="S28" s="20">
        <v>2027</v>
      </c>
      <c r="T28" s="51">
        <v>12</v>
      </c>
      <c r="U28" s="51">
        <f>1</f>
        <v>1</v>
      </c>
      <c r="V28" s="65">
        <f>DATE(Month[[#This Row],[Year]],Month[[#This Row],[Month]],Month[[#This Row],[Day]])</f>
        <v>46722</v>
      </c>
      <c r="AK28">
        <v>25</v>
      </c>
      <c r="AL28" t="str">
        <v>O60</v>
      </c>
      <c r="AM28">
        <v>0</v>
      </c>
      <c r="AN28" t="str">
        <v>محمد اكبر صافي</v>
      </c>
      <c r="AO28" t="str">
        <v>Muhammad Akbar Safi</v>
      </c>
      <c r="AP28" t="str">
        <v>CON_D03</v>
      </c>
      <c r="AR28" s="17">
        <v>25</v>
      </c>
      <c r="AS28" s="17" t="s">
        <v>190</v>
      </c>
      <c r="AU28" s="17" t="s">
        <v>191</v>
      </c>
      <c r="AV28" s="23" t="s">
        <v>468</v>
      </c>
      <c r="AW28" s="17" t="str">
        <f t="shared" si="0"/>
        <v>CON_D03</v>
      </c>
      <c r="AY28" s="17">
        <v>25</v>
      </c>
      <c r="AZ28" s="17" t="s">
        <v>119</v>
      </c>
      <c r="BA28" s="17"/>
      <c r="BB28" s="17" t="s">
        <v>872</v>
      </c>
      <c r="BC28" s="17"/>
      <c r="BD28" t="str">
        <f t="shared" si="1"/>
        <v>FIN_D02</v>
      </c>
    </row>
    <row r="29" spans="2:56">
      <c r="B29" s="20">
        <v>25</v>
      </c>
      <c r="C29" s="20" t="s">
        <v>190</v>
      </c>
      <c r="K29" s="17" t="s">
        <v>142</v>
      </c>
      <c r="AK29">
        <v>26</v>
      </c>
      <c r="AL29">
        <v>121</v>
      </c>
      <c r="AM29">
        <v>0</v>
      </c>
      <c r="AN29" t="str">
        <v>ﺍﻟﺠﻴﺐ ﺍﻧﺼﺎﺭي ﻣﺠﻴﺪ ﺍﻧﺼﺎﺭي</v>
      </c>
      <c r="AO29" t="str">
        <v>The pocket of Ansari Majid Ansari</v>
      </c>
      <c r="AP29" t="str">
        <v>CON_D03</v>
      </c>
      <c r="AR29" s="17">
        <v>26</v>
      </c>
      <c r="AS29" s="17">
        <v>121</v>
      </c>
      <c r="AU29" s="17" t="s">
        <v>192</v>
      </c>
      <c r="AV29" s="23" t="s">
        <v>469</v>
      </c>
      <c r="AW29" s="17" t="str">
        <f t="shared" si="0"/>
        <v>CON_D03</v>
      </c>
      <c r="AY29" s="17">
        <v>26</v>
      </c>
      <c r="AZ29" s="17">
        <v>21</v>
      </c>
      <c r="BA29" s="17"/>
      <c r="BB29" s="17" t="s">
        <v>873</v>
      </c>
      <c r="BC29" s="17"/>
      <c r="BD29" t="str">
        <f t="shared" si="1"/>
        <v>FIN_D02</v>
      </c>
    </row>
    <row r="30" spans="2:56">
      <c r="B30" s="20">
        <v>26</v>
      </c>
      <c r="C30" s="20">
        <v>121</v>
      </c>
      <c r="K30" s="17" t="s">
        <v>65</v>
      </c>
      <c r="AK30">
        <v>27</v>
      </c>
      <c r="AL30">
        <v>129</v>
      </c>
      <c r="AM30">
        <v>0</v>
      </c>
      <c r="AN30" t="str">
        <v>ﻫﺎﺭﻳﻨﺪﺭﺍ ﻣﻮﻛﻬﻴﺎ</v>
      </c>
      <c r="AO30" t="str">
        <v>Harendra Mukhiya</v>
      </c>
      <c r="AP30" t="str">
        <v>CON_D03</v>
      </c>
      <c r="AR30" s="17">
        <v>27</v>
      </c>
      <c r="AS30" s="17">
        <v>129</v>
      </c>
      <c r="AU30" s="17" t="s">
        <v>193</v>
      </c>
      <c r="AV30" s="23" t="s">
        <v>470</v>
      </c>
      <c r="AW30" s="17" t="str">
        <f t="shared" si="0"/>
        <v>CON_D03</v>
      </c>
      <c r="AY30" s="17">
        <v>27</v>
      </c>
      <c r="AZ30" s="17">
        <v>418</v>
      </c>
      <c r="BA30" s="17"/>
      <c r="BB30" s="17" t="s">
        <v>874</v>
      </c>
      <c r="BC30" s="17"/>
      <c r="BD30" t="str">
        <f t="shared" si="1"/>
        <v>FIN_D02</v>
      </c>
    </row>
    <row r="31" spans="2:56">
      <c r="B31" s="20">
        <v>27</v>
      </c>
      <c r="C31" s="20">
        <v>129</v>
      </c>
      <c r="K31" s="17" t="s">
        <v>56</v>
      </c>
      <c r="AK31">
        <v>28</v>
      </c>
      <c r="AL31">
        <v>127</v>
      </c>
      <c r="AM31">
        <v>0</v>
      </c>
      <c r="AN31" t="str">
        <v>ﺷﺎﺗﺮﺩﻫﺎﻥ ﻣﺎﻫﺎﺭﺍ</v>
      </c>
      <c r="AO31" t="str">
        <v>Chatardhan Mahara</v>
      </c>
      <c r="AP31" t="str">
        <v>CON_D03</v>
      </c>
      <c r="AR31" s="17">
        <v>28</v>
      </c>
      <c r="AS31" s="17">
        <v>127</v>
      </c>
      <c r="AU31" s="17" t="s">
        <v>194</v>
      </c>
      <c r="AV31" s="23" t="s">
        <v>471</v>
      </c>
      <c r="AW31" s="17" t="str">
        <f t="shared" si="0"/>
        <v>CON_D03</v>
      </c>
      <c r="AY31" s="17">
        <v>28</v>
      </c>
      <c r="AZ31" s="17">
        <v>443</v>
      </c>
      <c r="BA31" s="17"/>
      <c r="BB31" s="17" t="s">
        <v>875</v>
      </c>
      <c r="BC31" s="17"/>
      <c r="BD31" t="str">
        <f t="shared" si="1"/>
        <v>FIN_D02</v>
      </c>
    </row>
    <row r="32" spans="2:56">
      <c r="B32" s="20">
        <v>28</v>
      </c>
      <c r="C32" s="20">
        <v>127</v>
      </c>
      <c r="K32" s="17" t="s">
        <v>143</v>
      </c>
      <c r="AK32">
        <v>29</v>
      </c>
      <c r="AL32">
        <v>138</v>
      </c>
      <c r="AM32">
        <v>0</v>
      </c>
      <c r="AN32" t="str">
        <v>ﻛﺎﺟﻞ ﺷﻴﺦ ﺩﺍﻭﺩ ﺷﻴﺦ</v>
      </c>
      <c r="AO32" t="str">
        <v>Kajal Sheikh Dawood Sheikh</v>
      </c>
      <c r="AP32" t="str">
        <v>CON_D03</v>
      </c>
      <c r="AR32" s="17">
        <v>29</v>
      </c>
      <c r="AS32" s="17">
        <v>138</v>
      </c>
      <c r="AU32" s="17" t="s">
        <v>195</v>
      </c>
      <c r="AV32" s="23" t="s">
        <v>472</v>
      </c>
      <c r="AW32" s="17" t="str">
        <f t="shared" si="0"/>
        <v>CON_D03</v>
      </c>
      <c r="AY32" s="17">
        <v>29</v>
      </c>
      <c r="AZ32" s="17">
        <v>530</v>
      </c>
      <c r="BA32" s="17"/>
      <c r="BB32" s="17" t="s">
        <v>876</v>
      </c>
      <c r="BC32" s="17"/>
      <c r="BD32" t="str">
        <f t="shared" si="1"/>
        <v>FIN_D02</v>
      </c>
    </row>
    <row r="33" spans="2:56">
      <c r="B33" s="20">
        <v>29</v>
      </c>
      <c r="C33" s="20">
        <v>138</v>
      </c>
      <c r="K33" s="17" t="s">
        <v>144</v>
      </c>
      <c r="AK33">
        <v>30</v>
      </c>
      <c r="AL33">
        <v>145</v>
      </c>
      <c r="AM33">
        <v>0</v>
      </c>
      <c r="AN33" t="str">
        <v>ﺳﺎﺕ ﺑﻞ ﻣﻴﻠﻮ ﺭﺍﻡ</v>
      </c>
      <c r="AO33" t="str">
        <v>Sat Bell Milo Ram</v>
      </c>
      <c r="AP33" t="str">
        <v>CON_D03</v>
      </c>
      <c r="AR33" s="17">
        <v>30</v>
      </c>
      <c r="AS33" s="17">
        <v>145</v>
      </c>
      <c r="AU33" s="17" t="s">
        <v>196</v>
      </c>
      <c r="AV33" s="23" t="s">
        <v>473</v>
      </c>
      <c r="AW33" s="17" t="str">
        <f t="shared" si="0"/>
        <v>CON_D03</v>
      </c>
      <c r="AY33" s="17">
        <v>30</v>
      </c>
      <c r="AZ33" s="17">
        <v>270</v>
      </c>
      <c r="BA33" s="17"/>
      <c r="BB33" s="17" t="s">
        <v>877</v>
      </c>
      <c r="BC33" s="17"/>
      <c r="BD33" t="str">
        <f t="shared" si="1"/>
        <v>FIN_D02</v>
      </c>
    </row>
    <row r="34" spans="2:56">
      <c r="B34" s="20">
        <v>30</v>
      </c>
      <c r="C34" s="20">
        <v>145</v>
      </c>
      <c r="K34" s="17"/>
      <c r="AK34">
        <v>31</v>
      </c>
      <c r="AL34">
        <v>197</v>
      </c>
      <c r="AM34">
        <v>0</v>
      </c>
      <c r="AN34" t="str">
        <v>ﺭﺣﻴﻢ ﺑﺎﺷﺎ ﻗﻄﻮﺑﺪﻱ</v>
      </c>
      <c r="AO34" t="str">
        <v>Rahim Pasha Qutubdi</v>
      </c>
      <c r="AP34" t="str">
        <v>CON_D03</v>
      </c>
      <c r="AR34" s="17">
        <v>31</v>
      </c>
      <c r="AS34" s="17">
        <v>197</v>
      </c>
      <c r="AU34" s="17" t="s">
        <v>197</v>
      </c>
      <c r="AV34" s="23" t="s">
        <v>474</v>
      </c>
      <c r="AW34" s="17" t="str">
        <f t="shared" si="0"/>
        <v>CON_D03</v>
      </c>
      <c r="AY34" s="17">
        <v>31</v>
      </c>
      <c r="AZ34" s="17">
        <v>437</v>
      </c>
      <c r="BA34" s="17"/>
      <c r="BB34" s="17" t="s">
        <v>878</v>
      </c>
      <c r="BC34" s="17"/>
      <c r="BD34" t="str">
        <f t="shared" si="1"/>
        <v>FIN_D02</v>
      </c>
    </row>
    <row r="35" spans="2:56">
      <c r="B35" s="20">
        <v>31</v>
      </c>
      <c r="C35" s="20">
        <v>197</v>
      </c>
      <c r="AK35">
        <v>32</v>
      </c>
      <c r="AL35">
        <v>207</v>
      </c>
      <c r="AM35">
        <v>0</v>
      </c>
      <c r="AN35" t="str">
        <v>ﺑﻴﺮﻳﻨﺪﺭﺍ ﻛﻮﻣﺎﺭ ﺑﻮﻫﺎﺭﺍ</v>
      </c>
      <c r="AO35" t="str">
        <v>Birendra Kumar Bhohara</v>
      </c>
      <c r="AP35" t="str">
        <v>CON_D03</v>
      </c>
      <c r="AR35" s="17">
        <v>32</v>
      </c>
      <c r="AS35" s="17">
        <v>207</v>
      </c>
      <c r="AU35" s="17" t="s">
        <v>198</v>
      </c>
      <c r="AV35" s="23" t="s">
        <v>475</v>
      </c>
      <c r="AW35" s="17" t="str">
        <f t="shared" si="0"/>
        <v>CON_D03</v>
      </c>
      <c r="AY35" s="17">
        <v>32</v>
      </c>
      <c r="AZ35" s="17">
        <v>441</v>
      </c>
      <c r="BA35" s="17"/>
      <c r="BB35" s="17" t="s">
        <v>879</v>
      </c>
      <c r="BC35" s="17"/>
      <c r="BD35" t="str">
        <f t="shared" si="1"/>
        <v>FIN_D02</v>
      </c>
    </row>
    <row r="36" spans="2:56">
      <c r="B36" s="20">
        <v>32</v>
      </c>
      <c r="C36" s="20">
        <v>207</v>
      </c>
      <c r="AK36">
        <v>33</v>
      </c>
      <c r="AL36">
        <v>214</v>
      </c>
      <c r="AM36">
        <v>0</v>
      </c>
      <c r="AN36" t="str">
        <v>ﻧﺸﺎﺩ ﻋﺒﺪ ﺣﺴﻴﻦ</v>
      </c>
      <c r="AO36" t="str">
        <v>Nashhad Abdel Hussein</v>
      </c>
      <c r="AP36" t="str">
        <v>CON_D03</v>
      </c>
      <c r="AR36" s="17">
        <v>33</v>
      </c>
      <c r="AS36" s="17">
        <v>214</v>
      </c>
      <c r="AU36" s="17" t="s">
        <v>199</v>
      </c>
      <c r="AV36" s="23" t="s">
        <v>476</v>
      </c>
      <c r="AW36" s="17" t="str">
        <f t="shared" ref="AW36:AW67" si="7">$AV$2</f>
        <v>CON_D03</v>
      </c>
      <c r="AY36" s="17">
        <v>33</v>
      </c>
      <c r="AZ36" s="17">
        <v>493</v>
      </c>
      <c r="BA36" s="17"/>
      <c r="BB36" s="17" t="s">
        <v>880</v>
      </c>
      <c r="BC36" s="17"/>
      <c r="BD36" t="str">
        <f t="shared" ref="BD36:BD67" si="8">$BC$2</f>
        <v>FIN_D02</v>
      </c>
    </row>
    <row r="37" spans="2:56">
      <c r="B37" s="20">
        <v>33</v>
      </c>
      <c r="C37" s="20">
        <v>214</v>
      </c>
      <c r="AK37">
        <v>34</v>
      </c>
      <c r="AL37">
        <v>302</v>
      </c>
      <c r="AM37">
        <v>0</v>
      </c>
      <c r="AN37" t="str">
        <v>ماهندرا ماهارا</v>
      </c>
      <c r="AO37" t="str">
        <v>Mahendra Mahara</v>
      </c>
      <c r="AP37" t="str">
        <v>CON_D03</v>
      </c>
      <c r="AR37" s="17">
        <v>34</v>
      </c>
      <c r="AS37" s="17">
        <v>302</v>
      </c>
      <c r="AU37" s="17" t="s">
        <v>200</v>
      </c>
      <c r="AV37" s="23" t="s">
        <v>477</v>
      </c>
      <c r="AW37" s="17" t="str">
        <f t="shared" si="7"/>
        <v>CON_D03</v>
      </c>
      <c r="AY37" s="17">
        <v>34</v>
      </c>
      <c r="AZ37" s="17">
        <v>279</v>
      </c>
      <c r="BA37" s="17"/>
      <c r="BB37" s="17" t="s">
        <v>881</v>
      </c>
      <c r="BC37" s="17"/>
      <c r="BD37" t="str">
        <f t="shared" si="8"/>
        <v>FIN_D02</v>
      </c>
    </row>
    <row r="38" spans="2:56">
      <c r="B38" s="20">
        <v>34</v>
      </c>
      <c r="C38" s="20">
        <v>302</v>
      </c>
      <c r="AK38">
        <v>35</v>
      </c>
      <c r="AL38">
        <v>303</v>
      </c>
      <c r="AM38">
        <v>0</v>
      </c>
      <c r="AN38" t="str">
        <v>ايندال يادالا</v>
      </c>
      <c r="AO38" t="str">
        <v>Indal Yadala</v>
      </c>
      <c r="AP38" t="str">
        <v>CON_D03</v>
      </c>
      <c r="AR38" s="17">
        <v>35</v>
      </c>
      <c r="AS38" s="17">
        <v>303</v>
      </c>
      <c r="AU38" s="17" t="s">
        <v>201</v>
      </c>
      <c r="AV38" s="54" t="s">
        <v>478</v>
      </c>
      <c r="AW38" s="17" t="str">
        <f t="shared" si="7"/>
        <v>CON_D03</v>
      </c>
      <c r="AY38" s="17">
        <v>35</v>
      </c>
      <c r="AZ38" s="17" t="s">
        <v>348</v>
      </c>
      <c r="BA38" s="17"/>
      <c r="BB38" s="17" t="s">
        <v>882</v>
      </c>
      <c r="BC38" s="17"/>
      <c r="BD38" t="str">
        <f t="shared" si="8"/>
        <v>FIN_D02</v>
      </c>
    </row>
    <row r="39" spans="2:56">
      <c r="B39" s="20">
        <v>35</v>
      </c>
      <c r="C39" s="20">
        <v>303</v>
      </c>
      <c r="AK39">
        <v>36</v>
      </c>
      <c r="AL39">
        <v>305</v>
      </c>
      <c r="AM39">
        <v>0</v>
      </c>
      <c r="AN39" t="str">
        <v>بركاش باسمان</v>
      </c>
      <c r="AO39" t="str">
        <v>Prakash Basman</v>
      </c>
      <c r="AP39" t="str">
        <v>CON_D03</v>
      </c>
      <c r="AR39" s="17">
        <v>36</v>
      </c>
      <c r="AS39" s="17">
        <v>305</v>
      </c>
      <c r="AU39" s="17" t="s">
        <v>202</v>
      </c>
      <c r="AV39" s="23" t="s">
        <v>479</v>
      </c>
      <c r="AW39" s="17" t="str">
        <f t="shared" si="7"/>
        <v>CON_D03</v>
      </c>
      <c r="AY39" s="17">
        <v>36</v>
      </c>
      <c r="AZ39" s="17">
        <v>482</v>
      </c>
      <c r="BA39" s="17"/>
      <c r="BB39" s="17" t="s">
        <v>883</v>
      </c>
      <c r="BC39" s="17"/>
      <c r="BD39" t="str">
        <f t="shared" si="8"/>
        <v>FIN_D02</v>
      </c>
    </row>
    <row r="40" spans="2:56">
      <c r="B40" s="20">
        <v>36</v>
      </c>
      <c r="C40" s="20">
        <v>305</v>
      </c>
      <c r="AK40">
        <v>37</v>
      </c>
      <c r="AL40">
        <v>307</v>
      </c>
      <c r="AM40">
        <v>0</v>
      </c>
      <c r="AN40" t="str">
        <v>دانيش شودهاري</v>
      </c>
      <c r="AO40" t="str">
        <v>Danish Choudhary</v>
      </c>
      <c r="AP40" t="str">
        <v>CON_D03</v>
      </c>
      <c r="AR40" s="17">
        <v>37</v>
      </c>
      <c r="AS40" s="17">
        <v>307</v>
      </c>
      <c r="AU40" s="17" t="s">
        <v>203</v>
      </c>
      <c r="AV40" s="23" t="s">
        <v>480</v>
      </c>
      <c r="AW40" s="17" t="str">
        <f t="shared" si="7"/>
        <v>CON_D03</v>
      </c>
      <c r="AY40" s="17">
        <v>37</v>
      </c>
      <c r="AZ40" s="17">
        <v>128</v>
      </c>
      <c r="BA40" s="17"/>
      <c r="BB40" s="17" t="s">
        <v>884</v>
      </c>
      <c r="BC40" s="17"/>
      <c r="BD40" t="str">
        <f t="shared" si="8"/>
        <v>FIN_D02</v>
      </c>
    </row>
    <row r="41" spans="2:56">
      <c r="B41" s="20">
        <v>37</v>
      </c>
      <c r="C41" s="20">
        <v>307</v>
      </c>
      <c r="AK41">
        <v>38</v>
      </c>
      <c r="AL41">
        <v>308</v>
      </c>
      <c r="AM41">
        <v>0</v>
      </c>
      <c r="AN41" t="str">
        <v>لابان انينجوكير</v>
      </c>
      <c r="AO41" t="str">
        <v>Laban Aningokir</v>
      </c>
      <c r="AP41" t="str">
        <v>CON_D03</v>
      </c>
      <c r="AR41" s="17">
        <v>38</v>
      </c>
      <c r="AS41" s="17">
        <v>308</v>
      </c>
      <c r="AU41" s="17" t="s">
        <v>204</v>
      </c>
      <c r="AV41" s="54" t="s">
        <v>481</v>
      </c>
      <c r="AW41" s="17" t="str">
        <f t="shared" si="7"/>
        <v>CON_D03</v>
      </c>
      <c r="AY41" s="17">
        <v>38</v>
      </c>
      <c r="AZ41" s="17">
        <v>290</v>
      </c>
      <c r="BA41" s="17"/>
      <c r="BB41" s="17" t="s">
        <v>885</v>
      </c>
      <c r="BC41" s="17"/>
      <c r="BD41" t="str">
        <f t="shared" si="8"/>
        <v>FIN_D02</v>
      </c>
    </row>
    <row r="42" spans="2:56">
      <c r="B42" s="20">
        <v>38</v>
      </c>
      <c r="C42" s="20">
        <v>308</v>
      </c>
      <c r="AK42">
        <v>39</v>
      </c>
      <c r="AL42">
        <v>312</v>
      </c>
      <c r="AM42">
        <v>0</v>
      </c>
      <c r="AN42" t="str">
        <v>موهادف موكايا</v>
      </c>
      <c r="AO42" t="str">
        <v>Mohadaf Mukaya</v>
      </c>
      <c r="AP42" t="str">
        <v>CON_D03</v>
      </c>
      <c r="AR42" s="17">
        <v>39</v>
      </c>
      <c r="AS42" s="17">
        <v>312</v>
      </c>
      <c r="AU42" s="17" t="s">
        <v>205</v>
      </c>
      <c r="AV42" s="23" t="s">
        <v>482</v>
      </c>
      <c r="AW42" s="17" t="str">
        <f t="shared" si="7"/>
        <v>CON_D03</v>
      </c>
      <c r="AY42" s="17">
        <v>39</v>
      </c>
      <c r="AZ42" s="17">
        <v>322</v>
      </c>
      <c r="BA42" s="17"/>
      <c r="BB42" s="17" t="s">
        <v>886</v>
      </c>
      <c r="BC42" s="17"/>
      <c r="BD42" t="str">
        <f t="shared" si="8"/>
        <v>FIN_D02</v>
      </c>
    </row>
    <row r="43" spans="2:56">
      <c r="B43" s="20">
        <v>39</v>
      </c>
      <c r="C43" s="20">
        <v>312</v>
      </c>
      <c r="AK43">
        <v>40</v>
      </c>
      <c r="AL43">
        <v>316</v>
      </c>
      <c r="AM43">
        <v>0</v>
      </c>
      <c r="AN43" t="str">
        <v>سانتوش كومار ساكور</v>
      </c>
      <c r="AO43" t="str">
        <v>Santosh Kumar Sakur</v>
      </c>
      <c r="AP43" t="str">
        <v>CON_D03</v>
      </c>
      <c r="AR43" s="17">
        <v>40</v>
      </c>
      <c r="AS43" s="17">
        <v>316</v>
      </c>
      <c r="AU43" s="17" t="s">
        <v>206</v>
      </c>
      <c r="AV43" s="23" t="s">
        <v>483</v>
      </c>
      <c r="AW43" s="17" t="str">
        <f t="shared" si="7"/>
        <v>CON_D03</v>
      </c>
      <c r="AY43" s="17">
        <v>40</v>
      </c>
      <c r="AZ43" s="17">
        <v>325</v>
      </c>
      <c r="BA43" s="17"/>
      <c r="BB43" s="17" t="s">
        <v>887</v>
      </c>
      <c r="BC43" s="17"/>
      <c r="BD43" t="str">
        <f t="shared" si="8"/>
        <v>FIN_D02</v>
      </c>
    </row>
    <row r="44" spans="2:56">
      <c r="B44" s="20">
        <v>40</v>
      </c>
      <c r="C44" s="20">
        <v>316</v>
      </c>
      <c r="AK44">
        <v>41</v>
      </c>
      <c r="AL44">
        <v>324</v>
      </c>
      <c r="AM44">
        <v>0</v>
      </c>
      <c r="AN44" t="str">
        <v>براديب ماهارا</v>
      </c>
      <c r="AO44" t="str">
        <v>Pradeep Mahara</v>
      </c>
      <c r="AP44" t="str">
        <v>CON_D03</v>
      </c>
      <c r="AR44" s="17">
        <v>41</v>
      </c>
      <c r="AS44" s="17">
        <v>324</v>
      </c>
      <c r="AU44" s="17" t="s">
        <v>207</v>
      </c>
      <c r="AV44" s="23" t="s">
        <v>484</v>
      </c>
      <c r="AW44" s="17" t="str">
        <f t="shared" si="7"/>
        <v>CON_D03</v>
      </c>
      <c r="AY44" s="17">
        <v>41</v>
      </c>
      <c r="AZ44" s="17">
        <v>370</v>
      </c>
      <c r="BA44" s="17"/>
      <c r="BB44" s="17" t="s">
        <v>888</v>
      </c>
      <c r="BC44" s="17"/>
      <c r="BD44" t="str">
        <f t="shared" si="8"/>
        <v>FIN_D02</v>
      </c>
    </row>
    <row r="45" spans="2:56">
      <c r="B45" s="20">
        <v>41</v>
      </c>
      <c r="C45" s="20">
        <v>324</v>
      </c>
      <c r="AK45">
        <v>42</v>
      </c>
      <c r="AL45">
        <v>336</v>
      </c>
      <c r="AM45">
        <v>0</v>
      </c>
      <c r="AN45" t="str">
        <v>سوندار موكهيا</v>
      </c>
      <c r="AO45" t="str">
        <v>Sundar Mukhia</v>
      </c>
      <c r="AP45" t="str">
        <v>CON_D03</v>
      </c>
      <c r="AR45" s="17">
        <v>42</v>
      </c>
      <c r="AS45" s="17">
        <v>336</v>
      </c>
      <c r="AU45" s="17" t="s">
        <v>208</v>
      </c>
      <c r="AV45" s="54" t="s">
        <v>485</v>
      </c>
      <c r="AW45" s="17" t="str">
        <f t="shared" si="7"/>
        <v>CON_D03</v>
      </c>
      <c r="AY45" s="17">
        <v>42</v>
      </c>
      <c r="AZ45" s="17">
        <v>474</v>
      </c>
      <c r="BA45" s="17"/>
      <c r="BB45" s="17" t="s">
        <v>889</v>
      </c>
      <c r="BC45" s="17"/>
      <c r="BD45" t="str">
        <f t="shared" si="8"/>
        <v>FIN_D02</v>
      </c>
    </row>
    <row r="46" spans="2:56">
      <c r="B46" s="20">
        <v>42</v>
      </c>
      <c r="C46" s="20">
        <v>336</v>
      </c>
      <c r="AK46">
        <v>43</v>
      </c>
      <c r="AL46">
        <v>337</v>
      </c>
      <c r="AM46">
        <v>0</v>
      </c>
      <c r="AN46" t="str">
        <v>سيباش كاتهيت</v>
      </c>
      <c r="AO46" t="str">
        <v>Sebash Kathiet</v>
      </c>
      <c r="AP46" t="str">
        <v>CON_D03</v>
      </c>
      <c r="AR46" s="17">
        <v>43</v>
      </c>
      <c r="AS46" s="17">
        <v>337</v>
      </c>
      <c r="AU46" s="17" t="s">
        <v>209</v>
      </c>
      <c r="AV46" s="54" t="s">
        <v>486</v>
      </c>
      <c r="AW46" s="17" t="str">
        <f t="shared" si="7"/>
        <v>CON_D03</v>
      </c>
      <c r="AY46" s="17">
        <v>43</v>
      </c>
      <c r="AZ46" s="17">
        <v>477</v>
      </c>
      <c r="BA46" s="17"/>
      <c r="BB46" s="17" t="s">
        <v>890</v>
      </c>
      <c r="BC46" s="17"/>
      <c r="BD46" t="str">
        <f t="shared" si="8"/>
        <v>FIN_D02</v>
      </c>
    </row>
    <row r="47" spans="2:56">
      <c r="B47" s="20">
        <v>43</v>
      </c>
      <c r="C47" s="20">
        <v>337</v>
      </c>
      <c r="AK47">
        <v>44</v>
      </c>
      <c r="AL47">
        <v>348</v>
      </c>
      <c r="AM47">
        <v>0</v>
      </c>
      <c r="AN47" t="str">
        <v>اندرجيت سينج</v>
      </c>
      <c r="AO47" t="str">
        <v>Anderjit Singh</v>
      </c>
      <c r="AP47" t="str">
        <v>CON_D03</v>
      </c>
      <c r="AR47" s="17">
        <v>44</v>
      </c>
      <c r="AS47" s="17">
        <v>348</v>
      </c>
      <c r="AU47" s="17" t="s">
        <v>210</v>
      </c>
      <c r="AV47" s="54" t="s">
        <v>487</v>
      </c>
      <c r="AW47" s="17" t="str">
        <f t="shared" si="7"/>
        <v>CON_D03</v>
      </c>
      <c r="AY47" s="17">
        <v>44</v>
      </c>
      <c r="AZ47" s="17" t="s">
        <v>92</v>
      </c>
      <c r="BA47" s="17"/>
      <c r="BB47" s="17" t="s">
        <v>891</v>
      </c>
      <c r="BC47" s="17"/>
      <c r="BD47" t="str">
        <f t="shared" si="8"/>
        <v>FIN_D02</v>
      </c>
    </row>
    <row r="48" spans="2:56">
      <c r="B48" s="20">
        <v>44</v>
      </c>
      <c r="C48" s="20">
        <v>348</v>
      </c>
      <c r="AK48">
        <v>45</v>
      </c>
      <c r="AL48">
        <v>378</v>
      </c>
      <c r="AM48">
        <v>0</v>
      </c>
      <c r="AN48" t="str">
        <v>بارويج علم مسلم ميا</v>
      </c>
      <c r="AO48" t="str">
        <v>Barwij, Muslim scholar Mia</v>
      </c>
      <c r="AP48" t="str">
        <v>CON_D03</v>
      </c>
      <c r="AR48" s="17">
        <v>45</v>
      </c>
      <c r="AS48" s="17">
        <v>378</v>
      </c>
      <c r="AU48" s="17" t="s">
        <v>211</v>
      </c>
      <c r="AV48" s="23" t="s">
        <v>488</v>
      </c>
      <c r="AW48" s="17" t="str">
        <f t="shared" si="7"/>
        <v>CON_D03</v>
      </c>
      <c r="AY48" s="17">
        <v>45</v>
      </c>
      <c r="AZ48" s="17" t="s">
        <v>100</v>
      </c>
      <c r="BA48" s="17"/>
      <c r="BB48" s="17" t="s">
        <v>892</v>
      </c>
      <c r="BC48" s="17"/>
      <c r="BD48" t="str">
        <f t="shared" si="8"/>
        <v>FIN_D02</v>
      </c>
    </row>
    <row r="49" spans="2:56">
      <c r="B49" s="20">
        <v>45</v>
      </c>
      <c r="C49" s="20">
        <v>378</v>
      </c>
      <c r="AK49">
        <v>46</v>
      </c>
      <c r="AL49">
        <v>386</v>
      </c>
      <c r="AM49">
        <v>0</v>
      </c>
      <c r="AN49" t="str">
        <v>مانجيب باسمان</v>
      </c>
      <c r="AO49" t="str">
        <v>Manjeeb Basman</v>
      </c>
      <c r="AP49" t="str">
        <v>CON_D03</v>
      </c>
      <c r="AR49" s="17">
        <v>46</v>
      </c>
      <c r="AS49" s="17">
        <v>386</v>
      </c>
      <c r="AU49" s="17" t="s">
        <v>212</v>
      </c>
      <c r="AV49" s="23" t="s">
        <v>489</v>
      </c>
      <c r="AW49" s="17" t="str">
        <f t="shared" si="7"/>
        <v>CON_D03</v>
      </c>
      <c r="AY49" s="17">
        <v>46</v>
      </c>
      <c r="AZ49" s="17">
        <v>229</v>
      </c>
      <c r="BA49" s="17"/>
      <c r="BB49" s="17" t="s">
        <v>893</v>
      </c>
      <c r="BC49" s="17"/>
      <c r="BD49" t="str">
        <f t="shared" si="8"/>
        <v>FIN_D02</v>
      </c>
    </row>
    <row r="50" spans="2:56">
      <c r="B50" s="20">
        <v>46</v>
      </c>
      <c r="C50" s="20">
        <v>386</v>
      </c>
      <c r="AK50">
        <v>47</v>
      </c>
      <c r="AL50">
        <v>387</v>
      </c>
      <c r="AM50">
        <v>0</v>
      </c>
      <c r="AN50" t="str">
        <v>رام نيواس قاهر</v>
      </c>
      <c r="AO50" t="str">
        <v>Ram Niwas Qahir</v>
      </c>
      <c r="AP50" t="str">
        <v>CON_D03</v>
      </c>
      <c r="AR50" s="17">
        <v>47</v>
      </c>
      <c r="AS50" s="17">
        <v>387</v>
      </c>
      <c r="AU50" s="17" t="s">
        <v>213</v>
      </c>
      <c r="AV50" s="23" t="s">
        <v>490</v>
      </c>
      <c r="AW50" s="17" t="str">
        <f t="shared" si="7"/>
        <v>CON_D03</v>
      </c>
      <c r="AY50" s="17">
        <v>47</v>
      </c>
      <c r="AZ50" s="17">
        <v>317</v>
      </c>
      <c r="BA50" s="17"/>
      <c r="BB50" s="17" t="s">
        <v>894</v>
      </c>
      <c r="BC50" s="17"/>
      <c r="BD50" t="str">
        <f t="shared" si="8"/>
        <v>FIN_D02</v>
      </c>
    </row>
    <row r="51" spans="2:56">
      <c r="B51" s="20">
        <v>47</v>
      </c>
      <c r="C51" s="20">
        <v>387</v>
      </c>
      <c r="AK51">
        <v>48</v>
      </c>
      <c r="AL51">
        <v>388</v>
      </c>
      <c r="AM51">
        <v>0</v>
      </c>
      <c r="AN51" t="str">
        <v>كاسندرا ماندال دهانوك</v>
      </c>
      <c r="AO51" t="str">
        <v>Cassandra Mandal Dahanock</v>
      </c>
      <c r="AP51" t="str">
        <v>CON_D03</v>
      </c>
      <c r="AR51" s="17">
        <v>48</v>
      </c>
      <c r="AS51" s="17">
        <v>388</v>
      </c>
      <c r="AU51" s="17" t="s">
        <v>214</v>
      </c>
      <c r="AV51" s="23" t="s">
        <v>491</v>
      </c>
      <c r="AW51" s="17" t="str">
        <f t="shared" si="7"/>
        <v>CON_D03</v>
      </c>
      <c r="AY51" s="17">
        <v>48</v>
      </c>
      <c r="AZ51" s="17" t="s">
        <v>102</v>
      </c>
      <c r="BA51" s="17"/>
      <c r="BB51" s="17" t="s">
        <v>895</v>
      </c>
      <c r="BC51" s="17"/>
      <c r="BD51" t="str">
        <f t="shared" si="8"/>
        <v>FIN_D02</v>
      </c>
    </row>
    <row r="52" spans="2:56">
      <c r="B52" s="20">
        <v>48</v>
      </c>
      <c r="C52" s="20">
        <v>388</v>
      </c>
      <c r="AK52">
        <v>49</v>
      </c>
      <c r="AL52">
        <v>421</v>
      </c>
      <c r="AM52">
        <v>0</v>
      </c>
      <c r="AN52" t="str">
        <v xml:space="preserve">هيرا لال باسي </v>
      </c>
      <c r="AO52" t="str">
        <v>Hera Lal Bassi</v>
      </c>
      <c r="AP52" t="str">
        <v>CON_D03</v>
      </c>
      <c r="AR52" s="17">
        <v>49</v>
      </c>
      <c r="AS52" s="17">
        <v>421</v>
      </c>
      <c r="AU52" s="17" t="s">
        <v>215</v>
      </c>
      <c r="AV52" s="54" t="s">
        <v>492</v>
      </c>
      <c r="AW52" s="17" t="str">
        <f t="shared" si="7"/>
        <v>CON_D03</v>
      </c>
      <c r="AY52" s="17">
        <v>49</v>
      </c>
      <c r="AZ52" s="17" t="s">
        <v>103</v>
      </c>
      <c r="BA52" s="17"/>
      <c r="BB52" s="17" t="s">
        <v>896</v>
      </c>
      <c r="BC52" s="17"/>
      <c r="BD52" t="str">
        <f t="shared" si="8"/>
        <v>FIN_D02</v>
      </c>
    </row>
    <row r="53" spans="2:56">
      <c r="B53" s="20">
        <v>49</v>
      </c>
      <c r="C53" s="20">
        <v>421</v>
      </c>
      <c r="AK53">
        <v>50</v>
      </c>
      <c r="AL53">
        <v>422</v>
      </c>
      <c r="AM53">
        <v>0</v>
      </c>
      <c r="AN53" t="str">
        <v xml:space="preserve">رام شاندر باسي </v>
      </c>
      <c r="AO53" t="str">
        <v>Ram Chander Basi</v>
      </c>
      <c r="AP53" t="str">
        <v>CON_D03</v>
      </c>
      <c r="AR53" s="17">
        <v>50</v>
      </c>
      <c r="AS53" s="17">
        <v>422</v>
      </c>
      <c r="AU53" s="17" t="s">
        <v>216</v>
      </c>
      <c r="AV53" s="23" t="s">
        <v>493</v>
      </c>
      <c r="AW53" s="17" t="str">
        <f t="shared" si="7"/>
        <v>CON_D03</v>
      </c>
      <c r="AY53" s="17">
        <v>50</v>
      </c>
      <c r="AZ53" s="17" t="s">
        <v>104</v>
      </c>
      <c r="BA53" s="17"/>
      <c r="BB53" s="17" t="s">
        <v>897</v>
      </c>
      <c r="BC53" s="17"/>
      <c r="BD53" t="str">
        <f t="shared" si="8"/>
        <v>FIN_D02</v>
      </c>
    </row>
    <row r="54" spans="2:56">
      <c r="B54" s="20">
        <v>50</v>
      </c>
      <c r="C54" s="20">
        <v>422</v>
      </c>
      <c r="AK54">
        <v>51</v>
      </c>
      <c r="AL54">
        <v>423</v>
      </c>
      <c r="AM54">
        <v>0</v>
      </c>
      <c r="AN54" t="str">
        <v xml:space="preserve">دهان براساد كركي </v>
      </c>
      <c r="AO54" t="str">
        <v>Dahan Prasad Karki</v>
      </c>
      <c r="AP54" t="str">
        <v>CON_D03</v>
      </c>
      <c r="AR54" s="17">
        <v>51</v>
      </c>
      <c r="AS54" s="17">
        <v>423</v>
      </c>
      <c r="AU54" s="17" t="s">
        <v>217</v>
      </c>
      <c r="AV54" s="23" t="s">
        <v>494</v>
      </c>
      <c r="AW54" s="17" t="str">
        <f t="shared" si="7"/>
        <v>CON_D03</v>
      </c>
      <c r="AY54" s="17">
        <v>51</v>
      </c>
      <c r="AZ54" s="17" t="s">
        <v>95</v>
      </c>
      <c r="BA54" s="17"/>
      <c r="BB54" s="17" t="s">
        <v>898</v>
      </c>
      <c r="BC54" s="17"/>
      <c r="BD54" t="str">
        <f t="shared" si="8"/>
        <v>FIN_D02</v>
      </c>
    </row>
    <row r="55" spans="2:56">
      <c r="B55" s="20">
        <v>51</v>
      </c>
      <c r="C55" s="20">
        <v>423</v>
      </c>
      <c r="AK55">
        <v>52</v>
      </c>
      <c r="AL55">
        <v>438</v>
      </c>
      <c r="AM55">
        <v>0</v>
      </c>
      <c r="AN55" t="str">
        <v>شهادات حسين منير الاسالام</v>
      </c>
      <c r="AO55" t="str">
        <v>Hussein Munir Al-Islam Certificates</v>
      </c>
      <c r="AP55" t="str">
        <v>CON_D03</v>
      </c>
      <c r="AR55" s="17">
        <v>52</v>
      </c>
      <c r="AS55" s="17">
        <v>438</v>
      </c>
      <c r="AU55" s="17" t="s">
        <v>218</v>
      </c>
      <c r="AV55" s="23" t="s">
        <v>495</v>
      </c>
      <c r="AW55" s="17" t="str">
        <f t="shared" si="7"/>
        <v>CON_D03</v>
      </c>
      <c r="AY55" s="17">
        <v>52</v>
      </c>
      <c r="AZ55" s="17">
        <v>150</v>
      </c>
      <c r="BA55" s="17"/>
      <c r="BB55" s="17" t="s">
        <v>899</v>
      </c>
      <c r="BC55" s="17"/>
      <c r="BD55" t="str">
        <f t="shared" si="8"/>
        <v>FIN_D02</v>
      </c>
    </row>
    <row r="56" spans="2:56">
      <c r="B56" s="20">
        <v>52</v>
      </c>
      <c r="C56" s="20">
        <v>438</v>
      </c>
      <c r="AK56">
        <v>53</v>
      </c>
      <c r="AL56">
        <v>451</v>
      </c>
      <c r="AM56">
        <v>0</v>
      </c>
      <c r="AN56" t="str">
        <v>ابران انصاري</v>
      </c>
      <c r="AO56" t="str">
        <v>Ibran Ansari</v>
      </c>
      <c r="AP56" t="str">
        <v>CON_D03</v>
      </c>
      <c r="AR56" s="17">
        <v>53</v>
      </c>
      <c r="AS56" s="17">
        <v>451</v>
      </c>
      <c r="AU56" s="17" t="s">
        <v>219</v>
      </c>
      <c r="AV56" s="54" t="s">
        <v>496</v>
      </c>
      <c r="AW56" s="17" t="str">
        <f t="shared" si="7"/>
        <v>CON_D03</v>
      </c>
      <c r="AY56" s="17">
        <v>53</v>
      </c>
      <c r="AZ56" s="17">
        <v>204</v>
      </c>
      <c r="BA56" s="17"/>
      <c r="BB56" s="17" t="s">
        <v>900</v>
      </c>
      <c r="BC56" s="17"/>
      <c r="BD56" t="str">
        <f t="shared" si="8"/>
        <v>FIN_D02</v>
      </c>
    </row>
    <row r="57" spans="2:56">
      <c r="B57" s="20">
        <v>53</v>
      </c>
      <c r="C57" s="20">
        <v>451</v>
      </c>
      <c r="AK57">
        <v>54</v>
      </c>
      <c r="AL57">
        <v>486</v>
      </c>
      <c r="AM57">
        <v>0</v>
      </c>
      <c r="AN57" t="str">
        <v xml:space="preserve">راجانا تشيكالا تشيكالا </v>
      </c>
      <c r="AO57" t="str">
        <v>Rajana Chikala Chikala</v>
      </c>
      <c r="AP57" t="str">
        <v>CON_D03</v>
      </c>
      <c r="AR57" s="17">
        <v>54</v>
      </c>
      <c r="AS57" s="17">
        <v>486</v>
      </c>
      <c r="AU57" s="17" t="s">
        <v>220</v>
      </c>
      <c r="AV57" s="23" t="s">
        <v>497</v>
      </c>
      <c r="AW57" s="17" t="str">
        <f t="shared" si="7"/>
        <v>CON_D03</v>
      </c>
      <c r="AY57" s="17">
        <v>54</v>
      </c>
      <c r="AZ57" s="17">
        <v>227</v>
      </c>
      <c r="BA57" s="17"/>
      <c r="BB57" s="17" t="s">
        <v>901</v>
      </c>
      <c r="BC57" s="17"/>
      <c r="BD57" t="str">
        <f t="shared" si="8"/>
        <v>FIN_D02</v>
      </c>
    </row>
    <row r="58" spans="2:56">
      <c r="B58" s="20">
        <v>54</v>
      </c>
      <c r="C58" s="20">
        <v>486</v>
      </c>
      <c r="AK58">
        <v>55</v>
      </c>
      <c r="AL58">
        <v>487</v>
      </c>
      <c r="AM58">
        <v>0</v>
      </c>
      <c r="AN58" t="str">
        <v>كمال انصاري حبيب انصاري</v>
      </c>
      <c r="AO58" t="str">
        <v>Kamal Ansari Habib Ansari</v>
      </c>
      <c r="AP58" t="str">
        <v>CON_D03</v>
      </c>
      <c r="AR58" s="17">
        <v>55</v>
      </c>
      <c r="AS58" s="17">
        <v>487</v>
      </c>
      <c r="AU58" s="17" t="s">
        <v>221</v>
      </c>
      <c r="AV58" s="23" t="s">
        <v>498</v>
      </c>
      <c r="AW58" s="17" t="str">
        <f t="shared" si="7"/>
        <v>CON_D03</v>
      </c>
      <c r="AY58" s="17">
        <v>55</v>
      </c>
      <c r="AZ58" s="17">
        <v>430</v>
      </c>
      <c r="BA58" s="17"/>
      <c r="BB58" s="17" t="s">
        <v>902</v>
      </c>
      <c r="BC58" s="17"/>
      <c r="BD58" t="str">
        <f t="shared" si="8"/>
        <v>FIN_D02</v>
      </c>
    </row>
    <row r="59" spans="2:56">
      <c r="B59" s="20">
        <v>55</v>
      </c>
      <c r="C59" s="20">
        <v>487</v>
      </c>
      <c r="AK59">
        <v>56</v>
      </c>
      <c r="AL59">
        <v>517</v>
      </c>
      <c r="AM59">
        <v>0</v>
      </c>
      <c r="AN59" t="str">
        <v>راتنا بهادور ليمبو</v>
      </c>
      <c r="AO59" t="str">
        <v>Ratna Bahadur Limbo</v>
      </c>
      <c r="AP59" t="str">
        <v>CON_D03</v>
      </c>
      <c r="AR59" s="17">
        <v>56</v>
      </c>
      <c r="AS59" s="17">
        <v>517</v>
      </c>
      <c r="AU59" s="17" t="s">
        <v>222</v>
      </c>
      <c r="AV59" s="23" t="s">
        <v>499</v>
      </c>
      <c r="AW59" s="17" t="str">
        <f t="shared" si="7"/>
        <v>CON_D03</v>
      </c>
      <c r="AY59" s="17">
        <v>56</v>
      </c>
      <c r="AZ59" s="17">
        <v>251</v>
      </c>
      <c r="BA59" s="17"/>
      <c r="BB59" s="17" t="s">
        <v>903</v>
      </c>
      <c r="BC59" s="17"/>
      <c r="BD59" t="str">
        <f t="shared" si="8"/>
        <v>FIN_D02</v>
      </c>
    </row>
    <row r="60" spans="2:56">
      <c r="B60" s="20">
        <v>56</v>
      </c>
      <c r="C60" s="20">
        <v>517</v>
      </c>
      <c r="AK60">
        <v>57</v>
      </c>
      <c r="AL60" t="str">
        <v>O201</v>
      </c>
      <c r="AM60">
        <v>0</v>
      </c>
      <c r="AN60" t="str">
        <v>محمد ياسين تورب علي</v>
      </c>
      <c r="AO60" t="str">
        <v>Mohammed Yassin Torb Ali</v>
      </c>
      <c r="AP60" t="str">
        <v>CON_D03</v>
      </c>
      <c r="AR60" s="17">
        <v>57</v>
      </c>
      <c r="AS60" s="17" t="s">
        <v>223</v>
      </c>
      <c r="AU60" s="17" t="s">
        <v>224</v>
      </c>
      <c r="AV60" s="23" t="s">
        <v>500</v>
      </c>
      <c r="AW60" s="17" t="str">
        <f t="shared" si="7"/>
        <v>CON_D03</v>
      </c>
      <c r="AY60" s="17">
        <v>57</v>
      </c>
      <c r="AZ60" s="17">
        <v>483</v>
      </c>
      <c r="BA60" s="17"/>
      <c r="BB60" s="17" t="s">
        <v>904</v>
      </c>
      <c r="BC60" s="17"/>
      <c r="BD60" t="str">
        <f t="shared" si="8"/>
        <v>FIN_D02</v>
      </c>
    </row>
    <row r="61" spans="2:56">
      <c r="B61" s="20">
        <v>57</v>
      </c>
      <c r="C61" s="20" t="s">
        <v>223</v>
      </c>
      <c r="AK61">
        <v>58</v>
      </c>
      <c r="AL61" t="str">
        <v>O229</v>
      </c>
      <c r="AM61">
        <v>0</v>
      </c>
      <c r="AN61" t="str">
        <v>محمد سهيل محمد سليم</v>
      </c>
      <c r="AO61" t="str">
        <v>Mohammed Suhail Mohammed Salim</v>
      </c>
      <c r="AP61" t="str">
        <v>CON_D03</v>
      </c>
      <c r="AR61" s="17">
        <v>58</v>
      </c>
      <c r="AS61" s="17" t="s">
        <v>225</v>
      </c>
      <c r="AU61" s="17" t="s">
        <v>226</v>
      </c>
      <c r="AV61" s="23" t="s">
        <v>501</v>
      </c>
      <c r="AW61" s="17" t="str">
        <f t="shared" si="7"/>
        <v>CON_D03</v>
      </c>
      <c r="AY61" s="17">
        <v>58</v>
      </c>
      <c r="AZ61" s="17" t="s">
        <v>98</v>
      </c>
      <c r="BA61" s="17"/>
      <c r="BB61" s="17" t="s">
        <v>905</v>
      </c>
      <c r="BC61" s="17"/>
      <c r="BD61" t="str">
        <f t="shared" si="8"/>
        <v>FIN_D02</v>
      </c>
    </row>
    <row r="62" spans="2:56">
      <c r="B62" s="20">
        <v>58</v>
      </c>
      <c r="C62" s="20" t="s">
        <v>225</v>
      </c>
      <c r="AK62">
        <v>59</v>
      </c>
      <c r="AL62" t="str">
        <v>O231</v>
      </c>
      <c r="AM62">
        <v>0</v>
      </c>
      <c r="AN62" t="str">
        <v>محمد عشيقور الرحمن</v>
      </c>
      <c r="AO62" t="str">
        <v>Muhammad Ashiqur Rahman</v>
      </c>
      <c r="AP62" t="str">
        <v>CON_D03</v>
      </c>
      <c r="AR62" s="17">
        <v>59</v>
      </c>
      <c r="AS62" s="17" t="s">
        <v>227</v>
      </c>
      <c r="AU62" s="17" t="s">
        <v>228</v>
      </c>
      <c r="AV62" s="23" t="s">
        <v>502</v>
      </c>
      <c r="AW62" s="17" t="str">
        <f t="shared" si="7"/>
        <v>CON_D03</v>
      </c>
      <c r="AY62" s="17">
        <v>59</v>
      </c>
      <c r="AZ62" s="17" t="s">
        <v>94</v>
      </c>
      <c r="BA62" s="17"/>
      <c r="BB62" s="17" t="s">
        <v>906</v>
      </c>
      <c r="BC62" s="17"/>
      <c r="BD62" t="str">
        <f t="shared" si="8"/>
        <v>FIN_D02</v>
      </c>
    </row>
    <row r="63" spans="2:56">
      <c r="B63" s="20">
        <v>59</v>
      </c>
      <c r="C63" s="20" t="s">
        <v>227</v>
      </c>
      <c r="AK63">
        <v>60</v>
      </c>
      <c r="AL63" t="str">
        <v>O263</v>
      </c>
      <c r="AM63">
        <v>0</v>
      </c>
      <c r="AN63" t="str">
        <v>سعيد عبدالحافظ محمد عيد</v>
      </c>
      <c r="AO63" t="str">
        <v>Saeed Abdul-Hafiz Muhammad Eid</v>
      </c>
      <c r="AP63" t="str">
        <v>CON_D03</v>
      </c>
      <c r="AR63" s="17">
        <v>60</v>
      </c>
      <c r="AS63" s="17" t="s">
        <v>229</v>
      </c>
      <c r="AU63" s="17" t="s">
        <v>230</v>
      </c>
      <c r="AV63" s="23" t="s">
        <v>503</v>
      </c>
      <c r="AW63" s="17" t="str">
        <f t="shared" si="7"/>
        <v>CON_D03</v>
      </c>
      <c r="AY63" s="17">
        <v>60</v>
      </c>
      <c r="AZ63" s="17">
        <v>111</v>
      </c>
      <c r="BA63" s="17"/>
      <c r="BB63" s="17" t="s">
        <v>907</v>
      </c>
      <c r="BC63" s="17"/>
      <c r="BD63" t="str">
        <f t="shared" si="8"/>
        <v>FIN_D02</v>
      </c>
    </row>
    <row r="64" spans="2:56">
      <c r="B64" s="20">
        <v>60</v>
      </c>
      <c r="C64" s="20" t="s">
        <v>229</v>
      </c>
      <c r="AK64">
        <v>61</v>
      </c>
      <c r="AL64" t="str">
        <v>O268</v>
      </c>
      <c r="AM64">
        <v>0</v>
      </c>
      <c r="AN64" t="str">
        <v>لطفور رحمن مجيبر رحمن</v>
      </c>
      <c r="AO64" t="str">
        <v>Latfur Rahman Mujibir Rahman</v>
      </c>
      <c r="AP64" t="str">
        <v>CON_D03</v>
      </c>
      <c r="AR64" s="17">
        <v>61</v>
      </c>
      <c r="AS64" s="17" t="s">
        <v>231</v>
      </c>
      <c r="AU64" s="17" t="s">
        <v>232</v>
      </c>
      <c r="AV64" s="23" t="s">
        <v>504</v>
      </c>
      <c r="AW64" s="17" t="str">
        <f t="shared" si="7"/>
        <v>CON_D03</v>
      </c>
      <c r="AY64" s="17">
        <v>61</v>
      </c>
      <c r="AZ64" s="17">
        <v>163</v>
      </c>
      <c r="BA64" s="17"/>
      <c r="BB64" s="17" t="s">
        <v>908</v>
      </c>
      <c r="BC64" s="17"/>
      <c r="BD64" t="str">
        <f t="shared" si="8"/>
        <v>FIN_D02</v>
      </c>
    </row>
    <row r="65" spans="2:56">
      <c r="B65" s="20">
        <v>61</v>
      </c>
      <c r="C65" s="20" t="s">
        <v>231</v>
      </c>
      <c r="AK65">
        <v>62</v>
      </c>
      <c r="AL65" t="str">
        <v>O276</v>
      </c>
      <c r="AM65">
        <v>0</v>
      </c>
      <c r="AN65" t="str">
        <v>محمد عبدل مياه</v>
      </c>
      <c r="AO65" t="str">
        <v>Mohammed Abdel Miyah</v>
      </c>
      <c r="AP65" t="str">
        <v>CON_D03</v>
      </c>
      <c r="AR65" s="17">
        <v>62</v>
      </c>
      <c r="AS65" s="17" t="s">
        <v>233</v>
      </c>
      <c r="AU65" s="17" t="s">
        <v>234</v>
      </c>
      <c r="AV65" s="23" t="s">
        <v>505</v>
      </c>
      <c r="AW65" s="17" t="str">
        <f t="shared" si="7"/>
        <v>CON_D03</v>
      </c>
      <c r="AY65" s="17">
        <v>62</v>
      </c>
      <c r="AZ65" s="17" t="s">
        <v>97</v>
      </c>
      <c r="BA65" s="17"/>
      <c r="BB65" s="17" t="s">
        <v>909</v>
      </c>
      <c r="BC65" s="17"/>
      <c r="BD65" t="str">
        <f t="shared" si="8"/>
        <v>FIN_D02</v>
      </c>
    </row>
    <row r="66" spans="2:56">
      <c r="B66" s="20">
        <v>62</v>
      </c>
      <c r="C66" s="20" t="s">
        <v>233</v>
      </c>
      <c r="AK66">
        <v>63</v>
      </c>
      <c r="AL66" t="str">
        <v>O285</v>
      </c>
      <c r="AM66">
        <v>0</v>
      </c>
      <c r="AN66" t="str">
        <v>ارساد احمد فقير</v>
      </c>
      <c r="AO66" t="str">
        <v>Arsad Ahmed Faqir</v>
      </c>
      <c r="AP66" t="str">
        <v>CON_D03</v>
      </c>
      <c r="AR66" s="17">
        <v>63</v>
      </c>
      <c r="AS66" s="17" t="s">
        <v>235</v>
      </c>
      <c r="AU66" s="17" t="s">
        <v>236</v>
      </c>
      <c r="AV66" s="23" t="s">
        <v>506</v>
      </c>
      <c r="AW66" s="17" t="str">
        <f t="shared" si="7"/>
        <v>CON_D03</v>
      </c>
      <c r="AY66" s="17">
        <v>63</v>
      </c>
      <c r="AZ66" s="17" t="s">
        <v>91</v>
      </c>
      <c r="BA66" s="17"/>
      <c r="BB66" s="17" t="s">
        <v>910</v>
      </c>
      <c r="BC66" s="17"/>
      <c r="BD66" t="str">
        <f t="shared" si="8"/>
        <v>FIN_D02</v>
      </c>
    </row>
    <row r="67" spans="2:56">
      <c r="B67" s="20">
        <v>63</v>
      </c>
      <c r="C67" s="20" t="s">
        <v>235</v>
      </c>
      <c r="AK67">
        <v>64</v>
      </c>
      <c r="AL67" t="str">
        <v>O36</v>
      </c>
      <c r="AM67">
        <v>0</v>
      </c>
      <c r="AN67" t="str">
        <v>ارشاد انصاري</v>
      </c>
      <c r="AO67" t="str">
        <v>Irshad Ansari</v>
      </c>
      <c r="AP67" t="str">
        <v>CON_D03</v>
      </c>
      <c r="AR67" s="17">
        <v>64</v>
      </c>
      <c r="AS67" s="17" t="s">
        <v>237</v>
      </c>
      <c r="AU67" s="17" t="s">
        <v>238</v>
      </c>
      <c r="AV67" s="54" t="s">
        <v>507</v>
      </c>
      <c r="AW67" s="17" t="str">
        <f t="shared" si="7"/>
        <v>CON_D03</v>
      </c>
      <c r="AY67" s="17">
        <v>64</v>
      </c>
      <c r="AZ67" s="17" t="s">
        <v>99</v>
      </c>
      <c r="BA67" s="17"/>
      <c r="BB67" s="17" t="s">
        <v>911</v>
      </c>
      <c r="BC67" s="17"/>
      <c r="BD67" t="str">
        <f t="shared" si="8"/>
        <v>FIN_D02</v>
      </c>
    </row>
    <row r="68" spans="2:56">
      <c r="B68" s="20">
        <v>64</v>
      </c>
      <c r="C68" s="20" t="s">
        <v>237</v>
      </c>
      <c r="AK68">
        <v>65</v>
      </c>
      <c r="AL68" t="str">
        <v>O61</v>
      </c>
      <c r="AM68">
        <v>0</v>
      </c>
      <c r="AN68" t="str">
        <v>عبدالحكيم رستم انصاري</v>
      </c>
      <c r="AO68" t="str">
        <v>Abdul Hakim Rustam Ansari</v>
      </c>
      <c r="AP68" t="str">
        <v>CON_D03</v>
      </c>
      <c r="AR68" s="17">
        <v>65</v>
      </c>
      <c r="AS68" s="17" t="s">
        <v>239</v>
      </c>
      <c r="AU68" s="17" t="s">
        <v>240</v>
      </c>
      <c r="AV68" s="23" t="s">
        <v>508</v>
      </c>
      <c r="AW68" s="17" t="str">
        <f t="shared" ref="AW68:AW99" si="9">$AV$2</f>
        <v>CON_D03</v>
      </c>
      <c r="AY68" s="17">
        <v>65</v>
      </c>
      <c r="AZ68" s="17" t="s">
        <v>101</v>
      </c>
      <c r="BA68" s="17"/>
      <c r="BB68" s="17" t="s">
        <v>912</v>
      </c>
      <c r="BC68" s="17"/>
      <c r="BD68" t="str">
        <f t="shared" ref="BD68:BD99" si="10">$BC$2</f>
        <v>FIN_D02</v>
      </c>
    </row>
    <row r="69" spans="2:56">
      <c r="B69" s="20">
        <v>65</v>
      </c>
      <c r="C69" s="20" t="s">
        <v>239</v>
      </c>
      <c r="AK69">
        <v>66</v>
      </c>
      <c r="AL69">
        <v>174</v>
      </c>
      <c r="AM69">
        <v>0</v>
      </c>
      <c r="AN69" t="str">
        <v>ﺷﻤﺸﻴﺮ ﻋﺎﻟﻢ ﺍﻧﺼﺎﺭﻱ</v>
      </c>
      <c r="AO69" t="str">
        <v>Shamsher, Ansari scholar</v>
      </c>
      <c r="AP69" t="str">
        <v>CON_D03</v>
      </c>
      <c r="AR69" s="17">
        <v>66</v>
      </c>
      <c r="AS69" s="17">
        <v>174</v>
      </c>
      <c r="AU69" s="17" t="s">
        <v>241</v>
      </c>
      <c r="AV69" s="23" t="s">
        <v>509</v>
      </c>
      <c r="AW69" s="17" t="str">
        <f t="shared" si="9"/>
        <v>CON_D03</v>
      </c>
      <c r="AY69" s="17">
        <v>66</v>
      </c>
      <c r="AZ69" s="17" t="s">
        <v>113</v>
      </c>
      <c r="BA69" s="17"/>
      <c r="BB69" s="17" t="s">
        <v>913</v>
      </c>
      <c r="BC69" s="17"/>
      <c r="BD69" t="str">
        <f t="shared" si="10"/>
        <v>FIN_D02</v>
      </c>
    </row>
    <row r="70" spans="2:56">
      <c r="B70" s="20">
        <v>66</v>
      </c>
      <c r="C70" s="20">
        <v>174</v>
      </c>
      <c r="AK70">
        <v>67</v>
      </c>
      <c r="AL70">
        <v>428</v>
      </c>
      <c r="AM70">
        <v>0</v>
      </c>
      <c r="AN70" t="str">
        <v xml:space="preserve">راشيل باسي </v>
      </c>
      <c r="AO70" t="str">
        <v>Rachel Bassey</v>
      </c>
      <c r="AP70" t="str">
        <v>CON_D03</v>
      </c>
      <c r="AR70" s="17">
        <v>67</v>
      </c>
      <c r="AS70" s="17">
        <v>428</v>
      </c>
      <c r="AU70" s="17" t="s">
        <v>242</v>
      </c>
      <c r="AV70" s="54" t="s">
        <v>510</v>
      </c>
      <c r="AW70" s="17" t="str">
        <f t="shared" si="9"/>
        <v>CON_D03</v>
      </c>
      <c r="AY70" s="17">
        <v>67</v>
      </c>
      <c r="AZ70" s="17">
        <v>436</v>
      </c>
      <c r="BA70" s="17"/>
      <c r="BB70" s="17" t="s">
        <v>914</v>
      </c>
      <c r="BC70" s="17"/>
      <c r="BD70" t="str">
        <f t="shared" si="10"/>
        <v>FIN_D02</v>
      </c>
    </row>
    <row r="71" spans="2:56">
      <c r="B71" s="20">
        <v>67</v>
      </c>
      <c r="C71" s="20">
        <v>428</v>
      </c>
      <c r="AK71">
        <v>68</v>
      </c>
      <c r="AL71" t="str">
        <v>O175</v>
      </c>
      <c r="AM71">
        <v>0</v>
      </c>
      <c r="AN71" t="str">
        <v>انوار انصاري رحيم انصاري</v>
      </c>
      <c r="AO71" t="str">
        <v>Anwar Ansari Rahim Ansari</v>
      </c>
      <c r="AP71" t="str">
        <v>CON_D03</v>
      </c>
      <c r="AR71" s="17">
        <v>68</v>
      </c>
      <c r="AS71" s="17" t="s">
        <v>243</v>
      </c>
      <c r="AU71" s="17" t="s">
        <v>244</v>
      </c>
      <c r="AV71" s="23" t="s">
        <v>511</v>
      </c>
      <c r="AW71" s="17" t="str">
        <f t="shared" si="9"/>
        <v>CON_D03</v>
      </c>
      <c r="AY71" s="17">
        <v>68</v>
      </c>
      <c r="AZ71" s="17">
        <v>232</v>
      </c>
      <c r="BA71" s="17"/>
      <c r="BB71" s="17" t="s">
        <v>915</v>
      </c>
      <c r="BC71" s="17"/>
      <c r="BD71" t="str">
        <f t="shared" si="10"/>
        <v>FIN_D02</v>
      </c>
    </row>
    <row r="72" spans="2:56">
      <c r="B72" s="20">
        <v>68</v>
      </c>
      <c r="C72" s="20" t="s">
        <v>243</v>
      </c>
      <c r="AK72">
        <v>69</v>
      </c>
      <c r="AL72" t="str">
        <v>O180</v>
      </c>
      <c r="AM72">
        <v>0</v>
      </c>
      <c r="AN72" t="str">
        <v>جسير انصاري</v>
      </c>
      <c r="AO72" t="str">
        <v>Jasser Ansari</v>
      </c>
      <c r="AP72" t="str">
        <v>CON_D03</v>
      </c>
      <c r="AR72" s="17">
        <v>69</v>
      </c>
      <c r="AS72" s="17" t="s">
        <v>245</v>
      </c>
      <c r="AU72" s="17" t="s">
        <v>246</v>
      </c>
      <c r="AV72" s="54" t="s">
        <v>512</v>
      </c>
      <c r="AW72" s="17" t="str">
        <f t="shared" si="9"/>
        <v>CON_D03</v>
      </c>
      <c r="AY72" s="17">
        <v>69</v>
      </c>
      <c r="AZ72" s="17">
        <v>293</v>
      </c>
      <c r="BA72" s="17"/>
      <c r="BB72" s="17" t="s">
        <v>916</v>
      </c>
      <c r="BC72" s="17"/>
      <c r="BD72" t="str">
        <f t="shared" si="10"/>
        <v>FIN_D02</v>
      </c>
    </row>
    <row r="73" spans="2:56">
      <c r="B73" s="20">
        <v>69</v>
      </c>
      <c r="C73" s="20" t="s">
        <v>245</v>
      </c>
      <c r="AK73">
        <v>70</v>
      </c>
      <c r="AL73" t="str">
        <v>B2</v>
      </c>
      <c r="AM73">
        <v>0</v>
      </c>
      <c r="AN73" t="str">
        <v>ميلان ادهيكاري</v>
      </c>
      <c r="AO73" t="str">
        <v>Milan Adhikari</v>
      </c>
      <c r="AP73" t="str">
        <v>CON_D03</v>
      </c>
      <c r="AR73" s="17">
        <v>70</v>
      </c>
      <c r="AS73" s="17" t="s">
        <v>247</v>
      </c>
      <c r="AU73" s="17" t="s">
        <v>248</v>
      </c>
      <c r="AV73" s="54" t="s">
        <v>513</v>
      </c>
      <c r="AW73" s="17" t="str">
        <f t="shared" si="9"/>
        <v>CON_D03</v>
      </c>
      <c r="AY73" s="17">
        <v>70</v>
      </c>
      <c r="AZ73" s="17">
        <v>330</v>
      </c>
      <c r="BA73" s="17"/>
      <c r="BB73" s="17" t="s">
        <v>917</v>
      </c>
      <c r="BC73" s="17"/>
      <c r="BD73" t="str">
        <f t="shared" si="10"/>
        <v>FIN_D02</v>
      </c>
    </row>
    <row r="74" spans="2:56">
      <c r="B74" s="20">
        <v>70</v>
      </c>
      <c r="C74" s="20" t="s">
        <v>247</v>
      </c>
      <c r="AK74">
        <v>71</v>
      </c>
      <c r="AL74" t="str">
        <v>O133</v>
      </c>
      <c r="AM74">
        <v>0</v>
      </c>
      <c r="AN74" t="str">
        <v>فيتسوم كيداني ديستا</v>
      </c>
      <c r="AO74" t="str">
        <v>Fitsum Kidani Desta</v>
      </c>
      <c r="AP74" t="str">
        <v>CON_D03</v>
      </c>
      <c r="AR74" s="17">
        <v>71</v>
      </c>
      <c r="AS74" s="17" t="s">
        <v>249</v>
      </c>
      <c r="AU74" s="17" t="s">
        <v>250</v>
      </c>
      <c r="AV74" s="23" t="s">
        <v>514</v>
      </c>
      <c r="AW74" s="17" t="str">
        <f t="shared" si="9"/>
        <v>CON_D03</v>
      </c>
      <c r="AY74" s="17">
        <v>71</v>
      </c>
      <c r="AZ74" s="17">
        <v>439</v>
      </c>
      <c r="BA74" s="17"/>
      <c r="BB74" s="17" t="s">
        <v>918</v>
      </c>
      <c r="BC74" s="17"/>
      <c r="BD74" t="str">
        <f t="shared" si="10"/>
        <v>FIN_D02</v>
      </c>
    </row>
    <row r="75" spans="2:56">
      <c r="B75" s="20">
        <v>71</v>
      </c>
      <c r="C75" s="20" t="s">
        <v>249</v>
      </c>
      <c r="AK75">
        <v>72</v>
      </c>
      <c r="AL75">
        <v>433</v>
      </c>
      <c r="AM75">
        <v>0</v>
      </c>
      <c r="AN75" t="str">
        <v xml:space="preserve">محمد نظام الدين عبد المنان </v>
      </c>
      <c r="AO75" t="str">
        <v>Muhammad Nizam al-Din Abd al-Mannan</v>
      </c>
      <c r="AP75" t="str">
        <v>CON_D03</v>
      </c>
      <c r="AR75" s="17">
        <v>72</v>
      </c>
      <c r="AS75" s="17">
        <v>433</v>
      </c>
      <c r="AU75" s="17" t="s">
        <v>251</v>
      </c>
      <c r="AV75" s="23" t="s">
        <v>515</v>
      </c>
      <c r="AW75" s="17" t="str">
        <f t="shared" si="9"/>
        <v>CON_D03</v>
      </c>
      <c r="AY75" s="17">
        <v>72</v>
      </c>
      <c r="AZ75" s="17" t="s">
        <v>349</v>
      </c>
      <c r="BA75" s="17"/>
      <c r="BB75" s="17" t="s">
        <v>919</v>
      </c>
      <c r="BC75" s="17"/>
      <c r="BD75" t="str">
        <f t="shared" si="10"/>
        <v>FIN_D02</v>
      </c>
    </row>
    <row r="76" spans="2:56">
      <c r="B76" s="20">
        <v>72</v>
      </c>
      <c r="C76" s="20">
        <v>433</v>
      </c>
      <c r="AK76">
        <v>73</v>
      </c>
      <c r="AL76" t="str">
        <v>O171</v>
      </c>
      <c r="AM76">
        <v>0</v>
      </c>
      <c r="AN76" t="str">
        <v>عماد إبراهيم محمد بعزق</v>
      </c>
      <c r="AO76" t="str">
        <v>Emad Ibrahim Mohamed Bazq</v>
      </c>
      <c r="AP76" t="str">
        <v>CON_D03</v>
      </c>
      <c r="AR76" s="17">
        <v>73</v>
      </c>
      <c r="AS76" s="17" t="s">
        <v>252</v>
      </c>
      <c r="AU76" s="17" t="s">
        <v>253</v>
      </c>
      <c r="AV76" s="23" t="s">
        <v>516</v>
      </c>
      <c r="AW76" s="17" t="str">
        <f t="shared" si="9"/>
        <v>CON_D03</v>
      </c>
      <c r="AY76" s="17">
        <v>73</v>
      </c>
      <c r="AZ76" s="17">
        <v>321</v>
      </c>
      <c r="BA76" s="17"/>
      <c r="BB76" s="17" t="s">
        <v>920</v>
      </c>
      <c r="BC76" s="17"/>
      <c r="BD76" t="str">
        <f t="shared" si="10"/>
        <v>FIN_D02</v>
      </c>
    </row>
    <row r="77" spans="2:56">
      <c r="B77" s="20">
        <v>73</v>
      </c>
      <c r="C77" s="20" t="s">
        <v>252</v>
      </c>
      <c r="AK77">
        <v>74</v>
      </c>
      <c r="AL77">
        <v>164</v>
      </c>
      <c r="AM77">
        <v>0</v>
      </c>
      <c r="AN77" t="str">
        <v>ﻇﻔﺮ ﻣﻴﺎﻩ</v>
      </c>
      <c r="AO77" t="str">
        <v>Water nail</v>
      </c>
      <c r="AP77" t="str">
        <v>CON_D03</v>
      </c>
      <c r="AR77" s="17">
        <v>74</v>
      </c>
      <c r="AS77" s="17">
        <v>164</v>
      </c>
      <c r="AU77" s="17" t="s">
        <v>254</v>
      </c>
      <c r="AV77" s="54" t="s">
        <v>517</v>
      </c>
      <c r="AW77" s="17" t="str">
        <f t="shared" si="9"/>
        <v>CON_D03</v>
      </c>
      <c r="AY77" s="17">
        <v>74</v>
      </c>
      <c r="AZ77" s="17">
        <v>452</v>
      </c>
      <c r="BA77" s="17"/>
      <c r="BB77" s="17" t="s">
        <v>921</v>
      </c>
      <c r="BC77" s="17"/>
      <c r="BD77" t="str">
        <f t="shared" si="10"/>
        <v>FIN_D02</v>
      </c>
    </row>
    <row r="78" spans="2:56">
      <c r="B78" s="20">
        <v>74</v>
      </c>
      <c r="C78" s="20">
        <v>164</v>
      </c>
      <c r="AK78">
        <v>75</v>
      </c>
      <c r="AL78">
        <v>224</v>
      </c>
      <c r="AM78">
        <v>0</v>
      </c>
      <c r="AN78" t="str">
        <v>ﺟﺎﻫﺮ ﺣﺴﻴﻦ</v>
      </c>
      <c r="AO78" t="str">
        <v>Jahar Hussein</v>
      </c>
      <c r="AP78" t="str">
        <v>CON_D03</v>
      </c>
      <c r="AR78" s="17">
        <v>75</v>
      </c>
      <c r="AS78" s="17">
        <v>224</v>
      </c>
      <c r="AU78" s="17" t="s">
        <v>255</v>
      </c>
      <c r="AV78" s="54" t="s">
        <v>518</v>
      </c>
      <c r="AW78" s="17" t="str">
        <f t="shared" si="9"/>
        <v>CON_D03</v>
      </c>
      <c r="AY78" s="17">
        <v>75</v>
      </c>
      <c r="AZ78" s="17">
        <v>154</v>
      </c>
      <c r="BA78" s="17"/>
      <c r="BB78" s="17" t="s">
        <v>922</v>
      </c>
      <c r="BC78" s="17"/>
      <c r="BD78" t="str">
        <f t="shared" si="10"/>
        <v>FIN_D02</v>
      </c>
    </row>
    <row r="79" spans="2:56">
      <c r="B79" s="20">
        <v>75</v>
      </c>
      <c r="C79" s="20">
        <v>224</v>
      </c>
      <c r="AK79">
        <v>76</v>
      </c>
      <c r="AL79">
        <v>447</v>
      </c>
      <c r="AM79">
        <v>0</v>
      </c>
      <c r="AN79" t="str">
        <v>رام بهادور كاركي</v>
      </c>
      <c r="AO79" t="str">
        <v>Ram Bahadur Karki</v>
      </c>
      <c r="AP79" t="str">
        <v>CON_D03</v>
      </c>
      <c r="AR79" s="17">
        <v>76</v>
      </c>
      <c r="AS79" s="17">
        <v>447</v>
      </c>
      <c r="AU79" s="17" t="s">
        <v>256</v>
      </c>
      <c r="AV79" s="23" t="s">
        <v>519</v>
      </c>
      <c r="AW79" s="17" t="str">
        <f t="shared" si="9"/>
        <v>CON_D03</v>
      </c>
      <c r="AY79" s="17">
        <v>76</v>
      </c>
      <c r="AZ79" s="17">
        <v>323</v>
      </c>
      <c r="BA79" s="17"/>
      <c r="BB79" s="17" t="s">
        <v>923</v>
      </c>
      <c r="BC79" s="17"/>
      <c r="BD79" t="str">
        <f t="shared" si="10"/>
        <v>FIN_D02</v>
      </c>
    </row>
    <row r="80" spans="2:56">
      <c r="B80" s="20">
        <v>76</v>
      </c>
      <c r="C80" s="20">
        <v>447</v>
      </c>
      <c r="AK80">
        <v>77</v>
      </c>
      <c r="AL80">
        <v>392</v>
      </c>
      <c r="AM80">
        <v>0</v>
      </c>
      <c r="AN80" t="str">
        <v>السيد احمد السيد محمد علي</v>
      </c>
      <c r="AO80" t="str">
        <v>Mr. Ahmed El-Sayed Mohamed Ali</v>
      </c>
      <c r="AP80" t="str">
        <v>CON_D03</v>
      </c>
      <c r="AR80" s="17">
        <v>77</v>
      </c>
      <c r="AS80" s="17">
        <v>392</v>
      </c>
      <c r="AU80" s="17" t="s">
        <v>257</v>
      </c>
      <c r="AV80" s="23" t="s">
        <v>520</v>
      </c>
      <c r="AW80" s="17" t="str">
        <f t="shared" si="9"/>
        <v>CON_D03</v>
      </c>
      <c r="AY80" s="17">
        <v>77</v>
      </c>
      <c r="AZ80" s="17">
        <v>434</v>
      </c>
      <c r="BA80" s="17"/>
      <c r="BB80" s="17" t="s">
        <v>924</v>
      </c>
      <c r="BC80" s="17"/>
      <c r="BD80" t="str">
        <f t="shared" si="10"/>
        <v>FIN_D02</v>
      </c>
    </row>
    <row r="81" spans="2:56">
      <c r="B81" s="20">
        <v>77</v>
      </c>
      <c r="C81" s="20">
        <v>392</v>
      </c>
      <c r="AK81">
        <v>78</v>
      </c>
      <c r="AL81">
        <v>237</v>
      </c>
      <c r="AM81">
        <v>0</v>
      </c>
      <c r="AN81" t="str">
        <v>ﺳﺎﻫﺎﺑﻮﺩﻳﻦ ﻣﻴﺎﻩ ﺭﺍكي</v>
      </c>
      <c r="AO81" t="str">
        <v>Sahabudin Miyah Raki</v>
      </c>
      <c r="AP81" t="str">
        <v>CON_D03</v>
      </c>
      <c r="AR81" s="17">
        <v>78</v>
      </c>
      <c r="AS81" s="17">
        <v>237</v>
      </c>
      <c r="AU81" s="17" t="s">
        <v>258</v>
      </c>
      <c r="AV81" s="23" t="s">
        <v>521</v>
      </c>
      <c r="AW81" s="17" t="str">
        <f t="shared" si="9"/>
        <v>CON_D03</v>
      </c>
      <c r="AY81" s="17">
        <v>78</v>
      </c>
      <c r="AZ81" s="17">
        <v>182</v>
      </c>
      <c r="BA81" s="17"/>
      <c r="BB81" s="17" t="s">
        <v>925</v>
      </c>
      <c r="BC81" s="17"/>
      <c r="BD81" t="str">
        <f t="shared" si="10"/>
        <v>FIN_D02</v>
      </c>
    </row>
    <row r="82" spans="2:56">
      <c r="B82" s="20">
        <v>78</v>
      </c>
      <c r="C82" s="20">
        <v>237</v>
      </c>
      <c r="AK82">
        <v>79</v>
      </c>
      <c r="AL82" t="str">
        <v>O138</v>
      </c>
      <c r="AM82">
        <v>0</v>
      </c>
      <c r="AN82" t="str">
        <v>محمد غازي إسماعيل</v>
      </c>
      <c r="AO82" t="str">
        <v>Mohammed Ghazi Ismail</v>
      </c>
      <c r="AP82" t="str">
        <v>CON_D03</v>
      </c>
      <c r="AR82" s="17">
        <v>79</v>
      </c>
      <c r="AS82" s="17" t="s">
        <v>117</v>
      </c>
      <c r="AU82" s="17" t="s">
        <v>259</v>
      </c>
      <c r="AV82" s="23" t="s">
        <v>522</v>
      </c>
      <c r="AW82" s="17" t="str">
        <f t="shared" si="9"/>
        <v>CON_D03</v>
      </c>
      <c r="AY82" s="17">
        <v>79</v>
      </c>
      <c r="AZ82" s="17">
        <v>107</v>
      </c>
      <c r="BA82" s="17"/>
      <c r="BB82" s="17" t="s">
        <v>926</v>
      </c>
      <c r="BC82" s="17"/>
      <c r="BD82" t="str">
        <f t="shared" si="10"/>
        <v>FIN_D02</v>
      </c>
    </row>
    <row r="83" spans="2:56">
      <c r="B83" s="20">
        <v>79</v>
      </c>
      <c r="C83" s="20" t="s">
        <v>117</v>
      </c>
      <c r="AK83">
        <v>80</v>
      </c>
      <c r="AL83" t="str">
        <v>O77</v>
      </c>
      <c r="AM83">
        <v>0</v>
      </c>
      <c r="AN83" t="str">
        <v>محمد امجد حسين</v>
      </c>
      <c r="AO83" t="str">
        <v>Mohammed Amjad Hussein</v>
      </c>
      <c r="AP83" t="str">
        <v>CON_D03</v>
      </c>
      <c r="AR83" s="17">
        <v>80</v>
      </c>
      <c r="AS83" s="17" t="s">
        <v>116</v>
      </c>
      <c r="AU83" s="17" t="s">
        <v>260</v>
      </c>
      <c r="AV83" s="23" t="s">
        <v>523</v>
      </c>
      <c r="AW83" s="17" t="str">
        <f t="shared" si="9"/>
        <v>CON_D03</v>
      </c>
      <c r="AY83" s="17">
        <v>80</v>
      </c>
      <c r="AZ83" s="17">
        <v>198</v>
      </c>
      <c r="BA83" s="17"/>
      <c r="BB83" s="17" t="s">
        <v>927</v>
      </c>
      <c r="BC83" s="17"/>
      <c r="BD83" t="str">
        <f t="shared" si="10"/>
        <v>FIN_D02</v>
      </c>
    </row>
    <row r="84" spans="2:56">
      <c r="B84" s="20">
        <v>80</v>
      </c>
      <c r="C84" s="20" t="s">
        <v>116</v>
      </c>
      <c r="AK84">
        <v>81</v>
      </c>
      <c r="AL84">
        <v>350</v>
      </c>
      <c r="AM84">
        <v>0</v>
      </c>
      <c r="AN84" t="str">
        <v>شاهجاد صديق عباس علي</v>
      </c>
      <c r="AO84" t="str">
        <v>Shahjad Sadiq Abbas Ali</v>
      </c>
      <c r="AP84" t="str">
        <v>CON_D03</v>
      </c>
      <c r="AR84" s="17">
        <v>81</v>
      </c>
      <c r="AS84" s="17">
        <v>350</v>
      </c>
      <c r="AU84" s="17" t="s">
        <v>261</v>
      </c>
      <c r="AV84" s="23" t="s">
        <v>524</v>
      </c>
      <c r="AW84" s="17" t="str">
        <f t="shared" si="9"/>
        <v>CON_D03</v>
      </c>
      <c r="AY84" s="17">
        <v>81</v>
      </c>
      <c r="AZ84" s="17">
        <v>226</v>
      </c>
      <c r="BA84" s="17"/>
      <c r="BB84" s="17" t="s">
        <v>928</v>
      </c>
      <c r="BC84" s="17"/>
      <c r="BD84" t="str">
        <f t="shared" si="10"/>
        <v>FIN_D02</v>
      </c>
    </row>
    <row r="85" spans="2:56">
      <c r="B85" s="20">
        <v>81</v>
      </c>
      <c r="C85" s="20">
        <v>350</v>
      </c>
      <c r="AK85">
        <v>82</v>
      </c>
      <c r="AL85">
        <v>404</v>
      </c>
      <c r="AM85">
        <v>0</v>
      </c>
      <c r="AN85" t="str">
        <v xml:space="preserve"> تفضل حسين ولي ميا</v>
      </c>
      <c r="AO85" t="str">
        <v>Hussein Wali Mia</v>
      </c>
      <c r="AP85" t="str">
        <v>CON_D03</v>
      </c>
      <c r="AR85" s="17">
        <v>82</v>
      </c>
      <c r="AS85" s="17">
        <v>404</v>
      </c>
      <c r="AU85" s="17" t="s">
        <v>262</v>
      </c>
      <c r="AV85" s="23" t="s">
        <v>525</v>
      </c>
      <c r="AW85" s="17" t="str">
        <f t="shared" si="9"/>
        <v>CON_D03</v>
      </c>
      <c r="AY85" s="17">
        <v>82</v>
      </c>
      <c r="AZ85" s="17">
        <v>361</v>
      </c>
      <c r="BA85" s="17"/>
      <c r="BB85" s="17" t="s">
        <v>929</v>
      </c>
      <c r="BC85" s="17"/>
      <c r="BD85" t="str">
        <f t="shared" si="10"/>
        <v>FIN_D02</v>
      </c>
    </row>
    <row r="86" spans="2:56">
      <c r="B86" s="20">
        <v>82</v>
      </c>
      <c r="C86" s="20">
        <v>404</v>
      </c>
      <c r="AK86">
        <v>83</v>
      </c>
      <c r="AL86">
        <v>405</v>
      </c>
      <c r="AM86">
        <v>0</v>
      </c>
      <c r="AN86" t="str">
        <v>اختر ميا علي مياه</v>
      </c>
      <c r="AO86" t="str">
        <v>Choose Mia over water</v>
      </c>
      <c r="AP86" t="str">
        <v>CON_D03</v>
      </c>
      <c r="AR86" s="17">
        <v>83</v>
      </c>
      <c r="AS86" s="17">
        <v>405</v>
      </c>
      <c r="AU86" s="17" t="s">
        <v>263</v>
      </c>
      <c r="AV86" s="23" t="s">
        <v>526</v>
      </c>
      <c r="AW86" s="17" t="str">
        <f t="shared" si="9"/>
        <v>CON_D03</v>
      </c>
      <c r="AY86" s="17">
        <v>83</v>
      </c>
      <c r="AZ86" s="17">
        <v>215</v>
      </c>
      <c r="BA86" s="17"/>
      <c r="BB86" s="17" t="s">
        <v>930</v>
      </c>
      <c r="BC86" s="17"/>
      <c r="BD86" t="str">
        <f t="shared" si="10"/>
        <v>FIN_D02</v>
      </c>
    </row>
    <row r="87" spans="2:56">
      <c r="B87" s="20">
        <v>83</v>
      </c>
      <c r="C87" s="20">
        <v>405</v>
      </c>
      <c r="AK87">
        <v>84</v>
      </c>
      <c r="AL87">
        <v>291</v>
      </c>
      <c r="AM87">
        <v>0</v>
      </c>
      <c r="AN87" t="str">
        <v>برودوس مكهاما</v>
      </c>
      <c r="AO87" t="str">
        <v>Brodos McHama</v>
      </c>
      <c r="AP87" t="str">
        <v>CON_D03</v>
      </c>
      <c r="AR87" s="17">
        <v>84</v>
      </c>
      <c r="AS87" s="17">
        <v>291</v>
      </c>
      <c r="AU87" s="17" t="s">
        <v>264</v>
      </c>
      <c r="AV87" s="23" t="s">
        <v>527</v>
      </c>
      <c r="AW87" s="17" t="str">
        <f t="shared" si="9"/>
        <v>CON_D03</v>
      </c>
      <c r="AY87" s="17">
        <v>84</v>
      </c>
      <c r="AZ87" s="17">
        <v>239</v>
      </c>
      <c r="BA87" s="17"/>
      <c r="BB87" s="17" t="s">
        <v>931</v>
      </c>
      <c r="BC87" s="17"/>
      <c r="BD87" t="str">
        <f t="shared" si="10"/>
        <v>FIN_D02</v>
      </c>
    </row>
    <row r="88" spans="2:56">
      <c r="B88" s="20">
        <v>84</v>
      </c>
      <c r="C88" s="20">
        <v>291</v>
      </c>
      <c r="AK88">
        <v>85</v>
      </c>
      <c r="AL88">
        <v>297</v>
      </c>
      <c r="AM88">
        <v>0</v>
      </c>
      <c r="AN88" t="str">
        <v>علي بومبا</v>
      </c>
      <c r="AO88" t="str">
        <v>Ali Bomba</v>
      </c>
      <c r="AP88" t="str">
        <v>CON_D03</v>
      </c>
      <c r="AR88" s="17">
        <v>85</v>
      </c>
      <c r="AS88" s="17">
        <v>297</v>
      </c>
      <c r="AU88" s="17" t="s">
        <v>265</v>
      </c>
      <c r="AV88" s="54" t="s">
        <v>528</v>
      </c>
      <c r="AW88" s="17" t="str">
        <f t="shared" si="9"/>
        <v>CON_D03</v>
      </c>
      <c r="AY88" s="17">
        <v>85</v>
      </c>
      <c r="AZ88" s="17">
        <v>191</v>
      </c>
      <c r="BA88" s="17"/>
      <c r="BB88" s="17" t="s">
        <v>932</v>
      </c>
      <c r="BC88" s="17"/>
      <c r="BD88" t="str">
        <f t="shared" si="10"/>
        <v>FIN_D02</v>
      </c>
    </row>
    <row r="89" spans="2:56">
      <c r="B89" s="20">
        <v>85</v>
      </c>
      <c r="C89" s="20">
        <v>297</v>
      </c>
      <c r="AK89">
        <v>86</v>
      </c>
      <c r="AL89" t="str">
        <v>O303</v>
      </c>
      <c r="AM89">
        <v>0</v>
      </c>
      <c r="AN89" t="str">
        <v>سيلو ميكالا ميكالا ملائياه</v>
      </c>
      <c r="AO89" t="str">
        <v>Silo Mikala Mikala Malayah</v>
      </c>
      <c r="AP89" t="str">
        <v>CON_D03</v>
      </c>
      <c r="AR89" s="17">
        <v>86</v>
      </c>
      <c r="AS89" s="17" t="s">
        <v>266</v>
      </c>
      <c r="AU89" s="17" t="s">
        <v>267</v>
      </c>
      <c r="AV89" s="23" t="s">
        <v>529</v>
      </c>
      <c r="AW89" s="17" t="str">
        <f t="shared" si="9"/>
        <v>CON_D03</v>
      </c>
      <c r="AY89" s="17">
        <v>86</v>
      </c>
      <c r="AZ89" s="17">
        <v>240</v>
      </c>
      <c r="BA89" s="17"/>
      <c r="BB89" s="17" t="s">
        <v>933</v>
      </c>
      <c r="BC89" s="17"/>
      <c r="BD89" t="str">
        <f t="shared" si="10"/>
        <v>FIN_D02</v>
      </c>
    </row>
    <row r="90" spans="2:56">
      <c r="B90" s="20">
        <v>86</v>
      </c>
      <c r="C90" s="20" t="s">
        <v>266</v>
      </c>
      <c r="AK90">
        <v>87</v>
      </c>
      <c r="AL90">
        <v>484</v>
      </c>
      <c r="AM90">
        <v>0</v>
      </c>
      <c r="AN90" t="str">
        <v>محمد تنجيل حسين</v>
      </c>
      <c r="AO90" t="str">
        <v>Muhammad Tanjil Hussein</v>
      </c>
      <c r="AP90" t="str">
        <v>CON_D03</v>
      </c>
      <c r="AR90" s="17">
        <v>87</v>
      </c>
      <c r="AS90" s="17">
        <v>484</v>
      </c>
      <c r="AU90" s="17" t="s">
        <v>268</v>
      </c>
      <c r="AV90" s="23" t="s">
        <v>530</v>
      </c>
      <c r="AW90" s="17" t="str">
        <f t="shared" si="9"/>
        <v>CON_D03</v>
      </c>
      <c r="AY90" s="17">
        <v>87</v>
      </c>
      <c r="AZ90" s="17">
        <v>383</v>
      </c>
      <c r="BA90" s="17"/>
      <c r="BB90" s="17" t="s">
        <v>934</v>
      </c>
      <c r="BC90" s="17"/>
      <c r="BD90" t="str">
        <f t="shared" si="10"/>
        <v>FIN_D02</v>
      </c>
    </row>
    <row r="91" spans="2:56">
      <c r="B91" s="20">
        <v>87</v>
      </c>
      <c r="C91" s="20">
        <v>484</v>
      </c>
      <c r="AK91">
        <v>88</v>
      </c>
      <c r="AL91">
        <v>412</v>
      </c>
      <c r="AM91">
        <v>0</v>
      </c>
      <c r="AN91" t="str">
        <v>اجناس ناداثالاكال</v>
      </c>
      <c r="AO91" t="str">
        <v>Genes Nadathalakal</v>
      </c>
      <c r="AP91" t="str">
        <v>CON_D03</v>
      </c>
      <c r="AR91" s="17">
        <v>88</v>
      </c>
      <c r="AS91" s="17">
        <v>412</v>
      </c>
      <c r="AU91" s="17" t="s">
        <v>269</v>
      </c>
      <c r="AV91" s="23" t="s">
        <v>531</v>
      </c>
      <c r="AW91" s="17" t="str">
        <f t="shared" si="9"/>
        <v>CON_D03</v>
      </c>
      <c r="AY91" s="17">
        <v>88</v>
      </c>
      <c r="AZ91" s="17">
        <v>156</v>
      </c>
      <c r="BA91" s="17"/>
      <c r="BB91" s="17" t="s">
        <v>935</v>
      </c>
      <c r="BC91" s="17"/>
      <c r="BD91" t="str">
        <f t="shared" si="10"/>
        <v>FIN_D02</v>
      </c>
    </row>
    <row r="92" spans="2:56">
      <c r="B92" s="20">
        <v>88</v>
      </c>
      <c r="C92" s="20">
        <v>412</v>
      </c>
      <c r="AK92">
        <v>89</v>
      </c>
      <c r="AL92" t="str">
        <v>O306</v>
      </c>
      <c r="AM92">
        <v>0</v>
      </c>
      <c r="AN92" t="str">
        <v>محمد نزام عرفان علي</v>
      </c>
      <c r="AO92" t="str">
        <v>Muhammad Nizam Irfan Ali</v>
      </c>
      <c r="AP92" t="str">
        <v>CON_D03</v>
      </c>
      <c r="AR92" s="17">
        <v>89</v>
      </c>
      <c r="AS92" s="17" t="s">
        <v>270</v>
      </c>
      <c r="AU92" s="17" t="s">
        <v>271</v>
      </c>
      <c r="AV92" s="23" t="s">
        <v>532</v>
      </c>
      <c r="AW92" s="17" t="str">
        <f t="shared" si="9"/>
        <v>CON_D03</v>
      </c>
      <c r="AY92" s="17">
        <v>89</v>
      </c>
      <c r="AZ92" s="17" t="s">
        <v>93</v>
      </c>
      <c r="BA92" s="17"/>
      <c r="BB92" s="17" t="s">
        <v>936</v>
      </c>
      <c r="BC92" s="17"/>
      <c r="BD92" t="str">
        <f t="shared" si="10"/>
        <v>FIN_D02</v>
      </c>
    </row>
    <row r="93" spans="2:56">
      <c r="B93" s="20">
        <v>89</v>
      </c>
      <c r="C93" s="20" t="s">
        <v>270</v>
      </c>
      <c r="AK93">
        <v>90</v>
      </c>
      <c r="AL93">
        <v>109</v>
      </c>
      <c r="AM93">
        <v>0</v>
      </c>
      <c r="AN93" t="str">
        <v>شاكر بهارو بودها</v>
      </c>
      <c r="AO93" t="str">
        <v>Shakir Bharu Budha</v>
      </c>
      <c r="AP93" t="str">
        <v>CON_D03</v>
      </c>
      <c r="AR93" s="17">
        <v>90</v>
      </c>
      <c r="AS93" s="17">
        <v>109</v>
      </c>
      <c r="AU93" s="17" t="s">
        <v>272</v>
      </c>
      <c r="AV93" s="23" t="s">
        <v>533</v>
      </c>
      <c r="AW93" s="17" t="str">
        <f t="shared" si="9"/>
        <v>CON_D03</v>
      </c>
      <c r="AY93" s="17">
        <v>90</v>
      </c>
      <c r="AZ93" s="17" t="s">
        <v>89</v>
      </c>
      <c r="BA93" s="17"/>
      <c r="BB93" s="17" t="s">
        <v>937</v>
      </c>
      <c r="BC93" s="17"/>
      <c r="BD93" t="str">
        <f t="shared" si="10"/>
        <v>FIN_D02</v>
      </c>
    </row>
    <row r="94" spans="2:56">
      <c r="B94" s="20">
        <v>90</v>
      </c>
      <c r="C94" s="20">
        <v>109</v>
      </c>
      <c r="AK94">
        <v>91</v>
      </c>
      <c r="AL94">
        <v>125</v>
      </c>
      <c r="AM94">
        <v>0</v>
      </c>
      <c r="AN94" t="str">
        <v>ﻓﻴﺼﻞ ﺟﻤﻴﻞ ﺳﻠﻴﻤﺎﻥ ﻟﻴﺒﻲ</v>
      </c>
      <c r="AO94" t="str">
        <v>Faisal Jamil Suleiman Libi</v>
      </c>
      <c r="AP94" t="str">
        <v>CON_D03</v>
      </c>
      <c r="AR94" s="17">
        <v>91</v>
      </c>
      <c r="AS94" s="17">
        <v>125</v>
      </c>
      <c r="AU94" s="17" t="s">
        <v>273</v>
      </c>
      <c r="AV94" s="23" t="s">
        <v>534</v>
      </c>
      <c r="AW94" s="17" t="str">
        <f t="shared" si="9"/>
        <v>CON_D03</v>
      </c>
      <c r="AY94" s="17">
        <v>91</v>
      </c>
      <c r="AZ94" s="17" t="s">
        <v>90</v>
      </c>
      <c r="BA94" s="17"/>
      <c r="BB94" s="17" t="s">
        <v>938</v>
      </c>
      <c r="BC94" s="17"/>
      <c r="BD94" t="str">
        <f t="shared" si="10"/>
        <v>FIN_D02</v>
      </c>
    </row>
    <row r="95" spans="2:56">
      <c r="B95" s="20">
        <v>91</v>
      </c>
      <c r="C95" s="20">
        <v>125</v>
      </c>
      <c r="AK95">
        <v>92</v>
      </c>
      <c r="AL95">
        <v>152</v>
      </c>
      <c r="AM95">
        <v>0</v>
      </c>
      <c r="AN95" t="str">
        <v>ﺟﻮﺩﻭ ﺍﻧﺼﺎﺭﻱ</v>
      </c>
      <c r="AO95" t="str">
        <v>Godot Ansari</v>
      </c>
      <c r="AP95" t="str">
        <v>CON_D03</v>
      </c>
      <c r="AR95" s="17">
        <v>92</v>
      </c>
      <c r="AS95" s="17">
        <v>152</v>
      </c>
      <c r="AU95" s="17" t="s">
        <v>274</v>
      </c>
      <c r="AV95" s="54" t="s">
        <v>535</v>
      </c>
      <c r="AW95" s="17" t="str">
        <f t="shared" si="9"/>
        <v>CON_D03</v>
      </c>
      <c r="AY95" s="17">
        <v>92</v>
      </c>
      <c r="AZ95" s="17">
        <v>199</v>
      </c>
      <c r="BA95" s="17"/>
      <c r="BB95" s="17" t="s">
        <v>939</v>
      </c>
      <c r="BC95" s="17"/>
      <c r="BD95" t="str">
        <f t="shared" si="10"/>
        <v>FIN_D02</v>
      </c>
    </row>
    <row r="96" spans="2:56">
      <c r="B96" s="20">
        <v>92</v>
      </c>
      <c r="C96" s="20">
        <v>152</v>
      </c>
      <c r="AK96">
        <v>93</v>
      </c>
      <c r="AL96">
        <v>168</v>
      </c>
      <c r="AM96">
        <v>0</v>
      </c>
      <c r="AN96" t="str">
        <v>ﺻﺎﺑﺮ ﻣﻴﺎﻩ ﺿﺎﻫﻴﺮﻱ</v>
      </c>
      <c r="AO96" t="str">
        <v>Saber Miyah Dhahiri</v>
      </c>
      <c r="AP96" t="str">
        <v>CON_D03</v>
      </c>
      <c r="AR96" s="17">
        <v>93</v>
      </c>
      <c r="AS96" s="17">
        <v>168</v>
      </c>
      <c r="AU96" s="17" t="s">
        <v>275</v>
      </c>
      <c r="AV96" s="23" t="s">
        <v>536</v>
      </c>
      <c r="AW96" s="17" t="str">
        <f t="shared" si="9"/>
        <v>CON_D03</v>
      </c>
      <c r="AY96" s="17">
        <v>93</v>
      </c>
      <c r="AZ96" s="17">
        <v>407</v>
      </c>
      <c r="BA96" s="17"/>
      <c r="BB96" s="17" t="s">
        <v>940</v>
      </c>
      <c r="BC96" s="17"/>
      <c r="BD96" t="str">
        <f t="shared" si="10"/>
        <v>FIN_D02</v>
      </c>
    </row>
    <row r="97" spans="2:56">
      <c r="B97" s="20">
        <v>93</v>
      </c>
      <c r="C97" s="20">
        <v>168</v>
      </c>
      <c r="AK97">
        <v>94</v>
      </c>
      <c r="AL97">
        <v>299</v>
      </c>
      <c r="AM97">
        <v>0</v>
      </c>
      <c r="AN97" t="str">
        <v>جانيز زيموانجاز</v>
      </c>
      <c r="AO97" t="str">
        <v>Janice Zimuangaz</v>
      </c>
      <c r="AP97" t="str">
        <v>CON_D03</v>
      </c>
      <c r="AR97" s="17">
        <v>94</v>
      </c>
      <c r="AS97" s="17">
        <v>299</v>
      </c>
      <c r="AU97" s="17" t="s">
        <v>276</v>
      </c>
      <c r="AV97" s="23" t="s">
        <v>537</v>
      </c>
      <c r="AW97" s="17" t="str">
        <f t="shared" si="9"/>
        <v>CON_D03</v>
      </c>
      <c r="AY97" s="17">
        <v>94</v>
      </c>
      <c r="AZ97" s="17">
        <v>114</v>
      </c>
      <c r="BA97" s="17"/>
      <c r="BB97" s="17" t="s">
        <v>941</v>
      </c>
      <c r="BC97" s="17"/>
      <c r="BD97" t="str">
        <f t="shared" si="10"/>
        <v>FIN_D02</v>
      </c>
    </row>
    <row r="98" spans="2:56">
      <c r="B98" s="20">
        <v>94</v>
      </c>
      <c r="C98" s="20">
        <v>299</v>
      </c>
      <c r="AK98">
        <v>95</v>
      </c>
      <c r="AL98">
        <v>384</v>
      </c>
      <c r="AM98">
        <v>0</v>
      </c>
      <c r="AN98" t="str">
        <v>بير بهادور بيستا</v>
      </c>
      <c r="AO98" t="str">
        <v>Bir Bahadur Bista</v>
      </c>
      <c r="AP98" t="str">
        <v>CON_D03</v>
      </c>
      <c r="AR98" s="17">
        <v>95</v>
      </c>
      <c r="AS98" s="17">
        <v>384</v>
      </c>
      <c r="AU98" s="17" t="s">
        <v>277</v>
      </c>
      <c r="AV98" s="23" t="s">
        <v>538</v>
      </c>
      <c r="AW98" s="17" t="str">
        <f t="shared" si="9"/>
        <v>CON_D03</v>
      </c>
      <c r="AY98" s="17">
        <v>95</v>
      </c>
      <c r="AZ98" s="17">
        <v>218</v>
      </c>
      <c r="BA98" s="17"/>
      <c r="BB98" s="17" t="s">
        <v>942</v>
      </c>
      <c r="BC98" s="17"/>
      <c r="BD98" t="str">
        <f t="shared" si="10"/>
        <v>FIN_D02</v>
      </c>
    </row>
    <row r="99" spans="2:56">
      <c r="B99" s="20">
        <v>95</v>
      </c>
      <c r="C99" s="20">
        <v>384</v>
      </c>
      <c r="AK99">
        <v>96</v>
      </c>
      <c r="AL99">
        <v>431</v>
      </c>
      <c r="AM99">
        <v>0</v>
      </c>
      <c r="AN99" t="str">
        <v>رام موخايا</v>
      </c>
      <c r="AO99" t="str">
        <v>Ram Mukhaya</v>
      </c>
      <c r="AP99" t="str">
        <v>CON_D03</v>
      </c>
      <c r="AR99" s="17">
        <v>96</v>
      </c>
      <c r="AS99" s="17">
        <v>431</v>
      </c>
      <c r="AU99" s="17" t="s">
        <v>278</v>
      </c>
      <c r="AV99" s="54" t="s">
        <v>539</v>
      </c>
      <c r="AW99" s="17" t="str">
        <f t="shared" si="9"/>
        <v>CON_D03</v>
      </c>
      <c r="AY99" s="17">
        <v>96</v>
      </c>
      <c r="AZ99" s="17">
        <v>342</v>
      </c>
      <c r="BA99" s="17"/>
      <c r="BB99" s="17" t="s">
        <v>943</v>
      </c>
      <c r="BC99" s="17"/>
      <c r="BD99" t="str">
        <f t="shared" si="10"/>
        <v>FIN_D02</v>
      </c>
    </row>
    <row r="100" spans="2:56">
      <c r="B100" s="20">
        <v>96</v>
      </c>
      <c r="C100" s="20">
        <v>431</v>
      </c>
      <c r="AK100">
        <v>97</v>
      </c>
      <c r="AL100">
        <v>488</v>
      </c>
      <c r="AM100">
        <v>0</v>
      </c>
      <c r="AN100" t="str">
        <v>اشيش موخيا</v>
      </c>
      <c r="AO100" t="str">
        <v>Ashish Mukhia</v>
      </c>
      <c r="AP100" t="str">
        <v>CON_D03</v>
      </c>
      <c r="AR100" s="17">
        <v>97</v>
      </c>
      <c r="AS100" s="17">
        <v>488</v>
      </c>
      <c r="AU100" s="17" t="s">
        <v>279</v>
      </c>
      <c r="AV100" s="54" t="s">
        <v>540</v>
      </c>
      <c r="AW100" s="17" t="str">
        <f t="shared" ref="AW100:AW131" si="11">$AV$2</f>
        <v>CON_D03</v>
      </c>
      <c r="AY100" s="17">
        <v>97</v>
      </c>
      <c r="AZ100" s="17">
        <v>223</v>
      </c>
      <c r="BA100" s="17"/>
      <c r="BB100" s="17" t="s">
        <v>944</v>
      </c>
      <c r="BC100" s="17"/>
      <c r="BD100" t="str">
        <f t="shared" ref="BD100:BD131" si="12">$BC$2</f>
        <v>FIN_D02</v>
      </c>
    </row>
    <row r="101" spans="2:56">
      <c r="B101" s="20">
        <v>97</v>
      </c>
      <c r="C101" s="20">
        <v>488</v>
      </c>
      <c r="AK101">
        <v>98</v>
      </c>
      <c r="AL101">
        <v>513</v>
      </c>
      <c r="AM101">
        <v>0</v>
      </c>
      <c r="AN101" t="str">
        <v>نصير الدين انصاري</v>
      </c>
      <c r="AO101" t="str">
        <v>Nasir al-Din Ansari</v>
      </c>
      <c r="AP101" t="str">
        <v>CON_D03</v>
      </c>
      <c r="AR101" s="17">
        <v>98</v>
      </c>
      <c r="AS101" s="17">
        <v>513</v>
      </c>
      <c r="AU101" s="17" t="s">
        <v>280</v>
      </c>
      <c r="AV101" s="23" t="s">
        <v>541</v>
      </c>
      <c r="AW101" s="17" t="str">
        <f t="shared" si="11"/>
        <v>CON_D03</v>
      </c>
      <c r="AY101" s="17">
        <v>98</v>
      </c>
      <c r="AZ101" s="17">
        <v>135</v>
      </c>
      <c r="BA101" s="17"/>
      <c r="BB101" s="17" t="s">
        <v>945</v>
      </c>
      <c r="BC101" s="17"/>
      <c r="BD101" t="str">
        <f t="shared" si="12"/>
        <v>FIN_D02</v>
      </c>
    </row>
    <row r="102" spans="2:56">
      <c r="B102" s="20">
        <v>98</v>
      </c>
      <c r="C102" s="20">
        <v>513</v>
      </c>
      <c r="AK102">
        <v>99</v>
      </c>
      <c r="AL102" t="str">
        <v>O131</v>
      </c>
      <c r="AM102">
        <v>0</v>
      </c>
      <c r="AN102" t="str">
        <v>ابدولجيل محمد باتا</v>
      </c>
      <c r="AO102" t="str">
        <v>Abdoljil Mohammed Bata</v>
      </c>
      <c r="AP102" t="str">
        <v>CON_D03</v>
      </c>
      <c r="AR102" s="17">
        <v>99</v>
      </c>
      <c r="AS102" s="17" t="s">
        <v>281</v>
      </c>
      <c r="AU102" s="17" t="s">
        <v>282</v>
      </c>
      <c r="AV102" s="23" t="s">
        <v>542</v>
      </c>
      <c r="AW102" s="17" t="str">
        <f t="shared" si="11"/>
        <v>CON_D03</v>
      </c>
      <c r="AY102" s="17">
        <v>99</v>
      </c>
      <c r="AZ102" s="17">
        <v>390</v>
      </c>
      <c r="BA102" s="17"/>
      <c r="BB102" s="17" t="s">
        <v>946</v>
      </c>
      <c r="BC102" s="17"/>
      <c r="BD102" t="str">
        <f t="shared" si="12"/>
        <v>FIN_D02</v>
      </c>
    </row>
    <row r="103" spans="2:56">
      <c r="B103" s="20">
        <v>99</v>
      </c>
      <c r="C103" s="20" t="s">
        <v>281</v>
      </c>
      <c r="AK103">
        <v>100</v>
      </c>
      <c r="AL103" t="str">
        <v>O203</v>
      </c>
      <c r="AM103">
        <v>0</v>
      </c>
      <c r="AN103" t="str">
        <v>راسل خان مسلم خان</v>
      </c>
      <c r="AO103" t="str">
        <v>Russell Khan Muslim Khan</v>
      </c>
      <c r="AP103" t="str">
        <v>CON_D03</v>
      </c>
      <c r="AR103" s="17">
        <v>100</v>
      </c>
      <c r="AS103" s="17" t="s">
        <v>283</v>
      </c>
      <c r="AU103" s="17" t="s">
        <v>284</v>
      </c>
      <c r="AV103" s="23" t="s">
        <v>543</v>
      </c>
      <c r="AW103" s="17" t="str">
        <f t="shared" si="11"/>
        <v>CON_D03</v>
      </c>
      <c r="AY103" s="17">
        <v>100</v>
      </c>
      <c r="AZ103" s="17" t="s">
        <v>96</v>
      </c>
      <c r="BA103" s="17"/>
      <c r="BB103" s="17" t="s">
        <v>947</v>
      </c>
      <c r="BC103" s="17"/>
      <c r="BD103" t="str">
        <f t="shared" si="12"/>
        <v>FIN_D02</v>
      </c>
    </row>
    <row r="104" spans="2:56">
      <c r="B104" s="20">
        <v>100</v>
      </c>
      <c r="C104" s="20" t="s">
        <v>283</v>
      </c>
      <c r="AK104">
        <v>101</v>
      </c>
      <c r="AL104" t="str">
        <v>O218</v>
      </c>
      <c r="AM104">
        <v>0</v>
      </c>
      <c r="AN104" t="str">
        <v>ابيباو شير ديقو</v>
      </c>
      <c r="AO104" t="str">
        <v>Abebao Sher Dego</v>
      </c>
      <c r="AP104" t="str">
        <v>CON_D03</v>
      </c>
      <c r="AR104" s="17">
        <v>101</v>
      </c>
      <c r="AS104" s="17" t="s">
        <v>285</v>
      </c>
      <c r="AU104" s="17" t="s">
        <v>286</v>
      </c>
      <c r="AV104" s="23" t="s">
        <v>544</v>
      </c>
      <c r="AW104" s="17" t="str">
        <f t="shared" si="11"/>
        <v>CON_D03</v>
      </c>
      <c r="AY104" s="17">
        <v>101</v>
      </c>
      <c r="AZ104" s="17">
        <v>495</v>
      </c>
      <c r="BA104" s="17"/>
      <c r="BB104" s="17" t="s">
        <v>342</v>
      </c>
      <c r="BC104" s="17"/>
      <c r="BD104" t="str">
        <f t="shared" si="12"/>
        <v>FIN_D02</v>
      </c>
    </row>
    <row r="105" spans="2:56">
      <c r="B105" s="20">
        <v>101</v>
      </c>
      <c r="C105" s="20" t="s">
        <v>285</v>
      </c>
      <c r="AK105">
        <v>102</v>
      </c>
      <c r="AL105" t="str">
        <v>O234</v>
      </c>
      <c r="AM105">
        <v>0</v>
      </c>
      <c r="AN105" t="str">
        <v>زياد محمد عبد الكريم</v>
      </c>
      <c r="AO105" t="str">
        <v>Ziad Muhammad Abdul Karim</v>
      </c>
      <c r="AP105" t="str">
        <v>CON_D03</v>
      </c>
      <c r="AR105" s="17">
        <v>102</v>
      </c>
      <c r="AS105" s="17" t="s">
        <v>287</v>
      </c>
      <c r="AU105" s="17" t="s">
        <v>288</v>
      </c>
      <c r="AV105" s="23" t="s">
        <v>545</v>
      </c>
      <c r="AW105" s="17" t="str">
        <f t="shared" si="11"/>
        <v>CON_D03</v>
      </c>
      <c r="AY105" s="17">
        <v>102</v>
      </c>
      <c r="AZ105" s="17">
        <v>176</v>
      </c>
      <c r="BA105" s="17"/>
      <c r="BB105" s="17" t="s">
        <v>948</v>
      </c>
      <c r="BC105" s="17"/>
      <c r="BD105" t="str">
        <f t="shared" si="12"/>
        <v>FIN_D02</v>
      </c>
    </row>
    <row r="106" spans="2:56">
      <c r="B106" s="20">
        <v>102</v>
      </c>
      <c r="C106" s="20" t="s">
        <v>287</v>
      </c>
      <c r="AK106">
        <v>103</v>
      </c>
      <c r="AL106" t="str">
        <v>O266</v>
      </c>
      <c r="AM106">
        <v>0</v>
      </c>
      <c r="AN106" t="str">
        <v>سهيل رانا يار محمد</v>
      </c>
      <c r="AO106" t="str">
        <v>Suhail Rana Yar Muhammad</v>
      </c>
      <c r="AP106" t="str">
        <v>CON_D03</v>
      </c>
      <c r="AR106" s="17">
        <v>103</v>
      </c>
      <c r="AS106" s="17" t="s">
        <v>289</v>
      </c>
      <c r="AU106" s="17" t="s">
        <v>290</v>
      </c>
      <c r="AV106" s="23" t="s">
        <v>546</v>
      </c>
      <c r="AW106" s="17" t="str">
        <f t="shared" si="11"/>
        <v>CON_D03</v>
      </c>
      <c r="AY106" s="17">
        <v>103</v>
      </c>
      <c r="AZ106" s="17">
        <v>717</v>
      </c>
      <c r="BA106" s="17"/>
      <c r="BB106" s="17" t="s">
        <v>949</v>
      </c>
      <c r="BC106" s="17"/>
      <c r="BD106" t="str">
        <f t="shared" si="12"/>
        <v>FIN_D02</v>
      </c>
    </row>
    <row r="107" spans="2:56">
      <c r="B107" s="20">
        <v>103</v>
      </c>
      <c r="C107" s="20" t="s">
        <v>289</v>
      </c>
      <c r="AK107">
        <v>104</v>
      </c>
      <c r="AL107" t="str">
        <v>O272</v>
      </c>
      <c r="AM107">
        <v>0</v>
      </c>
      <c r="AN107" t="str">
        <v>جاود محمد باتو</v>
      </c>
      <c r="AO107" t="str">
        <v>Jawad Muhammad Batu</v>
      </c>
      <c r="AP107" t="str">
        <v>CON_D03</v>
      </c>
      <c r="AR107" s="17">
        <v>104</v>
      </c>
      <c r="AS107" s="17" t="s">
        <v>291</v>
      </c>
      <c r="AU107" s="17" t="s">
        <v>292</v>
      </c>
      <c r="AV107" s="23" t="s">
        <v>547</v>
      </c>
      <c r="AW107" s="17" t="str">
        <f t="shared" si="11"/>
        <v>CON_D03</v>
      </c>
      <c r="AY107" s="17">
        <v>104</v>
      </c>
      <c r="AZ107" s="17" t="s">
        <v>114</v>
      </c>
      <c r="BA107" s="17"/>
      <c r="BB107" s="17" t="s">
        <v>950</v>
      </c>
      <c r="BC107" s="17"/>
      <c r="BD107" t="str">
        <f t="shared" si="12"/>
        <v>FIN_D02</v>
      </c>
    </row>
    <row r="108" spans="2:56">
      <c r="B108" s="20">
        <v>104</v>
      </c>
      <c r="C108" s="20" t="s">
        <v>291</v>
      </c>
      <c r="AK108">
        <v>105</v>
      </c>
      <c r="AL108" t="str">
        <v>O277</v>
      </c>
      <c r="AM108">
        <v>0</v>
      </c>
      <c r="AN108" t="str">
        <v>عمران الإسلام عباس الدين</v>
      </c>
      <c r="AO108" t="str">
        <v>Imran al-Islam Abbas al-Din</v>
      </c>
      <c r="AP108" t="str">
        <v>CON_D03</v>
      </c>
      <c r="AR108" s="17">
        <v>105</v>
      </c>
      <c r="AS108" s="17" t="s">
        <v>293</v>
      </c>
      <c r="AU108" s="17" t="s">
        <v>294</v>
      </c>
      <c r="AV108" s="23" t="s">
        <v>548</v>
      </c>
      <c r="AW108" s="17" t="str">
        <f t="shared" si="11"/>
        <v>CON_D03</v>
      </c>
      <c r="AY108" s="17">
        <v>105</v>
      </c>
      <c r="AZ108" s="17"/>
      <c r="BA108" s="17"/>
      <c r="BB108" s="17"/>
      <c r="BC108" s="17"/>
      <c r="BD108" t="str">
        <f t="shared" si="12"/>
        <v>FIN_D02</v>
      </c>
    </row>
    <row r="109" spans="2:56">
      <c r="B109" s="20">
        <v>105</v>
      </c>
      <c r="C109" s="20" t="s">
        <v>293</v>
      </c>
      <c r="AK109">
        <v>106</v>
      </c>
      <c r="AL109" t="str">
        <v>O291</v>
      </c>
      <c r="AM109">
        <v>0</v>
      </c>
      <c r="AN109" t="str">
        <v>يكاتو اندغني مولوغيتا</v>
      </c>
      <c r="AO109" t="str">
        <v>Yekato Andgni Mologita</v>
      </c>
      <c r="AP109" t="str">
        <v>CON_D03</v>
      </c>
      <c r="AR109" s="17">
        <v>106</v>
      </c>
      <c r="AS109" s="17" t="s">
        <v>295</v>
      </c>
      <c r="AU109" s="17" t="s">
        <v>296</v>
      </c>
      <c r="AV109" s="23" t="s">
        <v>549</v>
      </c>
      <c r="AW109" s="17" t="str">
        <f t="shared" si="11"/>
        <v>CON_D03</v>
      </c>
      <c r="AY109" s="17">
        <v>106</v>
      </c>
      <c r="AZ109" s="17"/>
      <c r="BA109" s="17"/>
      <c r="BB109" s="17"/>
      <c r="BC109" s="17"/>
      <c r="BD109" t="str">
        <f t="shared" si="12"/>
        <v>FIN_D02</v>
      </c>
    </row>
    <row r="110" spans="2:56">
      <c r="B110" s="20">
        <v>106</v>
      </c>
      <c r="C110" s="20" t="s">
        <v>295</v>
      </c>
      <c r="AK110">
        <v>107</v>
      </c>
      <c r="AL110" t="str">
        <v>O293</v>
      </c>
      <c r="AM110">
        <v>0</v>
      </c>
      <c r="AN110" t="str">
        <v>ناندالان باسوان</v>
      </c>
      <c r="AO110" t="str">
        <v>Nandalan Paswan</v>
      </c>
      <c r="AP110" t="str">
        <v>CON_D03</v>
      </c>
      <c r="AR110" s="17">
        <v>107</v>
      </c>
      <c r="AS110" s="17" t="s">
        <v>297</v>
      </c>
      <c r="AU110" s="17" t="s">
        <v>298</v>
      </c>
      <c r="AV110" s="23" t="s">
        <v>550</v>
      </c>
      <c r="AW110" s="17" t="str">
        <f t="shared" si="11"/>
        <v>CON_D03</v>
      </c>
      <c r="AY110" s="17">
        <v>107</v>
      </c>
      <c r="AZ110" s="17"/>
      <c r="BA110" s="17"/>
      <c r="BB110" s="17"/>
      <c r="BC110" s="17"/>
      <c r="BD110" t="str">
        <f t="shared" si="12"/>
        <v>FIN_D02</v>
      </c>
    </row>
    <row r="111" spans="2:56">
      <c r="B111" s="20">
        <v>107</v>
      </c>
      <c r="C111" s="20" t="s">
        <v>297</v>
      </c>
      <c r="AK111">
        <v>108</v>
      </c>
      <c r="AL111">
        <v>112</v>
      </c>
      <c r="AM111">
        <v>0</v>
      </c>
      <c r="AN111" t="str">
        <v>ﻣﺤﻤﺪ ﺷﻬﻴﺪ ﺍﻻﺳﻼﺍﻡ</v>
      </c>
      <c r="AO111" t="str">
        <v>Muhammad Shahid al-Islam</v>
      </c>
      <c r="AP111" t="str">
        <v>CON_D03</v>
      </c>
      <c r="AR111" s="17">
        <v>108</v>
      </c>
      <c r="AS111" s="17">
        <v>112</v>
      </c>
      <c r="AU111" s="17" t="s">
        <v>299</v>
      </c>
      <c r="AV111" s="23" t="s">
        <v>551</v>
      </c>
      <c r="AW111" s="17" t="str">
        <f t="shared" si="11"/>
        <v>CON_D03</v>
      </c>
      <c r="AY111" s="17">
        <v>108</v>
      </c>
      <c r="AZ111" s="17"/>
      <c r="BA111" s="17"/>
      <c r="BB111" s="17"/>
      <c r="BC111" s="17"/>
      <c r="BD111" t="str">
        <f t="shared" si="12"/>
        <v>FIN_D02</v>
      </c>
    </row>
    <row r="112" spans="2:56">
      <c r="B112" s="20">
        <v>108</v>
      </c>
      <c r="C112" s="20">
        <v>112</v>
      </c>
      <c r="AK112">
        <v>109</v>
      </c>
      <c r="AL112">
        <v>220</v>
      </c>
      <c r="AM112">
        <v>0</v>
      </c>
      <c r="AN112" t="str">
        <v>ﺍﻧﻌﺎﻡ ﺍﻟﺤﻖ ﻭﻟﻲ ﺍﻫﺎﻧﺞ</v>
      </c>
      <c r="AO112" t="str">
        <v>In'am Al-Haq Wali Ahanj</v>
      </c>
      <c r="AP112" t="str">
        <v>CON_D03</v>
      </c>
      <c r="AR112" s="17">
        <v>109</v>
      </c>
      <c r="AS112" s="17">
        <v>220</v>
      </c>
      <c r="AU112" s="17" t="s">
        <v>300</v>
      </c>
      <c r="AV112" s="23" t="s">
        <v>552</v>
      </c>
      <c r="AW112" s="17" t="str">
        <f t="shared" si="11"/>
        <v>CON_D03</v>
      </c>
      <c r="AY112" s="17">
        <v>109</v>
      </c>
      <c r="AZ112" s="17"/>
      <c r="BA112" s="17"/>
      <c r="BB112" s="17"/>
      <c r="BC112" s="17"/>
      <c r="BD112" t="str">
        <f t="shared" si="12"/>
        <v>FIN_D02</v>
      </c>
    </row>
    <row r="113" spans="2:56">
      <c r="B113" s="20">
        <v>109</v>
      </c>
      <c r="C113" s="20">
        <v>220</v>
      </c>
      <c r="AK113">
        <v>110</v>
      </c>
      <c r="AL113" t="str">
        <v>O298</v>
      </c>
      <c r="AM113">
        <v>0</v>
      </c>
      <c r="AN113" t="str">
        <v>جوس علي نيجاو</v>
      </c>
      <c r="AO113" t="str">
        <v>Jos Ali Nijaw</v>
      </c>
      <c r="AP113" t="str">
        <v>CON_D03</v>
      </c>
      <c r="AR113" s="17">
        <v>110</v>
      </c>
      <c r="AS113" s="17" t="s">
        <v>301</v>
      </c>
      <c r="AU113" s="17" t="s">
        <v>302</v>
      </c>
      <c r="AV113" s="54" t="s">
        <v>553</v>
      </c>
      <c r="AW113" s="17" t="str">
        <f t="shared" si="11"/>
        <v>CON_D03</v>
      </c>
      <c r="AY113" s="17">
        <v>110</v>
      </c>
      <c r="AZ113" s="17"/>
      <c r="BA113" s="17"/>
      <c r="BB113" s="17"/>
      <c r="BC113" s="17"/>
      <c r="BD113" t="str">
        <f t="shared" si="12"/>
        <v>FIN_D02</v>
      </c>
    </row>
    <row r="114" spans="2:56">
      <c r="B114" s="20">
        <v>110</v>
      </c>
      <c r="C114" s="20" t="s">
        <v>301</v>
      </c>
      <c r="AK114">
        <v>111</v>
      </c>
      <c r="AL114" t="str">
        <v>O301</v>
      </c>
      <c r="AM114">
        <v>0</v>
      </c>
      <c r="AN114" t="str">
        <v>زين العبدين ناصر احمد</v>
      </c>
      <c r="AO114" t="str">
        <v>Zain Al-Abidin Nasser Ahmed</v>
      </c>
      <c r="AP114" t="str">
        <v>CON_D03</v>
      </c>
      <c r="AR114" s="17">
        <v>111</v>
      </c>
      <c r="AS114" s="17" t="s">
        <v>303</v>
      </c>
      <c r="AU114" s="17" t="s">
        <v>304</v>
      </c>
      <c r="AV114" s="23" t="s">
        <v>554</v>
      </c>
      <c r="AW114" s="17" t="str">
        <f t="shared" si="11"/>
        <v>CON_D03</v>
      </c>
      <c r="AY114" s="17">
        <v>111</v>
      </c>
      <c r="AZ114" s="17"/>
      <c r="BA114" s="17"/>
      <c r="BB114" s="17"/>
      <c r="BC114" s="17"/>
      <c r="BD114" t="str">
        <f t="shared" si="12"/>
        <v>FIN_D02</v>
      </c>
    </row>
    <row r="115" spans="2:56">
      <c r="B115" s="20">
        <v>111</v>
      </c>
      <c r="C115" s="20" t="s">
        <v>303</v>
      </c>
      <c r="AK115">
        <v>112</v>
      </c>
      <c r="AL115" t="str">
        <v>O305</v>
      </c>
      <c r="AM115">
        <v>0</v>
      </c>
      <c r="AN115" t="str">
        <v>محمد سهيل ابول حسين</v>
      </c>
      <c r="AO115" t="str">
        <v>Muhammad Suhail Abu Hussein</v>
      </c>
      <c r="AP115" t="str">
        <v>CON_D03</v>
      </c>
      <c r="AR115" s="17">
        <v>112</v>
      </c>
      <c r="AS115" s="17" t="s">
        <v>305</v>
      </c>
      <c r="AU115" s="17" t="s">
        <v>306</v>
      </c>
      <c r="AV115" s="23" t="s">
        <v>555</v>
      </c>
      <c r="AW115" s="17" t="str">
        <f t="shared" si="11"/>
        <v>CON_D03</v>
      </c>
      <c r="AY115" s="17">
        <v>112</v>
      </c>
      <c r="AZ115" s="17"/>
      <c r="BA115" s="17"/>
      <c r="BB115" s="17"/>
      <c r="BC115" s="17"/>
      <c r="BD115" t="str">
        <f t="shared" si="12"/>
        <v>FIN_D02</v>
      </c>
    </row>
    <row r="116" spans="2:56">
      <c r="B116" s="20">
        <v>112</v>
      </c>
      <c r="C116" s="20" t="s">
        <v>305</v>
      </c>
      <c r="AK116">
        <v>113</v>
      </c>
      <c r="AL116" t="str">
        <v>O315</v>
      </c>
      <c r="AM116">
        <v>0</v>
      </c>
      <c r="AN116" t="str">
        <v>محمد يوسف</v>
      </c>
      <c r="AO116" t="str">
        <v>Mohammed Youssef</v>
      </c>
      <c r="AP116" t="str">
        <v>CON_D03</v>
      </c>
      <c r="AR116" s="17">
        <v>113</v>
      </c>
      <c r="AS116" s="17" t="s">
        <v>307</v>
      </c>
      <c r="AU116" s="17" t="s">
        <v>308</v>
      </c>
      <c r="AV116" s="23" t="s">
        <v>556</v>
      </c>
      <c r="AW116" s="17" t="str">
        <f t="shared" si="11"/>
        <v>CON_D03</v>
      </c>
      <c r="AY116" s="17">
        <v>113</v>
      </c>
      <c r="AZ116" s="17"/>
      <c r="BA116" s="17"/>
      <c r="BB116" s="17"/>
      <c r="BC116" s="17"/>
      <c r="BD116" t="str">
        <f t="shared" si="12"/>
        <v>FIN_D02</v>
      </c>
    </row>
    <row r="117" spans="2:56">
      <c r="B117" s="20">
        <v>113</v>
      </c>
      <c r="C117" s="20" t="s">
        <v>307</v>
      </c>
      <c r="AK117">
        <v>114</v>
      </c>
      <c r="AL117" t="str">
        <v>O206</v>
      </c>
      <c r="AM117">
        <v>0</v>
      </c>
      <c r="AN117" t="str">
        <v>سليم صهيب خان</v>
      </c>
      <c r="AO117" t="str">
        <v>Salim Suhaib Khan</v>
      </c>
      <c r="AP117" t="str">
        <v>CON_D03</v>
      </c>
      <c r="AR117" s="17">
        <v>114</v>
      </c>
      <c r="AS117" s="17" t="s">
        <v>309</v>
      </c>
      <c r="AU117" s="17" t="s">
        <v>310</v>
      </c>
      <c r="AV117" s="23" t="s">
        <v>557</v>
      </c>
      <c r="AW117" s="17" t="str">
        <f t="shared" si="11"/>
        <v>CON_D03</v>
      </c>
      <c r="AY117" s="17">
        <v>114</v>
      </c>
      <c r="AZ117" s="17"/>
      <c r="BA117" s="17"/>
      <c r="BB117" s="17"/>
      <c r="BC117" s="17"/>
      <c r="BD117" t="str">
        <f t="shared" si="12"/>
        <v>FIN_D02</v>
      </c>
    </row>
    <row r="118" spans="2:56">
      <c r="B118" s="20">
        <v>114</v>
      </c>
      <c r="C118" s="20" t="s">
        <v>309</v>
      </c>
      <c r="AK118">
        <v>115</v>
      </c>
      <c r="AL118">
        <v>294</v>
      </c>
      <c r="AM118">
        <v>0</v>
      </c>
      <c r="AN118" t="str">
        <v>شاندرا باهداور بالمي</v>
      </c>
      <c r="AO118" t="str">
        <v>Chandra Bhadwar Balmi</v>
      </c>
      <c r="AP118" t="str">
        <v>CON_D03</v>
      </c>
      <c r="AR118" s="17">
        <v>115</v>
      </c>
      <c r="AS118" s="17">
        <v>294</v>
      </c>
      <c r="AU118" s="17" t="s">
        <v>311</v>
      </c>
      <c r="AV118" s="23" t="s">
        <v>558</v>
      </c>
      <c r="AW118" s="17" t="str">
        <f t="shared" si="11"/>
        <v>CON_D03</v>
      </c>
      <c r="AY118" s="17">
        <v>115</v>
      </c>
      <c r="AZ118" s="17"/>
      <c r="BA118" s="17"/>
      <c r="BB118" s="17"/>
      <c r="BC118" s="17"/>
      <c r="BD118" t="str">
        <f t="shared" si="12"/>
        <v>FIN_D02</v>
      </c>
    </row>
    <row r="119" spans="2:56">
      <c r="B119" s="20">
        <v>115</v>
      </c>
      <c r="C119" s="20">
        <v>294</v>
      </c>
      <c r="AK119">
        <v>116</v>
      </c>
      <c r="AL119" t="str">
        <v>O296</v>
      </c>
      <c r="AM119">
        <v>0</v>
      </c>
      <c r="AN119" t="str">
        <v>جمشيد انصاري</v>
      </c>
      <c r="AO119" t="str">
        <v>Jamsheed Ansari</v>
      </c>
      <c r="AP119" t="str">
        <v>CON_D03</v>
      </c>
      <c r="AR119" s="17">
        <v>116</v>
      </c>
      <c r="AS119" s="17" t="s">
        <v>312</v>
      </c>
      <c r="AU119" s="17" t="s">
        <v>313</v>
      </c>
      <c r="AV119" s="23" t="s">
        <v>559</v>
      </c>
      <c r="AW119" s="17" t="str">
        <f t="shared" si="11"/>
        <v>CON_D03</v>
      </c>
      <c r="AY119" s="17">
        <v>116</v>
      </c>
      <c r="AZ119" s="17"/>
      <c r="BA119" s="17"/>
      <c r="BB119" s="17"/>
      <c r="BC119" s="17"/>
      <c r="BD119" t="str">
        <f t="shared" si="12"/>
        <v>FIN_D02</v>
      </c>
    </row>
    <row r="120" spans="2:56">
      <c r="B120" s="20">
        <v>116</v>
      </c>
      <c r="C120" s="20" t="s">
        <v>312</v>
      </c>
      <c r="AK120">
        <v>117</v>
      </c>
      <c r="AL120" t="str">
        <v>O295</v>
      </c>
      <c r="AM120">
        <v>0</v>
      </c>
      <c r="AN120" t="str">
        <v>محمد سيومن</v>
      </c>
      <c r="AO120" t="str">
        <v>Mohammed Sioumen</v>
      </c>
      <c r="AP120" t="str">
        <v>CON_D03</v>
      </c>
      <c r="AR120" s="17">
        <v>117</v>
      </c>
      <c r="AS120" s="17" t="s">
        <v>314</v>
      </c>
      <c r="AU120" s="17" t="s">
        <v>315</v>
      </c>
      <c r="AV120" s="23" t="s">
        <v>560</v>
      </c>
      <c r="AW120" s="17" t="str">
        <f t="shared" si="11"/>
        <v>CON_D03</v>
      </c>
      <c r="AY120" s="17">
        <v>117</v>
      </c>
      <c r="AZ120" s="17"/>
      <c r="BA120" s="17"/>
      <c r="BB120" s="17"/>
      <c r="BC120" s="17"/>
      <c r="BD120" t="str">
        <f t="shared" si="12"/>
        <v>FIN_D02</v>
      </c>
    </row>
    <row r="121" spans="2:56">
      <c r="B121" s="20">
        <v>117</v>
      </c>
      <c r="C121" s="20" t="s">
        <v>314</v>
      </c>
      <c r="AK121">
        <v>118</v>
      </c>
      <c r="AL121" t="str">
        <v>O299</v>
      </c>
      <c r="AM121">
        <v>0</v>
      </c>
      <c r="AN121" t="str">
        <v>محمد عشيق الرحمن</v>
      </c>
      <c r="AO121" t="str">
        <v>Muhammad Ashiq Al-Rahman</v>
      </c>
      <c r="AP121" t="str">
        <v>CON_D03</v>
      </c>
      <c r="AR121" s="17">
        <v>118</v>
      </c>
      <c r="AS121" s="17" t="s">
        <v>316</v>
      </c>
      <c r="AU121" s="17" t="s">
        <v>317</v>
      </c>
      <c r="AV121" s="23" t="s">
        <v>561</v>
      </c>
      <c r="AW121" s="17" t="str">
        <f t="shared" si="11"/>
        <v>CON_D03</v>
      </c>
      <c r="AY121" s="17">
        <v>118</v>
      </c>
      <c r="AZ121" s="17"/>
      <c r="BA121" s="17"/>
      <c r="BB121" s="17"/>
      <c r="BC121" s="17"/>
      <c r="BD121" t="str">
        <f t="shared" si="12"/>
        <v>FIN_D02</v>
      </c>
    </row>
    <row r="122" spans="2:56">
      <c r="B122" s="20">
        <v>118</v>
      </c>
      <c r="C122" s="20" t="s">
        <v>316</v>
      </c>
      <c r="AK122">
        <v>119</v>
      </c>
      <c r="AL122">
        <v>491</v>
      </c>
      <c r="AM122">
        <v>0</v>
      </c>
      <c r="AN122" t="str">
        <v xml:space="preserve">سيراج مياه </v>
      </c>
      <c r="AO122" t="str">
        <v>Siraj water</v>
      </c>
      <c r="AP122" t="str">
        <v>CON_D03</v>
      </c>
      <c r="AR122" s="17">
        <v>119</v>
      </c>
      <c r="AS122" s="17">
        <v>491</v>
      </c>
      <c r="AU122" s="17" t="s">
        <v>318</v>
      </c>
      <c r="AV122" s="54" t="s">
        <v>562</v>
      </c>
      <c r="AW122" s="17" t="str">
        <f t="shared" si="11"/>
        <v>CON_D03</v>
      </c>
      <c r="AY122" s="17">
        <v>119</v>
      </c>
      <c r="AZ122" s="17"/>
      <c r="BA122" s="17"/>
      <c r="BB122" s="17"/>
      <c r="BC122" s="17"/>
      <c r="BD122" t="str">
        <f t="shared" si="12"/>
        <v>FIN_D02</v>
      </c>
    </row>
    <row r="123" spans="2:56">
      <c r="B123" s="20">
        <v>119</v>
      </c>
      <c r="C123" s="20">
        <v>491</v>
      </c>
      <c r="AK123">
        <v>120</v>
      </c>
      <c r="AL123">
        <v>139</v>
      </c>
      <c r="AM123">
        <v>0</v>
      </c>
      <c r="AN123" t="str">
        <v>ﺷﻬﺎﻡ ﻣﺎﻫﺎﺭﺍ</v>
      </c>
      <c r="AO123" t="str">
        <v>Sheham Mahara</v>
      </c>
      <c r="AP123" t="str">
        <v>CON_D03</v>
      </c>
      <c r="AR123" s="17">
        <v>120</v>
      </c>
      <c r="AS123" s="17">
        <v>139</v>
      </c>
      <c r="AU123" s="17" t="s">
        <v>319</v>
      </c>
      <c r="AV123" s="23" t="s">
        <v>563</v>
      </c>
      <c r="AW123" s="17" t="str">
        <f t="shared" si="11"/>
        <v>CON_D03</v>
      </c>
      <c r="AY123" s="17">
        <v>120</v>
      </c>
      <c r="AZ123" s="17"/>
      <c r="BA123" s="17"/>
      <c r="BB123" s="17"/>
      <c r="BC123" s="17"/>
      <c r="BD123" t="str">
        <f t="shared" si="12"/>
        <v>FIN_D02</v>
      </c>
    </row>
    <row r="124" spans="2:56">
      <c r="B124" s="20">
        <v>120</v>
      </c>
      <c r="C124" s="20">
        <v>139</v>
      </c>
      <c r="AK124">
        <v>121</v>
      </c>
      <c r="AL124">
        <v>241</v>
      </c>
      <c r="AM124">
        <v>0</v>
      </c>
      <c r="AN124" t="str">
        <v>ﺑﺴﻴﺮ ﻣﻴﻪ</v>
      </c>
      <c r="AO124" t="str">
        <v>Basir Miyah</v>
      </c>
      <c r="AP124" t="str">
        <v>CON_D03</v>
      </c>
      <c r="AR124" s="17">
        <v>121</v>
      </c>
      <c r="AS124" s="17">
        <v>241</v>
      </c>
      <c r="AU124" s="17" t="s">
        <v>320</v>
      </c>
      <c r="AV124" s="54" t="s">
        <v>564</v>
      </c>
      <c r="AW124" s="17" t="str">
        <f t="shared" si="11"/>
        <v>CON_D03</v>
      </c>
      <c r="AY124" s="17">
        <v>121</v>
      </c>
      <c r="AZ124" s="17"/>
      <c r="BA124" s="17"/>
      <c r="BB124" s="17"/>
      <c r="BC124" s="17"/>
      <c r="BD124" t="str">
        <f t="shared" si="12"/>
        <v>FIN_D02</v>
      </c>
    </row>
    <row r="125" spans="2:56">
      <c r="B125" s="20">
        <v>121</v>
      </c>
      <c r="C125" s="20">
        <v>241</v>
      </c>
      <c r="AK125">
        <v>122</v>
      </c>
      <c r="AL125">
        <v>335</v>
      </c>
      <c r="AM125">
        <v>0</v>
      </c>
      <c r="AN125" t="str">
        <v xml:space="preserve">ديلايب موكهيا </v>
      </c>
      <c r="AO125" t="str">
        <v>Delayeb Mokhia</v>
      </c>
      <c r="AP125" t="str">
        <v>CON_D03</v>
      </c>
      <c r="AR125" s="17">
        <v>122</v>
      </c>
      <c r="AS125" s="17">
        <v>335</v>
      </c>
      <c r="AU125" s="17" t="s">
        <v>321</v>
      </c>
      <c r="AV125" s="54" t="s">
        <v>565</v>
      </c>
      <c r="AW125" s="17" t="str">
        <f t="shared" si="11"/>
        <v>CON_D03</v>
      </c>
      <c r="AY125" s="17">
        <v>122</v>
      </c>
      <c r="AZ125" s="17"/>
      <c r="BA125" s="17"/>
      <c r="BB125" s="17"/>
      <c r="BC125" s="17"/>
      <c r="BD125" t="str">
        <f t="shared" si="12"/>
        <v>FIN_D02</v>
      </c>
    </row>
    <row r="126" spans="2:56">
      <c r="B126" s="20">
        <v>122</v>
      </c>
      <c r="C126" s="20">
        <v>335</v>
      </c>
      <c r="AK126">
        <v>123</v>
      </c>
      <c r="AL126" t="str">
        <v>O319</v>
      </c>
      <c r="AM126">
        <v>0</v>
      </c>
      <c r="AN126" t="str">
        <v>صدام انصاري</v>
      </c>
      <c r="AO126" t="str">
        <v>Saddam Ansari</v>
      </c>
      <c r="AP126" t="str">
        <v>CON_D03</v>
      </c>
      <c r="AR126" s="17">
        <v>123</v>
      </c>
      <c r="AS126" s="17" t="s">
        <v>322</v>
      </c>
      <c r="AU126" s="17" t="s">
        <v>323</v>
      </c>
      <c r="AV126" s="54" t="s">
        <v>566</v>
      </c>
      <c r="AW126" s="17" t="str">
        <f t="shared" si="11"/>
        <v>CON_D03</v>
      </c>
      <c r="AY126" s="17">
        <v>123</v>
      </c>
      <c r="AZ126" s="17"/>
      <c r="BA126" s="17"/>
      <c r="BB126" s="17"/>
      <c r="BC126" s="17"/>
      <c r="BD126" t="str">
        <f t="shared" si="12"/>
        <v>FIN_D02</v>
      </c>
    </row>
    <row r="127" spans="2:56">
      <c r="B127" s="20">
        <v>123</v>
      </c>
      <c r="C127" s="20" t="s">
        <v>322</v>
      </c>
      <c r="AK127">
        <v>124</v>
      </c>
      <c r="AL127" t="str">
        <v>O320</v>
      </c>
      <c r="AM127">
        <v>0</v>
      </c>
      <c r="AN127" t="str">
        <v>امام الدين مسلمان</v>
      </c>
      <c r="AO127" t="str">
        <v>Imam al-Din Muslim</v>
      </c>
      <c r="AP127" t="str">
        <v>CON_D03</v>
      </c>
      <c r="AR127" s="17">
        <v>124</v>
      </c>
      <c r="AS127" s="17" t="s">
        <v>324</v>
      </c>
      <c r="AU127" s="17" t="s">
        <v>325</v>
      </c>
      <c r="AV127" s="23" t="s">
        <v>567</v>
      </c>
      <c r="AW127" s="17" t="str">
        <f t="shared" si="11"/>
        <v>CON_D03</v>
      </c>
      <c r="AY127" s="17">
        <v>124</v>
      </c>
      <c r="AZ127" s="17"/>
      <c r="BA127" s="17"/>
      <c r="BB127" s="17"/>
      <c r="BC127" s="17"/>
      <c r="BD127" t="str">
        <f t="shared" si="12"/>
        <v>FIN_D02</v>
      </c>
    </row>
    <row r="128" spans="2:56">
      <c r="B128" s="20">
        <v>124</v>
      </c>
      <c r="C128" s="20" t="s">
        <v>324</v>
      </c>
      <c r="AK128">
        <v>125</v>
      </c>
      <c r="AL128" t="str">
        <v>O323</v>
      </c>
      <c r="AM128">
        <v>0</v>
      </c>
      <c r="AN128" t="str">
        <v>حامد ماه صافي</v>
      </c>
      <c r="AO128" t="str">
        <v>Hamed Mah Safi</v>
      </c>
      <c r="AP128" t="str">
        <v>CON_D03</v>
      </c>
      <c r="AR128" s="17">
        <v>125</v>
      </c>
      <c r="AS128" s="17" t="s">
        <v>326</v>
      </c>
      <c r="AU128" s="17" t="s">
        <v>327</v>
      </c>
      <c r="AV128" s="23" t="s">
        <v>568</v>
      </c>
      <c r="AW128" s="17" t="str">
        <f t="shared" si="11"/>
        <v>CON_D03</v>
      </c>
      <c r="AY128" s="17">
        <v>125</v>
      </c>
      <c r="AZ128" s="17"/>
      <c r="BA128" s="17"/>
      <c r="BB128" s="17"/>
      <c r="BC128" s="17"/>
      <c r="BD128" t="str">
        <f t="shared" si="12"/>
        <v>FIN_D02</v>
      </c>
    </row>
    <row r="129" spans="2:56">
      <c r="B129" s="20">
        <v>125</v>
      </c>
      <c r="C129" s="20" t="s">
        <v>326</v>
      </c>
      <c r="AK129">
        <v>126</v>
      </c>
      <c r="AL129" t="str">
        <v>O324</v>
      </c>
      <c r="AM129">
        <v>0</v>
      </c>
      <c r="AN129" t="str">
        <v>بوتوشو جندي إبراهيم</v>
      </c>
      <c r="AO129" t="str">
        <v>Butushu Jundi Ibrahim</v>
      </c>
      <c r="AP129" t="str">
        <v>CON_D03</v>
      </c>
      <c r="AR129" s="17">
        <v>126</v>
      </c>
      <c r="AS129" s="17" t="s">
        <v>328</v>
      </c>
      <c r="AU129" s="17" t="s">
        <v>329</v>
      </c>
      <c r="AV129" s="23" t="s">
        <v>569</v>
      </c>
      <c r="AW129" s="17" t="str">
        <f t="shared" si="11"/>
        <v>CON_D03</v>
      </c>
      <c r="AY129" s="17">
        <v>126</v>
      </c>
      <c r="AZ129" s="17"/>
      <c r="BA129" s="17"/>
      <c r="BB129" s="17"/>
      <c r="BC129" s="17"/>
      <c r="BD129" t="str">
        <f t="shared" si="12"/>
        <v>FIN_D02</v>
      </c>
    </row>
    <row r="130" spans="2:56">
      <c r="B130" s="20">
        <v>126</v>
      </c>
      <c r="C130" s="20" t="s">
        <v>328</v>
      </c>
      <c r="AK130">
        <v>127</v>
      </c>
      <c r="AL130" t="str">
        <v>O325</v>
      </c>
      <c r="AM130">
        <v>0</v>
      </c>
      <c r="AN130" t="str">
        <v>فامي يونوص يوسوف</v>
      </c>
      <c r="AO130" t="str">
        <v>Fami Yunus Yusuf</v>
      </c>
      <c r="AP130" t="str">
        <v>CON_D03</v>
      </c>
      <c r="AR130" s="17">
        <v>127</v>
      </c>
      <c r="AS130" s="17" t="s">
        <v>330</v>
      </c>
      <c r="AU130" s="17" t="s">
        <v>331</v>
      </c>
      <c r="AV130" s="23" t="s">
        <v>570</v>
      </c>
      <c r="AW130" s="17" t="str">
        <f t="shared" si="11"/>
        <v>CON_D03</v>
      </c>
      <c r="AY130" s="17">
        <v>127</v>
      </c>
      <c r="AZ130" s="17"/>
      <c r="BA130" s="17"/>
      <c r="BB130" s="17"/>
      <c r="BC130" s="17"/>
      <c r="BD130" t="str">
        <f t="shared" si="12"/>
        <v>FIN_D02</v>
      </c>
    </row>
    <row r="131" spans="2:56">
      <c r="B131" s="20">
        <v>127</v>
      </c>
      <c r="C131" s="20" t="s">
        <v>330</v>
      </c>
      <c r="AK131">
        <v>128</v>
      </c>
      <c r="AL131" t="str">
        <v>O326</v>
      </c>
      <c r="AM131">
        <v>0</v>
      </c>
      <c r="AN131" t="str">
        <v>دين سراج محمد</v>
      </c>
      <c r="AO131" t="str">
        <v>Din Siraj Muhammad</v>
      </c>
      <c r="AP131" t="str">
        <v>CON_D03</v>
      </c>
      <c r="AR131" s="17">
        <v>128</v>
      </c>
      <c r="AS131" s="17" t="s">
        <v>332</v>
      </c>
      <c r="AU131" s="17" t="s">
        <v>333</v>
      </c>
      <c r="AV131" s="23" t="s">
        <v>571</v>
      </c>
      <c r="AW131" s="17" t="str">
        <f t="shared" si="11"/>
        <v>CON_D03</v>
      </c>
      <c r="AY131" s="17">
        <v>128</v>
      </c>
      <c r="AZ131" s="17"/>
      <c r="BA131" s="17"/>
      <c r="BB131" s="17"/>
      <c r="BC131" s="17"/>
      <c r="BD131" t="str">
        <f t="shared" si="12"/>
        <v>FIN_D02</v>
      </c>
    </row>
    <row r="132" spans="2:56">
      <c r="B132" s="20">
        <v>128</v>
      </c>
      <c r="C132" s="20" t="s">
        <v>332</v>
      </c>
      <c r="AK132">
        <v>129</v>
      </c>
      <c r="AL132" t="str">
        <v>O327</v>
      </c>
      <c r="AM132">
        <v>0</v>
      </c>
      <c r="AN132" t="str">
        <v>ناصر الدين ناصر محمد</v>
      </c>
      <c r="AO132" t="str">
        <v>Nasser al-Din Nasser Muhammad</v>
      </c>
      <c r="AP132" t="str">
        <v>CON_D03</v>
      </c>
      <c r="AR132" s="17">
        <v>129</v>
      </c>
      <c r="AS132" s="17" t="s">
        <v>334</v>
      </c>
      <c r="AU132" s="17" t="s">
        <v>335</v>
      </c>
      <c r="AV132" s="23" t="s">
        <v>572</v>
      </c>
      <c r="AW132" s="17" t="str">
        <f t="shared" ref="AW132:AW138" si="13">$AV$2</f>
        <v>CON_D03</v>
      </c>
      <c r="AY132" s="17">
        <v>129</v>
      </c>
      <c r="AZ132" s="17"/>
      <c r="BA132" s="17"/>
      <c r="BB132" s="17"/>
      <c r="BC132" s="17"/>
      <c r="BD132" t="str">
        <f t="shared" ref="BD132:BD138" si="14">$BC$2</f>
        <v>FIN_D02</v>
      </c>
    </row>
    <row r="133" spans="2:56">
      <c r="B133" s="20">
        <v>129</v>
      </c>
      <c r="C133" s="20" t="s">
        <v>334</v>
      </c>
      <c r="AK133">
        <v>130</v>
      </c>
      <c r="AL133" t="str">
        <v>O328</v>
      </c>
      <c r="AM133">
        <v>0</v>
      </c>
      <c r="AN133" t="str">
        <v>محمد جمال محمد</v>
      </c>
      <c r="AO133" t="str">
        <v>Mohamed Gamal Mohamed</v>
      </c>
      <c r="AP133" t="str">
        <v>CON_D03</v>
      </c>
      <c r="AR133" s="17">
        <v>130</v>
      </c>
      <c r="AS133" s="17" t="s">
        <v>336</v>
      </c>
      <c r="AU133" s="17" t="s">
        <v>337</v>
      </c>
      <c r="AV133" s="23" t="s">
        <v>573</v>
      </c>
      <c r="AW133" s="17" t="str">
        <f t="shared" si="13"/>
        <v>CON_D03</v>
      </c>
      <c r="AY133" s="17">
        <v>130</v>
      </c>
      <c r="AZ133" s="17"/>
      <c r="BA133" s="17"/>
      <c r="BB133" s="17"/>
      <c r="BC133" s="17"/>
      <c r="BD133" t="str">
        <f t="shared" si="14"/>
        <v>FIN_D02</v>
      </c>
    </row>
    <row r="134" spans="2:56">
      <c r="B134" s="20">
        <v>130</v>
      </c>
      <c r="C134" s="20" t="s">
        <v>336</v>
      </c>
      <c r="AK134">
        <v>131</v>
      </c>
      <c r="AL134" t="str">
        <v>O329</v>
      </c>
      <c r="AM134">
        <v>0</v>
      </c>
      <c r="AN134" t="str">
        <v>عمر مصباح عمر</v>
      </c>
      <c r="AO134" t="str">
        <v>Omar Misbah Omar</v>
      </c>
      <c r="AP134" t="str">
        <v>CON_D03</v>
      </c>
      <c r="AR134" s="17">
        <v>131</v>
      </c>
      <c r="AS134" s="17" t="s">
        <v>338</v>
      </c>
      <c r="AU134" s="17" t="s">
        <v>339</v>
      </c>
      <c r="AV134" s="23" t="s">
        <v>574</v>
      </c>
      <c r="AW134" s="17" t="str">
        <f t="shared" si="13"/>
        <v>CON_D03</v>
      </c>
      <c r="AY134" s="17">
        <v>131</v>
      </c>
      <c r="AZ134" s="17"/>
      <c r="BA134" s="17"/>
      <c r="BB134" s="17"/>
      <c r="BC134" s="17"/>
      <c r="BD134" t="str">
        <f t="shared" si="14"/>
        <v>FIN_D02</v>
      </c>
    </row>
    <row r="135" spans="2:56">
      <c r="B135" s="20">
        <v>131</v>
      </c>
      <c r="C135" s="20" t="s">
        <v>338</v>
      </c>
      <c r="AK135">
        <v>132</v>
      </c>
      <c r="AL135" t="str">
        <v>O330</v>
      </c>
      <c r="AM135">
        <v>0</v>
      </c>
      <c r="AN135" t="str">
        <v>ناصر شمس الدين سولو</v>
      </c>
      <c r="AO135" t="str">
        <v>Nasser Shams El-Din Solo</v>
      </c>
      <c r="AP135" t="str">
        <v>CON_D03</v>
      </c>
      <c r="AR135" s="17">
        <v>132</v>
      </c>
      <c r="AS135" s="17" t="s">
        <v>340</v>
      </c>
      <c r="AU135" s="17" t="s">
        <v>341</v>
      </c>
      <c r="AV135" s="23" t="s">
        <v>575</v>
      </c>
      <c r="AW135" s="17" t="str">
        <f t="shared" si="13"/>
        <v>CON_D03</v>
      </c>
      <c r="AY135" s="17">
        <v>132</v>
      </c>
      <c r="AZ135" s="17"/>
      <c r="BA135" s="17"/>
      <c r="BB135" s="17"/>
      <c r="BC135" s="17"/>
      <c r="BD135" t="str">
        <f t="shared" si="14"/>
        <v>FIN_D02</v>
      </c>
    </row>
    <row r="136" spans="2:56">
      <c r="B136" s="20">
        <v>132</v>
      </c>
      <c r="C136" s="20" t="s">
        <v>340</v>
      </c>
      <c r="AK136">
        <v>133</v>
      </c>
      <c r="AL136">
        <v>495</v>
      </c>
      <c r="AM136">
        <v>0</v>
      </c>
      <c r="AN136" t="str">
        <v xml:space="preserve">شك بدري الم </v>
      </c>
      <c r="AO136" t="str">
        <v>Badri doubted the</v>
      </c>
      <c r="AP136" t="str">
        <v>CON_D03</v>
      </c>
      <c r="AR136" s="17">
        <v>133</v>
      </c>
      <c r="AS136" s="17">
        <v>495</v>
      </c>
      <c r="AU136" s="17" t="s">
        <v>342</v>
      </c>
      <c r="AV136" s="23" t="s">
        <v>576</v>
      </c>
      <c r="AW136" s="17" t="str">
        <f t="shared" si="13"/>
        <v>CON_D03</v>
      </c>
      <c r="AY136" s="17">
        <v>133</v>
      </c>
      <c r="AZ136" s="17"/>
      <c r="BA136" s="17"/>
      <c r="BB136" s="17"/>
      <c r="BC136" s="17"/>
      <c r="BD136" t="str">
        <f t="shared" si="14"/>
        <v>FIN_D02</v>
      </c>
    </row>
    <row r="137" spans="2:56">
      <c r="B137" s="20">
        <v>133</v>
      </c>
      <c r="C137" s="20">
        <v>495</v>
      </c>
      <c r="AK137">
        <v>134</v>
      </c>
      <c r="AL137" t="str">
        <v>o338</v>
      </c>
      <c r="AM137">
        <v>0</v>
      </c>
      <c r="AN137" t="str">
        <v>ارشاد انصاري</v>
      </c>
      <c r="AO137" t="str">
        <v>Irshad Ansari</v>
      </c>
      <c r="AP137" t="str">
        <v>CON_D03</v>
      </c>
      <c r="AR137" s="17">
        <v>134</v>
      </c>
      <c r="AS137" s="17" t="s">
        <v>343</v>
      </c>
      <c r="AU137" s="17" t="s">
        <v>238</v>
      </c>
      <c r="AV137" s="54" t="s">
        <v>507</v>
      </c>
      <c r="AW137" s="17" t="str">
        <f t="shared" si="13"/>
        <v>CON_D03</v>
      </c>
      <c r="AY137" s="17">
        <v>134</v>
      </c>
      <c r="AZ137" s="17"/>
      <c r="BA137" s="17"/>
      <c r="BB137" s="17"/>
      <c r="BC137" s="17"/>
      <c r="BD137" t="str">
        <f t="shared" si="14"/>
        <v>FIN_D02</v>
      </c>
    </row>
    <row r="138" spans="2:56">
      <c r="B138" s="20">
        <v>134</v>
      </c>
      <c r="C138" s="20" t="s">
        <v>343</v>
      </c>
      <c r="AK138">
        <v>135</v>
      </c>
      <c r="AL138" t="str">
        <v>o339</v>
      </c>
      <c r="AM138">
        <v>0</v>
      </c>
      <c r="AN138" t="str">
        <v xml:space="preserve">رقيب ميزباو قادري </v>
      </c>
      <c r="AO138" t="str">
        <v>Sergeant Mizbaw Qadri</v>
      </c>
      <c r="AP138" t="str">
        <v>CON_D03</v>
      </c>
      <c r="AR138" s="17">
        <v>135</v>
      </c>
      <c r="AS138" s="17" t="s">
        <v>344</v>
      </c>
      <c r="AU138" s="17" t="s">
        <v>345</v>
      </c>
      <c r="AV138" s="23" t="s">
        <v>577</v>
      </c>
      <c r="AW138" s="17" t="str">
        <f t="shared" si="13"/>
        <v>CON_D03</v>
      </c>
      <c r="AY138" s="17">
        <v>135</v>
      </c>
      <c r="AZ138" s="17"/>
      <c r="BA138" s="17"/>
      <c r="BB138" s="17"/>
      <c r="BC138" s="17"/>
      <c r="BD138" t="str">
        <f t="shared" si="14"/>
        <v>FIN_D02</v>
      </c>
    </row>
    <row r="139" spans="2:56">
      <c r="B139" s="20">
        <v>135</v>
      </c>
      <c r="C139" s="20" t="s">
        <v>344</v>
      </c>
      <c r="AK139">
        <v>0</v>
      </c>
      <c r="AL139">
        <v>1234</v>
      </c>
      <c r="AM139">
        <v>0</v>
      </c>
      <c r="AN139">
        <v>0</v>
      </c>
      <c r="AO139">
        <v>0</v>
      </c>
      <c r="AP139" t="str">
        <v>CON_D03</v>
      </c>
      <c r="AS139" s="17">
        <v>1234</v>
      </c>
      <c r="AW139" s="17" t="str">
        <f t="shared" ref="AW139:AW153" si="15">$AV$2</f>
        <v>CON_D03</v>
      </c>
    </row>
    <row r="140" spans="2:56">
      <c r="B140" s="20">
        <v>136</v>
      </c>
      <c r="C140" s="20">
        <v>243</v>
      </c>
      <c r="AK140">
        <v>0</v>
      </c>
      <c r="AL140">
        <v>0</v>
      </c>
      <c r="AM140">
        <v>0</v>
      </c>
      <c r="AN140">
        <v>0</v>
      </c>
      <c r="AO140">
        <v>0</v>
      </c>
      <c r="AP140" t="str">
        <v>CON_D03</v>
      </c>
      <c r="AW140" s="17" t="str">
        <f t="shared" si="15"/>
        <v>CON_D03</v>
      </c>
    </row>
    <row r="141" spans="2:56">
      <c r="B141" s="20">
        <v>137</v>
      </c>
      <c r="C141" s="20">
        <v>389</v>
      </c>
      <c r="AK141">
        <v>0</v>
      </c>
      <c r="AL141">
        <v>0</v>
      </c>
      <c r="AM141">
        <v>0</v>
      </c>
      <c r="AN141">
        <v>0</v>
      </c>
      <c r="AO141">
        <v>0</v>
      </c>
      <c r="AP141" t="str">
        <v>CON_D03</v>
      </c>
      <c r="AW141" s="17" t="str">
        <f t="shared" si="15"/>
        <v>CON_D03</v>
      </c>
    </row>
    <row r="142" spans="2:56">
      <c r="B142" s="20">
        <v>138</v>
      </c>
      <c r="C142" s="20">
        <v>411</v>
      </c>
      <c r="AK142">
        <v>0</v>
      </c>
      <c r="AL142">
        <v>0</v>
      </c>
      <c r="AM142">
        <v>0</v>
      </c>
      <c r="AN142">
        <v>0</v>
      </c>
      <c r="AO142">
        <v>0</v>
      </c>
      <c r="AP142" t="str">
        <v>CON_D03</v>
      </c>
      <c r="AW142" s="17" t="str">
        <f t="shared" si="15"/>
        <v>CON_D03</v>
      </c>
    </row>
    <row r="143" spans="2:56">
      <c r="B143" s="20">
        <v>139</v>
      </c>
      <c r="C143" s="20">
        <v>448</v>
      </c>
      <c r="AK143">
        <v>0</v>
      </c>
      <c r="AL143">
        <v>0</v>
      </c>
      <c r="AM143">
        <v>0</v>
      </c>
      <c r="AN143">
        <v>0</v>
      </c>
      <c r="AO143">
        <v>0</v>
      </c>
      <c r="AP143" t="str">
        <v>CON_D03</v>
      </c>
      <c r="AW143" s="17" t="str">
        <f t="shared" si="15"/>
        <v>CON_D03</v>
      </c>
    </row>
    <row r="144" spans="2:56">
      <c r="B144" s="20">
        <v>140</v>
      </c>
      <c r="C144" s="20">
        <v>496</v>
      </c>
      <c r="AK144">
        <v>0</v>
      </c>
      <c r="AL144">
        <v>0</v>
      </c>
      <c r="AM144">
        <v>0</v>
      </c>
      <c r="AN144">
        <v>0</v>
      </c>
      <c r="AO144">
        <v>0</v>
      </c>
      <c r="AP144" t="str">
        <v>CON_D03</v>
      </c>
      <c r="AW144" s="17" t="str">
        <f t="shared" si="15"/>
        <v>CON_D03</v>
      </c>
    </row>
    <row r="145" spans="2:49">
      <c r="B145" s="20">
        <v>141</v>
      </c>
      <c r="C145" s="20">
        <v>247</v>
      </c>
      <c r="AK145">
        <v>0</v>
      </c>
      <c r="AL145">
        <v>0</v>
      </c>
      <c r="AM145">
        <v>0</v>
      </c>
      <c r="AN145">
        <v>0</v>
      </c>
      <c r="AO145">
        <v>0</v>
      </c>
      <c r="AP145" t="str">
        <v>CON_D03</v>
      </c>
      <c r="AW145" s="17" t="str">
        <f t="shared" si="15"/>
        <v>CON_D03</v>
      </c>
    </row>
    <row r="146" spans="2:49">
      <c r="B146" s="20">
        <v>142</v>
      </c>
      <c r="C146" s="20" t="s">
        <v>105</v>
      </c>
      <c r="AK146">
        <v>0</v>
      </c>
      <c r="AL146">
        <v>0</v>
      </c>
      <c r="AM146">
        <v>0</v>
      </c>
      <c r="AN146">
        <v>0</v>
      </c>
      <c r="AO146">
        <v>0</v>
      </c>
      <c r="AP146" t="str">
        <v>CON_D03</v>
      </c>
      <c r="AW146" s="17" t="str">
        <f t="shared" si="15"/>
        <v>CON_D03</v>
      </c>
    </row>
    <row r="147" spans="2:49">
      <c r="B147" s="20">
        <v>143</v>
      </c>
      <c r="C147" s="20" t="s">
        <v>106</v>
      </c>
      <c r="AK147">
        <v>0</v>
      </c>
      <c r="AL147">
        <v>0</v>
      </c>
      <c r="AM147">
        <v>0</v>
      </c>
      <c r="AN147">
        <v>0</v>
      </c>
      <c r="AO147">
        <v>0</v>
      </c>
      <c r="AP147" t="str">
        <v>CON_D03</v>
      </c>
      <c r="AW147" s="17" t="str">
        <f t="shared" si="15"/>
        <v>CON_D03</v>
      </c>
    </row>
    <row r="148" spans="2:49">
      <c r="B148" s="20">
        <v>144</v>
      </c>
      <c r="C148" s="20" t="s">
        <v>107</v>
      </c>
      <c r="AK148">
        <v>0</v>
      </c>
      <c r="AL148">
        <v>0</v>
      </c>
      <c r="AM148">
        <v>0</v>
      </c>
      <c r="AN148">
        <v>0</v>
      </c>
      <c r="AO148">
        <v>0</v>
      </c>
      <c r="AP148" t="str">
        <v>CON_D03</v>
      </c>
      <c r="AW148" s="17" t="str">
        <f t="shared" si="15"/>
        <v>CON_D03</v>
      </c>
    </row>
    <row r="149" spans="2:49">
      <c r="B149" s="20">
        <v>145</v>
      </c>
      <c r="C149" s="20" t="s">
        <v>109</v>
      </c>
      <c r="AK149">
        <v>0</v>
      </c>
      <c r="AL149">
        <v>0</v>
      </c>
      <c r="AM149">
        <v>0</v>
      </c>
      <c r="AN149">
        <v>0</v>
      </c>
      <c r="AO149">
        <v>0</v>
      </c>
      <c r="AP149" t="str">
        <v>CON_D03</v>
      </c>
      <c r="AW149" s="17" t="str">
        <f t="shared" si="15"/>
        <v>CON_D03</v>
      </c>
    </row>
    <row r="150" spans="2:49">
      <c r="B150" s="20">
        <v>146</v>
      </c>
      <c r="C150" s="20" t="s">
        <v>108</v>
      </c>
      <c r="AK150">
        <v>0</v>
      </c>
      <c r="AL150">
        <v>0</v>
      </c>
      <c r="AM150">
        <v>0</v>
      </c>
      <c r="AN150">
        <v>0</v>
      </c>
      <c r="AO150">
        <v>0</v>
      </c>
      <c r="AP150" t="str">
        <v>CON_D03</v>
      </c>
      <c r="AW150" s="17" t="str">
        <f t="shared" si="15"/>
        <v>CON_D03</v>
      </c>
    </row>
    <row r="151" spans="2:49">
      <c r="B151" s="20">
        <v>147</v>
      </c>
      <c r="C151" s="20" t="s">
        <v>110</v>
      </c>
      <c r="AK151">
        <v>0</v>
      </c>
      <c r="AL151">
        <v>0</v>
      </c>
      <c r="AM151">
        <v>0</v>
      </c>
      <c r="AN151">
        <v>0</v>
      </c>
      <c r="AO151">
        <v>0</v>
      </c>
      <c r="AP151" t="str">
        <v>CON_D03</v>
      </c>
      <c r="AW151" s="17" t="str">
        <f t="shared" si="15"/>
        <v>CON_D03</v>
      </c>
    </row>
    <row r="152" spans="2:49">
      <c r="B152" s="20">
        <v>148</v>
      </c>
      <c r="C152" s="20" t="s">
        <v>111</v>
      </c>
      <c r="AK152">
        <v>0</v>
      </c>
      <c r="AL152">
        <v>0</v>
      </c>
      <c r="AM152">
        <v>0</v>
      </c>
      <c r="AN152">
        <v>0</v>
      </c>
      <c r="AO152">
        <v>0</v>
      </c>
      <c r="AP152" t="str">
        <v>CON_D03</v>
      </c>
      <c r="AW152" s="17" t="str">
        <f t="shared" si="15"/>
        <v>CON_D03</v>
      </c>
    </row>
    <row r="153" spans="2:49">
      <c r="B153" s="20">
        <v>149</v>
      </c>
      <c r="C153" s="20" t="s">
        <v>112</v>
      </c>
      <c r="AK153">
        <v>0</v>
      </c>
      <c r="AL153">
        <v>0</v>
      </c>
      <c r="AM153">
        <v>0</v>
      </c>
      <c r="AN153">
        <v>0</v>
      </c>
      <c r="AO153">
        <v>0</v>
      </c>
      <c r="AP153" t="str">
        <v>CON_D03</v>
      </c>
      <c r="AW153" s="17" t="str">
        <f t="shared" si="15"/>
        <v>CON_D03</v>
      </c>
    </row>
    <row r="154" spans="2:49">
      <c r="B154" s="20">
        <v>150</v>
      </c>
      <c r="C154" s="20" t="s">
        <v>346</v>
      </c>
      <c r="AK154">
        <v>1</v>
      </c>
      <c r="AL154">
        <v>243</v>
      </c>
      <c r="AM154">
        <v>0</v>
      </c>
      <c r="AN154" t="str">
        <v>محمد عزيز لاحق</v>
      </c>
      <c r="AO154">
        <v>0</v>
      </c>
      <c r="AP154" t="str">
        <v>FIN_D02</v>
      </c>
    </row>
    <row r="155" spans="2:49">
      <c r="B155" s="20">
        <v>151</v>
      </c>
      <c r="C155" s="20" t="s">
        <v>347</v>
      </c>
      <c r="AK155">
        <v>2</v>
      </c>
      <c r="AL155">
        <v>389</v>
      </c>
      <c r="AM155">
        <v>0</v>
      </c>
      <c r="AN155" t="str">
        <v>محمد نور نبي</v>
      </c>
      <c r="AO155">
        <v>0</v>
      </c>
      <c r="AP155" t="str">
        <v>FIN_D02</v>
      </c>
    </row>
    <row r="156" spans="2:49">
      <c r="B156" s="20">
        <v>152</v>
      </c>
      <c r="C156" s="20">
        <v>134</v>
      </c>
      <c r="AK156">
        <v>3</v>
      </c>
      <c r="AL156">
        <v>411</v>
      </c>
      <c r="AM156">
        <v>0</v>
      </c>
      <c r="AN156" t="str">
        <v>نور ميستري</v>
      </c>
      <c r="AO156">
        <v>0</v>
      </c>
      <c r="AP156" t="str">
        <v>FIN_D02</v>
      </c>
    </row>
    <row r="157" spans="2:49">
      <c r="B157" s="20">
        <v>153</v>
      </c>
      <c r="C157" s="20">
        <v>142</v>
      </c>
      <c r="AK157">
        <v>4</v>
      </c>
      <c r="AL157">
        <v>448</v>
      </c>
      <c r="AM157">
        <v>0</v>
      </c>
      <c r="AN157" t="str">
        <v>بابو رام كامي</v>
      </c>
      <c r="AO157">
        <v>0</v>
      </c>
      <c r="AP157" t="str">
        <v>FIN_D02</v>
      </c>
    </row>
    <row r="158" spans="2:49">
      <c r="B158" s="20">
        <v>154</v>
      </c>
      <c r="C158" s="20">
        <v>172</v>
      </c>
      <c r="AK158">
        <v>5</v>
      </c>
      <c r="AL158">
        <v>496</v>
      </c>
      <c r="AM158">
        <v>0</v>
      </c>
      <c r="AN158" t="str">
        <v>محمد رفيق ملليك جبار ملليك</v>
      </c>
      <c r="AO158">
        <v>0</v>
      </c>
      <c r="AP158" t="str">
        <v>FIN_D02</v>
      </c>
    </row>
    <row r="159" spans="2:49">
      <c r="B159" s="20">
        <v>155</v>
      </c>
      <c r="C159" s="20">
        <v>192</v>
      </c>
      <c r="AK159">
        <v>6</v>
      </c>
      <c r="AL159">
        <v>247</v>
      </c>
      <c r="AM159">
        <v>0</v>
      </c>
      <c r="AN159" t="str">
        <v>جمال محمد علي</v>
      </c>
      <c r="AO159">
        <v>0</v>
      </c>
      <c r="AP159" t="str">
        <v>FIN_D02</v>
      </c>
    </row>
    <row r="160" spans="2:49">
      <c r="B160" s="20">
        <v>156</v>
      </c>
      <c r="C160" s="20">
        <v>309</v>
      </c>
      <c r="AK160">
        <v>7</v>
      </c>
      <c r="AL160" t="str">
        <v>O163</v>
      </c>
      <c r="AM160">
        <v>0</v>
      </c>
      <c r="AN160" t="str">
        <v>عبد الباسي عبد الرحمن اشير</v>
      </c>
      <c r="AO160">
        <v>0</v>
      </c>
      <c r="AP160" t="str">
        <v>FIN_D02</v>
      </c>
    </row>
    <row r="161" spans="2:42">
      <c r="B161" s="20">
        <v>157</v>
      </c>
      <c r="C161" s="20">
        <v>339</v>
      </c>
      <c r="AK161">
        <v>8</v>
      </c>
      <c r="AL161" t="str">
        <v>O187</v>
      </c>
      <c r="AM161">
        <v>0</v>
      </c>
      <c r="AN161" t="str">
        <v>مد موجمل حقي</v>
      </c>
      <c r="AO161">
        <v>0</v>
      </c>
      <c r="AP161" t="str">
        <v>FIN_D02</v>
      </c>
    </row>
    <row r="162" spans="2:42">
      <c r="B162" s="20">
        <v>158</v>
      </c>
      <c r="C162" s="20" t="s">
        <v>118</v>
      </c>
      <c r="AK162">
        <v>9</v>
      </c>
      <c r="AL162" t="str">
        <v>O204</v>
      </c>
      <c r="AM162">
        <v>0</v>
      </c>
      <c r="AN162" t="str">
        <v>محمد ابوبكور محمد حسين</v>
      </c>
      <c r="AO162">
        <v>0</v>
      </c>
      <c r="AP162" t="str">
        <v>FIN_D02</v>
      </c>
    </row>
    <row r="163" spans="2:42">
      <c r="B163" s="20">
        <v>159</v>
      </c>
      <c r="C163" s="20" t="s">
        <v>115</v>
      </c>
      <c r="AK163">
        <v>10</v>
      </c>
      <c r="AL163" t="str">
        <v>O205</v>
      </c>
      <c r="AM163">
        <v>0</v>
      </c>
      <c r="AN163" t="str">
        <v>محبوب علم تارو مياه</v>
      </c>
      <c r="AO163">
        <v>0</v>
      </c>
      <c r="AP163" t="str">
        <v>FIN_D02</v>
      </c>
    </row>
    <row r="164" spans="2:42">
      <c r="B164" s="20">
        <v>160</v>
      </c>
      <c r="C164" s="20" t="s">
        <v>119</v>
      </c>
      <c r="AK164">
        <v>11</v>
      </c>
      <c r="AL164" t="str">
        <v>O207</v>
      </c>
      <c r="AM164">
        <v>0</v>
      </c>
      <c r="AN164" t="str">
        <v>محمد نور الأسلام</v>
      </c>
      <c r="AO164">
        <v>0</v>
      </c>
      <c r="AP164" t="str">
        <v>FIN_D02</v>
      </c>
    </row>
    <row r="165" spans="2:42">
      <c r="B165" s="20">
        <v>161</v>
      </c>
      <c r="C165" s="20">
        <v>21</v>
      </c>
      <c r="AK165">
        <v>12</v>
      </c>
      <c r="AL165" t="str">
        <v>O208</v>
      </c>
      <c r="AM165">
        <v>0</v>
      </c>
      <c r="AN165" t="str">
        <v>مد فاروق شايخ</v>
      </c>
      <c r="AO165">
        <v>0</v>
      </c>
      <c r="AP165" t="str">
        <v>FIN_D02</v>
      </c>
    </row>
    <row r="166" spans="2:42">
      <c r="B166" s="20">
        <v>162</v>
      </c>
      <c r="C166" s="20">
        <v>418</v>
      </c>
      <c r="AK166">
        <v>13</v>
      </c>
      <c r="AL166" t="str">
        <v>O316</v>
      </c>
      <c r="AM166">
        <v>0</v>
      </c>
      <c r="AN166" t="str">
        <v>محمد محبوب محمد جيبون ميا</v>
      </c>
      <c r="AO166">
        <v>0</v>
      </c>
      <c r="AP166" t="str">
        <v>FIN_D02</v>
      </c>
    </row>
    <row r="167" spans="2:42">
      <c r="B167" s="20">
        <v>163</v>
      </c>
      <c r="C167" s="20">
        <v>443</v>
      </c>
      <c r="AK167">
        <v>14</v>
      </c>
      <c r="AL167" t="str">
        <v>O317</v>
      </c>
      <c r="AM167">
        <v>0</v>
      </c>
      <c r="AN167" t="str">
        <v>ال امين حافيج عدين</v>
      </c>
      <c r="AO167">
        <v>0</v>
      </c>
      <c r="AP167" t="str">
        <v>FIN_D02</v>
      </c>
    </row>
    <row r="168" spans="2:42">
      <c r="B168" s="20">
        <v>164</v>
      </c>
      <c r="C168" s="20">
        <v>530</v>
      </c>
      <c r="AK168">
        <v>15</v>
      </c>
      <c r="AL168" t="str">
        <v>o334</v>
      </c>
      <c r="AM168">
        <v>0</v>
      </c>
      <c r="AN168" t="str">
        <v xml:space="preserve">محمد سيفو تالوكدر </v>
      </c>
      <c r="AO168">
        <v>0</v>
      </c>
      <c r="AP168" t="str">
        <v>FIN_D02</v>
      </c>
    </row>
    <row r="169" spans="2:42">
      <c r="B169" s="20">
        <v>165</v>
      </c>
      <c r="C169" s="20">
        <v>270</v>
      </c>
      <c r="AK169">
        <v>16</v>
      </c>
      <c r="AL169" t="str">
        <v>o335</v>
      </c>
      <c r="AM169">
        <v>0</v>
      </c>
      <c r="AN169" t="str">
        <v xml:space="preserve">محمد  سايمون محمد مومين </v>
      </c>
      <c r="AO169">
        <v>0</v>
      </c>
      <c r="AP169" t="str">
        <v>FIN_D02</v>
      </c>
    </row>
    <row r="170" spans="2:42">
      <c r="B170" s="20">
        <v>166</v>
      </c>
      <c r="C170" s="20">
        <v>437</v>
      </c>
      <c r="AK170">
        <v>17</v>
      </c>
      <c r="AL170">
        <v>134</v>
      </c>
      <c r="AM170">
        <v>0</v>
      </c>
      <c r="AN170" t="str">
        <v>ﻣﺎﺯﻭ ﺍﺣﻤﺪ ﻣﺤﻤﺪ ﺧﺴﺮﺍﻟﺰﻣﺎﻥ ﺳﺎﻱ</v>
      </c>
      <c r="AO170">
        <v>0</v>
      </c>
      <c r="AP170" t="str">
        <v>FIN_D02</v>
      </c>
    </row>
    <row r="171" spans="2:42">
      <c r="B171" s="20">
        <v>167</v>
      </c>
      <c r="C171" s="20">
        <v>441</v>
      </c>
      <c r="AK171">
        <v>18</v>
      </c>
      <c r="AL171">
        <v>142</v>
      </c>
      <c r="AM171">
        <v>0</v>
      </c>
      <c r="AN171" t="str">
        <v>ﺑﻴﺸﺎﻥ ﻣﻮﺷﻲ</v>
      </c>
      <c r="AO171">
        <v>0</v>
      </c>
      <c r="AP171" t="str">
        <v>FIN_D02</v>
      </c>
    </row>
    <row r="172" spans="2:42">
      <c r="B172" s="20">
        <v>168</v>
      </c>
      <c r="C172" s="20">
        <v>493</v>
      </c>
      <c r="AK172">
        <v>19</v>
      </c>
      <c r="AL172">
        <v>172</v>
      </c>
      <c r="AM172">
        <v>0</v>
      </c>
      <c r="AN172" t="str">
        <v>ﻧﻮﺭ ﺍﺳﻼﻡ ﺣﻨﻴﻒ</v>
      </c>
      <c r="AO172">
        <v>0</v>
      </c>
      <c r="AP172" t="str">
        <v>FIN_D02</v>
      </c>
    </row>
    <row r="173" spans="2:42">
      <c r="B173" s="20">
        <v>169</v>
      </c>
      <c r="C173" s="20">
        <v>279</v>
      </c>
      <c r="AK173">
        <v>20</v>
      </c>
      <c r="AL173">
        <v>192</v>
      </c>
      <c r="AM173">
        <v>0</v>
      </c>
      <c r="AN173" t="str">
        <v>ﻋﺎﺭﻑ ﺣﺴﻴﻦ ﺷﻬﻴﺪﺍﻟﻠﻪ</v>
      </c>
      <c r="AO173">
        <v>0</v>
      </c>
      <c r="AP173" t="str">
        <v>FIN_D02</v>
      </c>
    </row>
    <row r="174" spans="2:42">
      <c r="B174" s="20">
        <v>170</v>
      </c>
      <c r="C174" s="20" t="s">
        <v>348</v>
      </c>
      <c r="AK174">
        <v>21</v>
      </c>
      <c r="AL174">
        <v>309</v>
      </c>
      <c r="AM174">
        <v>0</v>
      </c>
      <c r="AN174" t="str">
        <v>سانجيب كومار ياداز</v>
      </c>
      <c r="AO174">
        <v>0</v>
      </c>
      <c r="AP174" t="str">
        <v>FIN_D02</v>
      </c>
    </row>
    <row r="175" spans="2:42">
      <c r="B175" s="20">
        <v>171</v>
      </c>
      <c r="C175" s="20">
        <v>482</v>
      </c>
      <c r="AK175">
        <v>22</v>
      </c>
      <c r="AL175">
        <v>339</v>
      </c>
      <c r="AM175">
        <v>0</v>
      </c>
      <c r="AN175" t="str">
        <v xml:space="preserve">ازاد صديق </v>
      </c>
      <c r="AO175">
        <v>0</v>
      </c>
      <c r="AP175" t="str">
        <v>FIN_D02</v>
      </c>
    </row>
    <row r="176" spans="2:42">
      <c r="B176" s="20">
        <v>172</v>
      </c>
      <c r="C176" s="20">
        <v>128</v>
      </c>
      <c r="AK176">
        <v>23</v>
      </c>
      <c r="AL176" t="str">
        <v>O186</v>
      </c>
      <c r="AM176">
        <v>0</v>
      </c>
      <c r="AN176" t="str">
        <v xml:space="preserve">ماجد أحمد جلال الدين </v>
      </c>
      <c r="AO176">
        <v>0</v>
      </c>
      <c r="AP176" t="str">
        <v>FIN_D02</v>
      </c>
    </row>
    <row r="177" spans="2:42">
      <c r="B177" s="20">
        <v>173</v>
      </c>
      <c r="C177" s="20">
        <v>290</v>
      </c>
      <c r="AK177">
        <v>24</v>
      </c>
      <c r="AL177" t="str">
        <v>O48</v>
      </c>
      <c r="AM177">
        <v>0</v>
      </c>
      <c r="AN177" t="str">
        <v>بنود كومار ساه</v>
      </c>
      <c r="AO177">
        <v>0</v>
      </c>
      <c r="AP177" t="str">
        <v>FIN_D02</v>
      </c>
    </row>
    <row r="178" spans="2:42">
      <c r="B178" s="20">
        <v>174</v>
      </c>
      <c r="C178" s="20">
        <v>322</v>
      </c>
      <c r="AK178">
        <v>25</v>
      </c>
      <c r="AL178" t="str">
        <v>O227</v>
      </c>
      <c r="AM178">
        <v>0</v>
      </c>
      <c r="AN178" t="str">
        <v>امام حسين محمد اسلام</v>
      </c>
      <c r="AO178">
        <v>0</v>
      </c>
      <c r="AP178" t="str">
        <v>FIN_D02</v>
      </c>
    </row>
    <row r="179" spans="2:42">
      <c r="B179" s="20">
        <v>175</v>
      </c>
      <c r="C179" s="20">
        <v>325</v>
      </c>
      <c r="AK179">
        <v>26</v>
      </c>
      <c r="AL179">
        <v>21</v>
      </c>
      <c r="AM179">
        <v>0</v>
      </c>
      <c r="AN179" t="str">
        <v>ﻣﺎﻟﻚ ﺍﺣﻤﺪ</v>
      </c>
      <c r="AO179">
        <v>0</v>
      </c>
      <c r="AP179" t="str">
        <v>FIN_D02</v>
      </c>
    </row>
    <row r="180" spans="2:42">
      <c r="B180" s="20">
        <v>176</v>
      </c>
      <c r="C180" s="20">
        <v>370</v>
      </c>
      <c r="AK180">
        <v>27</v>
      </c>
      <c r="AL180">
        <v>418</v>
      </c>
      <c r="AM180">
        <v>0</v>
      </c>
      <c r="AN180" t="str">
        <v xml:space="preserve">عبدالعال سعيد مجاهد عبدالعال </v>
      </c>
      <c r="AO180">
        <v>0</v>
      </c>
      <c r="AP180" t="str">
        <v>FIN_D02</v>
      </c>
    </row>
    <row r="181" spans="2:42">
      <c r="B181" s="20">
        <v>177</v>
      </c>
      <c r="C181" s="20">
        <v>474</v>
      </c>
      <c r="AK181">
        <v>28</v>
      </c>
      <c r="AL181">
        <v>443</v>
      </c>
      <c r="AM181">
        <v>0</v>
      </c>
      <c r="AN181" t="str">
        <v>احمد ابراهيم باز عبد الرحيم</v>
      </c>
      <c r="AO181">
        <v>0</v>
      </c>
      <c r="AP181" t="str">
        <v>FIN_D02</v>
      </c>
    </row>
    <row r="182" spans="2:42">
      <c r="B182" s="20">
        <v>178</v>
      </c>
      <c r="C182" s="20">
        <v>477</v>
      </c>
      <c r="AK182">
        <v>29</v>
      </c>
      <c r="AL182">
        <v>530</v>
      </c>
      <c r="AM182">
        <v>0</v>
      </c>
      <c r="AN182" t="str">
        <v>تامر السيد عبد الحميد</v>
      </c>
      <c r="AO182">
        <v>0</v>
      </c>
      <c r="AP182" t="str">
        <v>FIN_D02</v>
      </c>
    </row>
    <row r="183" spans="2:42">
      <c r="B183" s="20">
        <v>179</v>
      </c>
      <c r="C183" s="20" t="s">
        <v>92</v>
      </c>
      <c r="AK183">
        <v>30</v>
      </c>
      <c r="AL183">
        <v>270</v>
      </c>
      <c r="AM183">
        <v>0</v>
      </c>
      <c r="AN183" t="str">
        <v>مسعود صالح قاسمي</v>
      </c>
      <c r="AO183">
        <v>0</v>
      </c>
      <c r="AP183" t="str">
        <v>FIN_D02</v>
      </c>
    </row>
    <row r="184" spans="2:42">
      <c r="B184" s="20">
        <v>180</v>
      </c>
      <c r="C184" s="20" t="s">
        <v>100</v>
      </c>
      <c r="AK184">
        <v>31</v>
      </c>
      <c r="AL184">
        <v>437</v>
      </c>
      <c r="AM184">
        <v>0</v>
      </c>
      <c r="AN184" t="str">
        <v>نظر الإسلام شاديم علي</v>
      </c>
      <c r="AO184">
        <v>0</v>
      </c>
      <c r="AP184" t="str">
        <v>FIN_D02</v>
      </c>
    </row>
    <row r="185" spans="2:42">
      <c r="B185" s="20">
        <v>181</v>
      </c>
      <c r="C185" s="20">
        <v>229</v>
      </c>
      <c r="AK185">
        <v>32</v>
      </c>
      <c r="AL185">
        <v>441</v>
      </c>
      <c r="AM185">
        <v>0</v>
      </c>
      <c r="AN185" t="str">
        <v>محمد سليم دهالي</v>
      </c>
      <c r="AO185">
        <v>0</v>
      </c>
      <c r="AP185" t="str">
        <v>FIN_D02</v>
      </c>
    </row>
    <row r="186" spans="2:42">
      <c r="B186" s="20">
        <v>182</v>
      </c>
      <c r="C186" s="20">
        <v>317</v>
      </c>
      <c r="AK186">
        <v>33</v>
      </c>
      <c r="AL186">
        <v>493</v>
      </c>
      <c r="AM186">
        <v>0</v>
      </c>
      <c r="AN186" t="str">
        <v>نجم الحسين عامر حسين ديوان</v>
      </c>
      <c r="AO186">
        <v>0</v>
      </c>
      <c r="AP186" t="str">
        <v>FIN_D02</v>
      </c>
    </row>
    <row r="187" spans="2:42">
      <c r="B187" s="20">
        <v>183</v>
      </c>
      <c r="C187" s="20" t="s">
        <v>102</v>
      </c>
      <c r="AK187">
        <v>34</v>
      </c>
      <c r="AL187">
        <v>279</v>
      </c>
      <c r="AM187">
        <v>0</v>
      </c>
      <c r="AN187" t="str">
        <v>ساوين فقير</v>
      </c>
      <c r="AO187">
        <v>0</v>
      </c>
      <c r="AP187" t="str">
        <v>FIN_D02</v>
      </c>
    </row>
    <row r="188" spans="2:42">
      <c r="B188" s="20">
        <v>184</v>
      </c>
      <c r="C188" s="20" t="s">
        <v>103</v>
      </c>
      <c r="AK188">
        <v>35</v>
      </c>
      <c r="AL188" t="str">
        <v>o337</v>
      </c>
      <c r="AM188">
        <v>0</v>
      </c>
      <c r="AN188" t="str">
        <v xml:space="preserve">برويز عالم </v>
      </c>
      <c r="AO188">
        <v>0</v>
      </c>
      <c r="AP188" t="str">
        <v>FIN_D02</v>
      </c>
    </row>
    <row r="189" spans="2:42">
      <c r="B189" s="20">
        <v>185</v>
      </c>
      <c r="C189" s="20" t="s">
        <v>104</v>
      </c>
      <c r="AK189">
        <v>36</v>
      </c>
      <c r="AL189">
        <v>482</v>
      </c>
      <c r="AM189">
        <v>0</v>
      </c>
      <c r="AN189" t="str">
        <v>محمد لال مياه</v>
      </c>
      <c r="AO189">
        <v>0</v>
      </c>
      <c r="AP189" t="str">
        <v>FIN_D02</v>
      </c>
    </row>
    <row r="190" spans="2:42">
      <c r="B190" s="20">
        <v>186</v>
      </c>
      <c r="C190" s="20" t="s">
        <v>95</v>
      </c>
      <c r="AK190">
        <v>37</v>
      </c>
      <c r="AL190">
        <v>128</v>
      </c>
      <c r="AM190">
        <v>0</v>
      </c>
      <c r="AN190" t="str">
        <v>ﺟﻮﺟﻴﻨﺪﺭﺍ ﺳﺎﺩﺍي</v>
      </c>
      <c r="AO190">
        <v>0</v>
      </c>
      <c r="AP190" t="str">
        <v>FIN_D02</v>
      </c>
    </row>
    <row r="191" spans="2:42">
      <c r="B191" s="20">
        <v>187</v>
      </c>
      <c r="C191" s="20">
        <v>150</v>
      </c>
      <c r="AK191">
        <v>38</v>
      </c>
      <c r="AL191">
        <v>290</v>
      </c>
      <c r="AM191">
        <v>0</v>
      </c>
      <c r="AN191" t="str">
        <v>دريسك سيجاوا</v>
      </c>
      <c r="AO191">
        <v>0</v>
      </c>
      <c r="AP191" t="str">
        <v>FIN_D02</v>
      </c>
    </row>
    <row r="192" spans="2:42">
      <c r="B192" s="20">
        <v>188</v>
      </c>
      <c r="C192" s="20">
        <v>204</v>
      </c>
      <c r="AK192">
        <v>39</v>
      </c>
      <c r="AL192">
        <v>322</v>
      </c>
      <c r="AM192">
        <v>0</v>
      </c>
      <c r="AN192" t="str">
        <v>رام بهجان باتار</v>
      </c>
      <c r="AO192">
        <v>0</v>
      </c>
      <c r="AP192" t="str">
        <v>FIN_D02</v>
      </c>
    </row>
    <row r="193" spans="2:42">
      <c r="B193" s="20">
        <v>189</v>
      </c>
      <c r="C193" s="20">
        <v>227</v>
      </c>
      <c r="AK193">
        <v>40</v>
      </c>
      <c r="AL193">
        <v>325</v>
      </c>
      <c r="AM193">
        <v>0</v>
      </c>
      <c r="AN193" t="str">
        <v>ديل بهادور سونار</v>
      </c>
      <c r="AO193">
        <v>0</v>
      </c>
      <c r="AP193" t="str">
        <v>FIN_D02</v>
      </c>
    </row>
    <row r="194" spans="2:42">
      <c r="B194" s="20">
        <v>190</v>
      </c>
      <c r="C194" s="20">
        <v>430</v>
      </c>
      <c r="AK194">
        <v>41</v>
      </c>
      <c r="AL194">
        <v>370</v>
      </c>
      <c r="AM194">
        <v>0</v>
      </c>
      <c r="AN194" t="str">
        <v>مان كومار تامانج</v>
      </c>
      <c r="AO194">
        <v>0</v>
      </c>
      <c r="AP194" t="str">
        <v>FIN_D02</v>
      </c>
    </row>
    <row r="195" spans="2:42">
      <c r="B195" s="20">
        <v>191</v>
      </c>
      <c r="C195" s="20">
        <v>251</v>
      </c>
      <c r="AK195">
        <v>42</v>
      </c>
      <c r="AL195">
        <v>474</v>
      </c>
      <c r="AM195">
        <v>0</v>
      </c>
      <c r="AN195" t="str">
        <v>محمد رجيب مطلب بيباري</v>
      </c>
      <c r="AO195">
        <v>0</v>
      </c>
      <c r="AP195" t="str">
        <v>FIN_D02</v>
      </c>
    </row>
    <row r="196" spans="2:42">
      <c r="B196" s="20">
        <v>192</v>
      </c>
      <c r="C196" s="20">
        <v>483</v>
      </c>
      <c r="AK196">
        <v>43</v>
      </c>
      <c r="AL196">
        <v>477</v>
      </c>
      <c r="AM196">
        <v>0</v>
      </c>
      <c r="AN196" t="str">
        <v>محمد عبدالأحد</v>
      </c>
      <c r="AO196">
        <v>0</v>
      </c>
      <c r="AP196" t="str">
        <v>FIN_D02</v>
      </c>
    </row>
    <row r="197" spans="2:42">
      <c r="B197" s="20">
        <v>193</v>
      </c>
      <c r="C197" s="20" t="s">
        <v>98</v>
      </c>
      <c r="AK197">
        <v>44</v>
      </c>
      <c r="AL197" t="str">
        <v>O106</v>
      </c>
      <c r="AM197">
        <v>0</v>
      </c>
      <c r="AN197" t="str">
        <v>ديدارول اسلام دولا مياح</v>
      </c>
      <c r="AO197">
        <v>0</v>
      </c>
      <c r="AP197" t="str">
        <v>FIN_D02</v>
      </c>
    </row>
    <row r="198" spans="2:42">
      <c r="B198" s="20">
        <v>194</v>
      </c>
      <c r="C198" s="20" t="s">
        <v>94</v>
      </c>
      <c r="AK198">
        <v>45</v>
      </c>
      <c r="AL198" t="str">
        <v>O245</v>
      </c>
      <c r="AM198">
        <v>0</v>
      </c>
      <c r="AN198" t="str">
        <v>محمد عبدور الرحمن</v>
      </c>
      <c r="AO198">
        <v>0</v>
      </c>
      <c r="AP198" t="str">
        <v>FIN_D02</v>
      </c>
    </row>
    <row r="199" spans="2:42">
      <c r="B199" s="20">
        <v>195</v>
      </c>
      <c r="C199" s="20">
        <v>111</v>
      </c>
      <c r="AK199">
        <v>46</v>
      </c>
      <c r="AL199">
        <v>229</v>
      </c>
      <c r="AM199">
        <v>0</v>
      </c>
      <c r="AN199" t="str">
        <v>ﺍﻻﺟﻴﺎﻩ ﺳﻴﻔﺎﺭﺍﺳﺎ ﻓﺎﺳﺎﻧﺴﺮﺍﺳﺎ</v>
      </c>
      <c r="AO199">
        <v>0</v>
      </c>
      <c r="AP199" t="str">
        <v>FIN_D02</v>
      </c>
    </row>
    <row r="200" spans="2:42">
      <c r="B200" s="20">
        <v>196</v>
      </c>
      <c r="C200" s="20">
        <v>163</v>
      </c>
      <c r="AK200">
        <v>47</v>
      </c>
      <c r="AL200">
        <v>317</v>
      </c>
      <c r="AM200">
        <v>0</v>
      </c>
      <c r="AN200" t="str">
        <v>ناند كيشور داس</v>
      </c>
      <c r="AO200">
        <v>0</v>
      </c>
      <c r="AP200" t="str">
        <v>FIN_D02</v>
      </c>
    </row>
    <row r="201" spans="2:42">
      <c r="B201" s="20">
        <v>197</v>
      </c>
      <c r="C201" s="20" t="s">
        <v>97</v>
      </c>
      <c r="AK201">
        <v>48</v>
      </c>
      <c r="AL201" t="str">
        <v>O308</v>
      </c>
      <c r="AM201">
        <v>0</v>
      </c>
      <c r="AN201" t="str">
        <v>جاسم سيكدار مصطفى سيكدار</v>
      </c>
      <c r="AO201">
        <v>0</v>
      </c>
      <c r="AP201" t="str">
        <v>FIN_D02</v>
      </c>
    </row>
    <row r="202" spans="2:42">
      <c r="B202" s="20">
        <v>198</v>
      </c>
      <c r="C202" s="20" t="s">
        <v>91</v>
      </c>
      <c r="AK202">
        <v>49</v>
      </c>
      <c r="AL202" t="str">
        <v>O312</v>
      </c>
      <c r="AM202">
        <v>0</v>
      </c>
      <c r="AN202" t="str">
        <v>توصيف الاحي ساقب سودهري</v>
      </c>
      <c r="AO202">
        <v>0</v>
      </c>
      <c r="AP202" t="str">
        <v>FIN_D02</v>
      </c>
    </row>
    <row r="203" spans="2:42">
      <c r="B203" s="20">
        <v>199</v>
      </c>
      <c r="C203" s="20" t="s">
        <v>99</v>
      </c>
      <c r="AK203">
        <v>50</v>
      </c>
      <c r="AL203" t="str">
        <v>O313</v>
      </c>
      <c r="AM203">
        <v>0</v>
      </c>
      <c r="AN203" t="str">
        <v>فهيم احمد محيب الرحمان</v>
      </c>
      <c r="AO203">
        <v>0</v>
      </c>
      <c r="AP203" t="str">
        <v>FIN_D02</v>
      </c>
    </row>
    <row r="204" spans="2:42">
      <c r="B204" s="20">
        <v>200</v>
      </c>
      <c r="C204" s="20" t="s">
        <v>101</v>
      </c>
      <c r="AK204">
        <v>51</v>
      </c>
      <c r="AL204" t="str">
        <v>O256</v>
      </c>
      <c r="AM204">
        <v>0</v>
      </c>
      <c r="AN204" t="str">
        <v>خالد احمد منير علي</v>
      </c>
      <c r="AO204">
        <v>0</v>
      </c>
      <c r="AP204" t="str">
        <v>FIN_D02</v>
      </c>
    </row>
    <row r="205" spans="2:42">
      <c r="B205" s="20">
        <v>201</v>
      </c>
      <c r="C205" s="20" t="s">
        <v>113</v>
      </c>
      <c r="AK205">
        <v>52</v>
      </c>
      <c r="AL205">
        <v>150</v>
      </c>
      <c r="AM205">
        <v>0</v>
      </c>
      <c r="AN205" t="str">
        <v>ﻧﻮﺭ ﺍﻟﻜﺎﺩﺭ ﺍﺑﻮ ﺍﺣﻤﺪ</v>
      </c>
      <c r="AO205">
        <v>0</v>
      </c>
      <c r="AP205" t="str">
        <v>FIN_D02</v>
      </c>
    </row>
    <row r="206" spans="2:42">
      <c r="B206" s="20">
        <v>202</v>
      </c>
      <c r="C206" s="20">
        <v>436</v>
      </c>
      <c r="AK206">
        <v>53</v>
      </c>
      <c r="AL206">
        <v>204</v>
      </c>
      <c r="AM206">
        <v>0</v>
      </c>
      <c r="AN206" t="str">
        <v>ﻛﻤﺎﻝ ﻭﺩﻳﻦ</v>
      </c>
      <c r="AO206">
        <v>0</v>
      </c>
      <c r="AP206" t="str">
        <v>FIN_D02</v>
      </c>
    </row>
    <row r="207" spans="2:42">
      <c r="B207" s="20">
        <v>203</v>
      </c>
      <c r="C207" s="20">
        <v>232</v>
      </c>
      <c r="AK207">
        <v>54</v>
      </c>
      <c r="AL207">
        <v>227</v>
      </c>
      <c r="AM207">
        <v>0</v>
      </c>
      <c r="AN207" t="str">
        <v>ﻣﻨﺼﻮﺭ ﻋﻼﺍﻡ</v>
      </c>
      <c r="AO207">
        <v>0</v>
      </c>
      <c r="AP207" t="str">
        <v>FIN_D02</v>
      </c>
    </row>
    <row r="208" spans="2:42">
      <c r="B208" s="20">
        <v>204</v>
      </c>
      <c r="C208" s="20">
        <v>293</v>
      </c>
      <c r="AK208">
        <v>55</v>
      </c>
      <c r="AL208">
        <v>430</v>
      </c>
      <c r="AM208">
        <v>0</v>
      </c>
      <c r="AN208" t="str">
        <v>نجرول اسلام احمد علي</v>
      </c>
      <c r="AO208">
        <v>0</v>
      </c>
      <c r="AP208" t="str">
        <v>FIN_D02</v>
      </c>
    </row>
    <row r="209" spans="2:42">
      <c r="B209" s="20">
        <v>205</v>
      </c>
      <c r="C209" s="20">
        <v>330</v>
      </c>
      <c r="AK209">
        <v>56</v>
      </c>
      <c r="AL209">
        <v>251</v>
      </c>
      <c r="AM209">
        <v>0</v>
      </c>
      <c r="AN209" t="str">
        <v>ﻣﺤﻤﺪ ﻣﺤﻤﻮﺩ ﺣﺎﻣﺪ ﺃﺣﻤﺪ ﺳﻠﻄﺎﻥ</v>
      </c>
      <c r="AO209">
        <v>0</v>
      </c>
      <c r="AP209" t="str">
        <v>FIN_D02</v>
      </c>
    </row>
    <row r="210" spans="2:42">
      <c r="B210" s="20">
        <v>206</v>
      </c>
      <c r="C210" s="20">
        <v>439</v>
      </c>
      <c r="AK210">
        <v>57</v>
      </c>
      <c r="AL210">
        <v>483</v>
      </c>
      <c r="AM210">
        <v>0</v>
      </c>
      <c r="AN210" t="str">
        <v>ديف ناث ياداف</v>
      </c>
      <c r="AO210">
        <v>0</v>
      </c>
      <c r="AP210" t="str">
        <v>FIN_D02</v>
      </c>
    </row>
    <row r="211" spans="2:42">
      <c r="B211" s="20">
        <v>207</v>
      </c>
      <c r="C211" s="20" t="s">
        <v>349</v>
      </c>
      <c r="AK211">
        <v>58</v>
      </c>
      <c r="AL211" t="str">
        <v>O124</v>
      </c>
      <c r="AM211">
        <v>0</v>
      </c>
      <c r="AN211" t="str">
        <v>ميتيلا مهاتو</v>
      </c>
      <c r="AO211">
        <v>0</v>
      </c>
      <c r="AP211" t="str">
        <v>FIN_D02</v>
      </c>
    </row>
    <row r="212" spans="2:42">
      <c r="B212" s="20">
        <v>208</v>
      </c>
      <c r="C212" s="20">
        <v>321</v>
      </c>
      <c r="AK212">
        <v>59</v>
      </c>
      <c r="AL212" t="str">
        <v>O252</v>
      </c>
      <c r="AM212">
        <v>0</v>
      </c>
      <c r="AN212" t="str">
        <v>محمد عاشق الهي كمال الدين</v>
      </c>
      <c r="AO212">
        <v>0</v>
      </c>
      <c r="AP212" t="str">
        <v>FIN_D02</v>
      </c>
    </row>
    <row r="213" spans="2:42">
      <c r="B213" s="20">
        <v>209</v>
      </c>
      <c r="C213" s="20">
        <v>452</v>
      </c>
      <c r="AK213">
        <v>60</v>
      </c>
      <c r="AL213">
        <v>111</v>
      </c>
      <c r="AM213">
        <v>0</v>
      </c>
      <c r="AN213" t="str">
        <v>ﺳﻠﻄﺎﻥ ﺍﺣﻤﺪ ﻣﺤﻴﺐ ﺍﻟﺮﺣﻤﺎﻥ</v>
      </c>
      <c r="AO213">
        <v>0</v>
      </c>
      <c r="AP213" t="str">
        <v>FIN_D02</v>
      </c>
    </row>
    <row r="214" spans="2:42">
      <c r="B214" s="20">
        <v>210</v>
      </c>
      <c r="C214" s="20">
        <v>154</v>
      </c>
      <c r="AK214">
        <v>61</v>
      </c>
      <c r="AL214">
        <v>163</v>
      </c>
      <c r="AM214">
        <v>0</v>
      </c>
      <c r="AN214" t="str">
        <v>ﺷﻬﺎﻥ ﺍﺣﻤﺪ ﺧﺎﻥ</v>
      </c>
      <c r="AO214">
        <v>0</v>
      </c>
      <c r="AP214" t="str">
        <v>FIN_D02</v>
      </c>
    </row>
    <row r="215" spans="2:42">
      <c r="B215" s="20">
        <v>211</v>
      </c>
      <c r="C215" s="20">
        <v>323</v>
      </c>
      <c r="AK215">
        <v>62</v>
      </c>
      <c r="AL215" t="str">
        <v>O212</v>
      </c>
      <c r="AM215">
        <v>0</v>
      </c>
      <c r="AN215" t="str">
        <v>شيام مندال</v>
      </c>
      <c r="AO215">
        <v>0</v>
      </c>
      <c r="AP215" t="str">
        <v>FIN_D02</v>
      </c>
    </row>
    <row r="216" spans="2:42">
      <c r="B216" s="20">
        <v>212</v>
      </c>
      <c r="C216" s="20">
        <v>434</v>
      </c>
      <c r="AK216">
        <v>63</v>
      </c>
      <c r="AL216" t="str">
        <v>O213</v>
      </c>
      <c r="AM216">
        <v>0</v>
      </c>
      <c r="AN216" t="str">
        <v>رنجيت كومار مندل</v>
      </c>
      <c r="AO216">
        <v>0</v>
      </c>
      <c r="AP216" t="str">
        <v>FIN_D02</v>
      </c>
    </row>
    <row r="217" spans="2:42">
      <c r="B217" s="20">
        <v>213</v>
      </c>
      <c r="C217" s="20">
        <v>182</v>
      </c>
      <c r="AK217">
        <v>64</v>
      </c>
      <c r="AL217" t="str">
        <v>O194</v>
      </c>
      <c r="AM217">
        <v>0</v>
      </c>
      <c r="AN217" t="str">
        <v>شفيق الإسلام أحمد علي</v>
      </c>
      <c r="AO217">
        <v>0</v>
      </c>
      <c r="AP217" t="str">
        <v>FIN_D02</v>
      </c>
    </row>
    <row r="218" spans="2:42">
      <c r="B218" s="20">
        <v>214</v>
      </c>
      <c r="C218" s="20">
        <v>107</v>
      </c>
      <c r="AK218">
        <v>65</v>
      </c>
      <c r="AL218" t="str">
        <v>O310</v>
      </c>
      <c r="AM218">
        <v>0</v>
      </c>
      <c r="AN218" t="str">
        <v>علم أبو طهير شيخ</v>
      </c>
      <c r="AO218">
        <v>0</v>
      </c>
      <c r="AP218" t="str">
        <v>FIN_D02</v>
      </c>
    </row>
    <row r="219" spans="2:42">
      <c r="B219" s="20">
        <v>215</v>
      </c>
      <c r="C219" s="20">
        <v>198</v>
      </c>
      <c r="AK219">
        <v>66</v>
      </c>
      <c r="AL219" t="str">
        <v>O332</v>
      </c>
      <c r="AM219">
        <v>0</v>
      </c>
      <c r="AN219" t="str">
        <v xml:space="preserve">شهيد الرحمن مجميل على </v>
      </c>
      <c r="AO219">
        <v>0</v>
      </c>
      <c r="AP219" t="str">
        <v>FIN_D02</v>
      </c>
    </row>
    <row r="220" spans="2:42">
      <c r="B220" s="20">
        <v>216</v>
      </c>
      <c r="C220" s="20">
        <v>226</v>
      </c>
      <c r="AK220">
        <v>67</v>
      </c>
      <c r="AL220">
        <v>436</v>
      </c>
      <c r="AM220">
        <v>0</v>
      </c>
      <c r="AN220" t="str">
        <v>مرادول اسلام محمد مجنول حق</v>
      </c>
      <c r="AO220">
        <v>0</v>
      </c>
      <c r="AP220" t="str">
        <v>FIN_D02</v>
      </c>
    </row>
    <row r="221" spans="2:42">
      <c r="B221" s="20">
        <v>217</v>
      </c>
      <c r="C221" s="20">
        <v>361</v>
      </c>
      <c r="AK221">
        <v>68</v>
      </c>
      <c r="AL221">
        <v>232</v>
      </c>
      <c r="AM221">
        <v>0</v>
      </c>
      <c r="AN221" t="str">
        <v>ﻋﺒﺪ ﺍﻟﻤﺠﻴﺪ ﺟﻲ</v>
      </c>
      <c r="AO221">
        <v>0</v>
      </c>
      <c r="AP221" t="str">
        <v>FIN_D02</v>
      </c>
    </row>
    <row r="222" spans="2:42">
      <c r="B222" s="20">
        <v>218</v>
      </c>
      <c r="C222" s="20">
        <v>215</v>
      </c>
      <c r="AK222">
        <v>69</v>
      </c>
      <c r="AL222">
        <v>293</v>
      </c>
      <c r="AM222">
        <v>0</v>
      </c>
      <c r="AN222" t="str">
        <v>سانجاي سينان</v>
      </c>
      <c r="AO222">
        <v>0</v>
      </c>
      <c r="AP222" t="str">
        <v>FIN_D02</v>
      </c>
    </row>
    <row r="223" spans="2:42">
      <c r="B223" s="20">
        <v>219</v>
      </c>
      <c r="C223" s="20">
        <v>239</v>
      </c>
      <c r="AK223">
        <v>70</v>
      </c>
      <c r="AL223">
        <v>330</v>
      </c>
      <c r="AM223">
        <v>0</v>
      </c>
      <c r="AN223" t="str">
        <v>منجات رام باوان كومار</v>
      </c>
      <c r="AO223">
        <v>0</v>
      </c>
      <c r="AP223" t="str">
        <v>FIN_D02</v>
      </c>
    </row>
    <row r="224" spans="2:42">
      <c r="B224" s="20">
        <v>220</v>
      </c>
      <c r="C224" s="20">
        <v>191</v>
      </c>
      <c r="AK224">
        <v>71</v>
      </c>
      <c r="AL224">
        <v>439</v>
      </c>
      <c r="AM224">
        <v>0</v>
      </c>
      <c r="AN224" t="str">
        <v>إبراهيم ايمي جمعة نكيما</v>
      </c>
      <c r="AO224">
        <v>0</v>
      </c>
      <c r="AP224" t="str">
        <v>FIN_D02</v>
      </c>
    </row>
    <row r="225" spans="2:42">
      <c r="B225" s="20">
        <v>221</v>
      </c>
      <c r="C225" s="20">
        <v>240</v>
      </c>
      <c r="AK225">
        <v>72</v>
      </c>
      <c r="AL225" t="str">
        <v>o336</v>
      </c>
      <c r="AM225">
        <v>0</v>
      </c>
      <c r="AN225" t="str">
        <v xml:space="preserve">جوميل احمد تشودري </v>
      </c>
      <c r="AO225">
        <v>0</v>
      </c>
      <c r="AP225" t="str">
        <v>FIN_D02</v>
      </c>
    </row>
    <row r="226" spans="2:42">
      <c r="B226" s="20">
        <v>222</v>
      </c>
      <c r="C226" s="20">
        <v>383</v>
      </c>
      <c r="AK226">
        <v>73</v>
      </c>
      <c r="AL226">
        <v>321</v>
      </c>
      <c r="AM226">
        <v>0</v>
      </c>
      <c r="AN226" t="str">
        <v>متليش داس</v>
      </c>
      <c r="AO226">
        <v>0</v>
      </c>
      <c r="AP226" t="str">
        <v>FIN_D02</v>
      </c>
    </row>
    <row r="227" spans="2:42">
      <c r="B227" s="20">
        <v>223</v>
      </c>
      <c r="C227" s="20">
        <v>156</v>
      </c>
      <c r="AK227">
        <v>74</v>
      </c>
      <c r="AL227">
        <v>452</v>
      </c>
      <c r="AM227">
        <v>0</v>
      </c>
      <c r="AN227" t="str">
        <v>ايمدي رضا ايمدي تسليم</v>
      </c>
      <c r="AO227">
        <v>0</v>
      </c>
      <c r="AP227" t="str">
        <v>FIN_D02</v>
      </c>
    </row>
    <row r="228" spans="2:42">
      <c r="B228" s="20">
        <v>224</v>
      </c>
      <c r="C228" s="20" t="s">
        <v>93</v>
      </c>
      <c r="AK228">
        <v>75</v>
      </c>
      <c r="AL228">
        <v>154</v>
      </c>
      <c r="AM228">
        <v>0</v>
      </c>
      <c r="AN228" t="str">
        <v>ﺭﻳﺤﺎﻝ ﻣﺤﻤﺪ ﺗﺎﻣﺒﻲ ﻏﻔﻮﺭ</v>
      </c>
      <c r="AO228">
        <v>0</v>
      </c>
      <c r="AP228" t="str">
        <v>FIN_D02</v>
      </c>
    </row>
    <row r="229" spans="2:42">
      <c r="B229" s="20">
        <v>225</v>
      </c>
      <c r="C229" s="20" t="s">
        <v>89</v>
      </c>
      <c r="AK229">
        <v>76</v>
      </c>
      <c r="AL229">
        <v>323</v>
      </c>
      <c r="AM229">
        <v>0</v>
      </c>
      <c r="AN229" t="str">
        <v>محمد شاهجاده نور محمد</v>
      </c>
      <c r="AO229">
        <v>0</v>
      </c>
      <c r="AP229" t="str">
        <v>FIN_D02</v>
      </c>
    </row>
    <row r="230" spans="2:42">
      <c r="B230" s="20">
        <v>226</v>
      </c>
      <c r="C230" s="20" t="s">
        <v>90</v>
      </c>
      <c r="AK230">
        <v>77</v>
      </c>
      <c r="AL230">
        <v>434</v>
      </c>
      <c r="AM230">
        <v>0</v>
      </c>
      <c r="AN230" t="str">
        <v xml:space="preserve">نوشاد أنصاري </v>
      </c>
      <c r="AO230">
        <v>0</v>
      </c>
      <c r="AP230" t="str">
        <v>FIN_D02</v>
      </c>
    </row>
    <row r="231" spans="2:42">
      <c r="B231" s="20">
        <v>227</v>
      </c>
      <c r="C231" s="20">
        <v>199</v>
      </c>
      <c r="AK231">
        <v>78</v>
      </c>
      <c r="AL231">
        <v>182</v>
      </c>
      <c r="AM231">
        <v>0</v>
      </c>
      <c r="AN231" t="str">
        <v>ﺍﺭﺷﺎﺩ ﻋﻼﺍﻡ</v>
      </c>
      <c r="AO231">
        <v>0</v>
      </c>
      <c r="AP231" t="str">
        <v>FIN_D02</v>
      </c>
    </row>
    <row r="232" spans="2:42">
      <c r="B232" s="20">
        <v>228</v>
      </c>
      <c r="C232" s="20">
        <v>407</v>
      </c>
      <c r="AK232">
        <v>79</v>
      </c>
      <c r="AL232">
        <v>107</v>
      </c>
      <c r="AM232">
        <v>0</v>
      </c>
      <c r="AN232" t="str">
        <v>ﺭﺍﻡ ﺍﺷﻴﺶ</v>
      </c>
      <c r="AO232">
        <v>0</v>
      </c>
      <c r="AP232" t="str">
        <v>FIN_D02</v>
      </c>
    </row>
    <row r="233" spans="2:42">
      <c r="B233" s="20">
        <v>229</v>
      </c>
      <c r="C233" s="20">
        <v>114</v>
      </c>
      <c r="AK233">
        <v>80</v>
      </c>
      <c r="AL233">
        <v>198</v>
      </c>
      <c r="AM233">
        <v>0</v>
      </c>
      <c r="AN233" t="str">
        <v>ﺗﻮﺣﻴﺪ ﻣﻴﺎ</v>
      </c>
      <c r="AO233">
        <v>0</v>
      </c>
      <c r="AP233" t="str">
        <v>FIN_D02</v>
      </c>
    </row>
    <row r="234" spans="2:42">
      <c r="B234" s="20">
        <v>230</v>
      </c>
      <c r="C234" s="20">
        <v>218</v>
      </c>
      <c r="AK234">
        <v>81</v>
      </c>
      <c r="AL234">
        <v>226</v>
      </c>
      <c r="AM234">
        <v>0</v>
      </c>
      <c r="AN234" t="str">
        <v>ﺳﻮﻓﻴﺜﺎﻥ ﺳﻴﻨﺎﺛﻮﺭﺍﻱ ﻧﻔﺎﺭﺳﺎ</v>
      </c>
      <c r="AO234">
        <v>0</v>
      </c>
      <c r="AP234" t="str">
        <v>FIN_D02</v>
      </c>
    </row>
    <row r="235" spans="2:42">
      <c r="B235" s="20">
        <v>231</v>
      </c>
      <c r="C235" s="20">
        <v>342</v>
      </c>
      <c r="AK235">
        <v>82</v>
      </c>
      <c r="AL235">
        <v>361</v>
      </c>
      <c r="AM235">
        <v>0</v>
      </c>
      <c r="AN235" t="str">
        <v>وسيم احمد عبد المالك</v>
      </c>
      <c r="AO235">
        <v>0</v>
      </c>
      <c r="AP235" t="str">
        <v>FIN_D02</v>
      </c>
    </row>
    <row r="236" spans="2:42">
      <c r="B236" s="20">
        <v>232</v>
      </c>
      <c r="C236" s="20">
        <v>223</v>
      </c>
      <c r="AK236">
        <v>83</v>
      </c>
      <c r="AL236">
        <v>215</v>
      </c>
      <c r="AM236">
        <v>0</v>
      </c>
      <c r="AN236" t="str">
        <v>ﺳﻮﺟﻴﺖ ﻛﻮﻣﺎﺭ ﻳﺎﺩﺍﻑ</v>
      </c>
      <c r="AO236">
        <v>0</v>
      </c>
      <c r="AP236" t="str">
        <v>FIN_D02</v>
      </c>
    </row>
    <row r="237" spans="2:42">
      <c r="B237" s="20">
        <v>233</v>
      </c>
      <c r="C237" s="20">
        <v>135</v>
      </c>
      <c r="AK237">
        <v>84</v>
      </c>
      <c r="AL237">
        <v>239</v>
      </c>
      <c r="AM237">
        <v>0</v>
      </c>
      <c r="AN237" t="str">
        <v>ﺑﺎﺑﻠﻮ ﺑﺎﺭﻛﻼﻩ</v>
      </c>
      <c r="AO237">
        <v>0</v>
      </c>
      <c r="AP237" t="str">
        <v>FIN_D02</v>
      </c>
    </row>
    <row r="238" spans="2:42">
      <c r="B238" s="20">
        <v>234</v>
      </c>
      <c r="C238" s="20">
        <v>390</v>
      </c>
      <c r="AK238">
        <v>85</v>
      </c>
      <c r="AL238">
        <v>191</v>
      </c>
      <c r="AM238">
        <v>0</v>
      </c>
      <c r="AN238" t="str">
        <v>ﺍﺑﻮﻝ ﻛﻼﻡ ﻣﺤﻤﺪ ﺳﻴﺮﺍﺝ</v>
      </c>
      <c r="AO238">
        <v>0</v>
      </c>
      <c r="AP238" t="str">
        <v>FIN_D02</v>
      </c>
    </row>
    <row r="239" spans="2:42">
      <c r="B239" s="20">
        <v>235</v>
      </c>
      <c r="C239" s="20" t="s">
        <v>96</v>
      </c>
      <c r="AK239">
        <v>86</v>
      </c>
      <c r="AL239">
        <v>240</v>
      </c>
      <c r="AM239">
        <v>0</v>
      </c>
      <c r="AN239" t="str">
        <v>ﻣﺤﻤﺪ ﺭﻳﺪﻭﻥ ﺩﻭﻻ ﻣﻴﺎ</v>
      </c>
      <c r="AO239">
        <v>0</v>
      </c>
      <c r="AP239" t="str">
        <v>FIN_D02</v>
      </c>
    </row>
    <row r="240" spans="2:42">
      <c r="B240" s="20">
        <v>236</v>
      </c>
      <c r="C240" s="20">
        <v>176</v>
      </c>
      <c r="AK240">
        <v>87</v>
      </c>
      <c r="AL240">
        <v>383</v>
      </c>
      <c r="AM240">
        <v>0</v>
      </c>
      <c r="AN240" t="str">
        <v>بهوان راي</v>
      </c>
      <c r="AO240">
        <v>0</v>
      </c>
      <c r="AP240" t="str">
        <v>FIN_D02</v>
      </c>
    </row>
    <row r="241" spans="2:42">
      <c r="B241" s="20">
        <v>237</v>
      </c>
      <c r="C241" s="20">
        <v>717</v>
      </c>
      <c r="AK241">
        <v>88</v>
      </c>
      <c r="AL241">
        <v>156</v>
      </c>
      <c r="AM241">
        <v>0</v>
      </c>
      <c r="AN241" t="str">
        <v>ﻓﺎﻧﻮﺩ ﻛﻮﻣﺎﺭ</v>
      </c>
      <c r="AO241">
        <v>0</v>
      </c>
      <c r="AP241" t="str">
        <v>FIN_D02</v>
      </c>
    </row>
    <row r="242" spans="2:42">
      <c r="B242" s="20">
        <v>238</v>
      </c>
      <c r="C242" s="20" t="s">
        <v>114</v>
      </c>
      <c r="AK242">
        <v>89</v>
      </c>
      <c r="AL242" t="str">
        <v>O249</v>
      </c>
      <c r="AM242">
        <v>0</v>
      </c>
      <c r="AN242" t="str">
        <v xml:space="preserve">جلال عبدالمؤمن برهان مصطفى </v>
      </c>
      <c r="AO242">
        <v>0</v>
      </c>
      <c r="AP242" t="str">
        <v>FIN_D02</v>
      </c>
    </row>
    <row r="243" spans="2:42">
      <c r="AK243">
        <v>90</v>
      </c>
      <c r="AL243" t="str">
        <v>O193</v>
      </c>
      <c r="AM243">
        <v>0</v>
      </c>
      <c r="AN243" t="str">
        <v>محمد صويب</v>
      </c>
      <c r="AO243">
        <v>0</v>
      </c>
      <c r="AP243" t="str">
        <v>FIN_D02</v>
      </c>
    </row>
    <row r="244" spans="2:42">
      <c r="AK244">
        <v>91</v>
      </c>
      <c r="AL244" t="str">
        <v>O197</v>
      </c>
      <c r="AM244">
        <v>0</v>
      </c>
      <c r="AN244" t="str">
        <v>محمد ارمان</v>
      </c>
      <c r="AO244">
        <v>0</v>
      </c>
      <c r="AP244" t="str">
        <v>FIN_D02</v>
      </c>
    </row>
    <row r="245" spans="2:42">
      <c r="AK245">
        <v>92</v>
      </c>
      <c r="AL245">
        <v>199</v>
      </c>
      <c r="AM245">
        <v>0</v>
      </c>
      <c r="AN245" t="str">
        <v>ﻧﺎﻧﺪﺍﻥ ﺷﻮﻫﺎﻥ</v>
      </c>
      <c r="AO245">
        <v>0</v>
      </c>
      <c r="AP245" t="str">
        <v>FIN_D02</v>
      </c>
    </row>
    <row r="246" spans="2:42">
      <c r="AK246">
        <v>93</v>
      </c>
      <c r="AL246">
        <v>407</v>
      </c>
      <c r="AM246">
        <v>0</v>
      </c>
      <c r="AN246" t="str">
        <v>دلشاد احمد وحيد احمد</v>
      </c>
      <c r="AO246">
        <v>0</v>
      </c>
      <c r="AP246" t="str">
        <v>FIN_D02</v>
      </c>
    </row>
    <row r="247" spans="2:42">
      <c r="AK247">
        <v>94</v>
      </c>
      <c r="AL247">
        <v>114</v>
      </c>
      <c r="AM247">
        <v>0</v>
      </c>
      <c r="AN247" t="str">
        <v>ﻫﺎﺟﺮﺍﺕ ﺟﺎﻫﻮﺭ ﻣﻴﺎ</v>
      </c>
      <c r="AO247">
        <v>0</v>
      </c>
      <c r="AP247" t="str">
        <v>FIN_D02</v>
      </c>
    </row>
    <row r="248" spans="2:42">
      <c r="AK248">
        <v>95</v>
      </c>
      <c r="AL248">
        <v>218</v>
      </c>
      <c r="AM248">
        <v>0</v>
      </c>
      <c r="AN248" t="str">
        <v>ﺃﻧﺼﺎﺭ ﺃﻻﻡ</v>
      </c>
      <c r="AO248">
        <v>0</v>
      </c>
      <c r="AP248" t="str">
        <v>FIN_D02</v>
      </c>
    </row>
    <row r="249" spans="2:42">
      <c r="AK249">
        <v>96</v>
      </c>
      <c r="AL249">
        <v>342</v>
      </c>
      <c r="AM249">
        <v>0</v>
      </c>
      <c r="AN249" t="str">
        <v xml:space="preserve">شاه نجار </v>
      </c>
      <c r="AO249">
        <v>0</v>
      </c>
      <c r="AP249" t="str">
        <v>FIN_D02</v>
      </c>
    </row>
    <row r="250" spans="2:42">
      <c r="AK250">
        <v>97</v>
      </c>
      <c r="AL250">
        <v>223</v>
      </c>
      <c r="AM250">
        <v>0</v>
      </c>
      <c r="AN250" t="str">
        <v>كولاب ميان</v>
      </c>
      <c r="AO250">
        <v>0</v>
      </c>
      <c r="AP250" t="str">
        <v>FIN_D02</v>
      </c>
    </row>
    <row r="251" spans="2:42">
      <c r="AK251">
        <v>98</v>
      </c>
      <c r="AL251">
        <v>135</v>
      </c>
      <c r="AM251">
        <v>0</v>
      </c>
      <c r="AN251" t="str">
        <v>ﺩﻫﺎﻥ ﺑﻬﺎﺩﻭﺭ ﺭﺍي</v>
      </c>
      <c r="AO251">
        <v>0</v>
      </c>
      <c r="AP251" t="str">
        <v>FIN_D02</v>
      </c>
    </row>
    <row r="252" spans="2:42">
      <c r="AK252">
        <v>99</v>
      </c>
      <c r="AL252">
        <v>390</v>
      </c>
      <c r="AM252">
        <v>0</v>
      </c>
      <c r="AN252" t="str">
        <v>السيد امام ابوالفتوح حسن</v>
      </c>
      <c r="AO252">
        <v>0</v>
      </c>
      <c r="AP252" t="str">
        <v>FIN_D02</v>
      </c>
    </row>
    <row r="253" spans="2:42">
      <c r="AK253">
        <v>100</v>
      </c>
      <c r="AL253" t="str">
        <v>O90</v>
      </c>
      <c r="AM253">
        <v>0</v>
      </c>
      <c r="AN253" t="str">
        <v>باهر عبدالفتاح إبراهيم</v>
      </c>
      <c r="AO253">
        <v>0</v>
      </c>
      <c r="AP253" t="str">
        <v>FIN_D02</v>
      </c>
    </row>
    <row r="254" spans="2:42">
      <c r="AK254">
        <v>101</v>
      </c>
      <c r="AL254">
        <v>495</v>
      </c>
      <c r="AM254">
        <v>0</v>
      </c>
      <c r="AN254" t="str">
        <v xml:space="preserve">شك بدري الم </v>
      </c>
      <c r="AO254">
        <v>0</v>
      </c>
      <c r="AP254" t="str">
        <v>FIN_D02</v>
      </c>
    </row>
    <row r="255" spans="2:42">
      <c r="AK255">
        <v>102</v>
      </c>
      <c r="AL255">
        <v>176</v>
      </c>
      <c r="AM255">
        <v>0</v>
      </c>
      <c r="AN255" t="str">
        <v>ﻛﻠﻴﻢ ﺍﻟﻠﻪ ﻋﺒﺪ ﺍﻟﻜﻼﻡ</v>
      </c>
      <c r="AO255">
        <v>0</v>
      </c>
      <c r="AP255" t="str">
        <v>FIN_D02</v>
      </c>
    </row>
    <row r="256" spans="2:42">
      <c r="AK256">
        <v>103</v>
      </c>
      <c r="AL256">
        <v>717</v>
      </c>
      <c r="AM256">
        <v>0</v>
      </c>
      <c r="AN256" t="str">
        <v>احمد عبد الرحمن احمد الجزار</v>
      </c>
      <c r="AO256">
        <v>0</v>
      </c>
      <c r="AP256" t="str">
        <v>FIN_D02</v>
      </c>
    </row>
    <row r="257" spans="37:42">
      <c r="AK257">
        <v>104</v>
      </c>
      <c r="AL257" t="str">
        <v>O341</v>
      </c>
      <c r="AM257">
        <v>0</v>
      </c>
      <c r="AN257" t="str">
        <v xml:space="preserve">مسعود محمد محمود الطيب </v>
      </c>
      <c r="AO257">
        <v>0</v>
      </c>
      <c r="AP257" t="str">
        <v>FIN_D02</v>
      </c>
    </row>
    <row r="258" spans="37:42">
      <c r="AK258">
        <v>105</v>
      </c>
      <c r="AL258">
        <v>0</v>
      </c>
      <c r="AM258">
        <v>0</v>
      </c>
      <c r="AN258">
        <v>0</v>
      </c>
      <c r="AO258">
        <v>0</v>
      </c>
      <c r="AP258" t="str">
        <v>FIN_D02</v>
      </c>
    </row>
    <row r="259" spans="37:42">
      <c r="AK259">
        <v>106</v>
      </c>
      <c r="AL259">
        <v>0</v>
      </c>
      <c r="AM259">
        <v>0</v>
      </c>
      <c r="AN259">
        <v>0</v>
      </c>
      <c r="AO259">
        <v>0</v>
      </c>
      <c r="AP259" t="str">
        <v>FIN_D02</v>
      </c>
    </row>
    <row r="260" spans="37:42">
      <c r="AK260">
        <v>107</v>
      </c>
      <c r="AL260">
        <v>0</v>
      </c>
      <c r="AM260">
        <v>0</v>
      </c>
      <c r="AN260">
        <v>0</v>
      </c>
      <c r="AO260">
        <v>0</v>
      </c>
      <c r="AP260" t="str">
        <v>FIN_D02</v>
      </c>
    </row>
    <row r="261" spans="37:42">
      <c r="AK261">
        <v>108</v>
      </c>
      <c r="AL261">
        <v>0</v>
      </c>
      <c r="AM261">
        <v>0</v>
      </c>
      <c r="AN261">
        <v>0</v>
      </c>
      <c r="AO261">
        <v>0</v>
      </c>
      <c r="AP261" t="str">
        <v>FIN_D02</v>
      </c>
    </row>
    <row r="262" spans="37:42">
      <c r="AK262">
        <v>109</v>
      </c>
      <c r="AL262">
        <v>0</v>
      </c>
      <c r="AM262">
        <v>0</v>
      </c>
      <c r="AN262">
        <v>0</v>
      </c>
      <c r="AO262">
        <v>0</v>
      </c>
      <c r="AP262" t="str">
        <v>FIN_D02</v>
      </c>
    </row>
    <row r="263" spans="37:42">
      <c r="AK263">
        <v>110</v>
      </c>
      <c r="AL263">
        <v>0</v>
      </c>
      <c r="AM263">
        <v>0</v>
      </c>
      <c r="AN263">
        <v>0</v>
      </c>
      <c r="AO263">
        <v>0</v>
      </c>
      <c r="AP263" t="str">
        <v>FIN_D02</v>
      </c>
    </row>
    <row r="264" spans="37:42">
      <c r="AK264">
        <v>111</v>
      </c>
      <c r="AL264">
        <v>0</v>
      </c>
      <c r="AM264">
        <v>0</v>
      </c>
      <c r="AN264">
        <v>0</v>
      </c>
      <c r="AO264">
        <v>0</v>
      </c>
      <c r="AP264" t="str">
        <v>FIN_D02</v>
      </c>
    </row>
    <row r="265" spans="37:42">
      <c r="AK265">
        <v>112</v>
      </c>
      <c r="AL265">
        <v>0</v>
      </c>
      <c r="AM265">
        <v>0</v>
      </c>
      <c r="AN265">
        <v>0</v>
      </c>
      <c r="AO265">
        <v>0</v>
      </c>
      <c r="AP265" t="str">
        <v>FIN_D02</v>
      </c>
    </row>
    <row r="266" spans="37:42">
      <c r="AK266">
        <v>113</v>
      </c>
      <c r="AL266">
        <v>0</v>
      </c>
      <c r="AM266">
        <v>0</v>
      </c>
      <c r="AN266">
        <v>0</v>
      </c>
      <c r="AO266">
        <v>0</v>
      </c>
      <c r="AP266" t="str">
        <v>FIN_D02</v>
      </c>
    </row>
    <row r="267" spans="37:42">
      <c r="AK267">
        <v>114</v>
      </c>
      <c r="AL267">
        <v>0</v>
      </c>
      <c r="AM267">
        <v>0</v>
      </c>
      <c r="AN267">
        <v>0</v>
      </c>
      <c r="AO267">
        <v>0</v>
      </c>
      <c r="AP267" t="str">
        <v>FIN_D02</v>
      </c>
    </row>
    <row r="268" spans="37:42">
      <c r="AK268">
        <v>115</v>
      </c>
      <c r="AL268">
        <v>0</v>
      </c>
      <c r="AM268">
        <v>0</v>
      </c>
      <c r="AN268">
        <v>0</v>
      </c>
      <c r="AO268">
        <v>0</v>
      </c>
      <c r="AP268" t="str">
        <v>FIN_D02</v>
      </c>
    </row>
    <row r="269" spans="37:42">
      <c r="AK269">
        <v>116</v>
      </c>
      <c r="AL269">
        <v>0</v>
      </c>
      <c r="AM269">
        <v>0</v>
      </c>
      <c r="AN269">
        <v>0</v>
      </c>
      <c r="AO269">
        <v>0</v>
      </c>
      <c r="AP269" t="str">
        <v>FIN_D02</v>
      </c>
    </row>
    <row r="270" spans="37:42">
      <c r="AK270">
        <v>117</v>
      </c>
      <c r="AL270">
        <v>0</v>
      </c>
      <c r="AM270">
        <v>0</v>
      </c>
      <c r="AN270">
        <v>0</v>
      </c>
      <c r="AO270">
        <v>0</v>
      </c>
      <c r="AP270" t="str">
        <v>FIN_D02</v>
      </c>
    </row>
    <row r="271" spans="37:42">
      <c r="AK271">
        <v>118</v>
      </c>
      <c r="AL271">
        <v>0</v>
      </c>
      <c r="AM271">
        <v>0</v>
      </c>
      <c r="AN271">
        <v>0</v>
      </c>
      <c r="AO271">
        <v>0</v>
      </c>
      <c r="AP271" t="str">
        <v>FIN_D02</v>
      </c>
    </row>
    <row r="272" spans="37:42">
      <c r="AK272">
        <v>119</v>
      </c>
      <c r="AL272">
        <v>0</v>
      </c>
      <c r="AM272">
        <v>0</v>
      </c>
      <c r="AN272">
        <v>0</v>
      </c>
      <c r="AO272">
        <v>0</v>
      </c>
      <c r="AP272" t="str">
        <v>FIN_D02</v>
      </c>
    </row>
    <row r="273" spans="37:42">
      <c r="AK273">
        <v>120</v>
      </c>
      <c r="AL273">
        <v>0</v>
      </c>
      <c r="AM273">
        <v>0</v>
      </c>
      <c r="AN273">
        <v>0</v>
      </c>
      <c r="AO273">
        <v>0</v>
      </c>
      <c r="AP273" t="str">
        <v>FIN_D02</v>
      </c>
    </row>
    <row r="274" spans="37:42">
      <c r="AK274">
        <v>121</v>
      </c>
      <c r="AL274">
        <v>0</v>
      </c>
      <c r="AM274">
        <v>0</v>
      </c>
      <c r="AN274">
        <v>0</v>
      </c>
      <c r="AO274">
        <v>0</v>
      </c>
      <c r="AP274" t="str">
        <v>FIN_D02</v>
      </c>
    </row>
    <row r="275" spans="37:42">
      <c r="AK275">
        <v>122</v>
      </c>
      <c r="AL275">
        <v>0</v>
      </c>
      <c r="AM275">
        <v>0</v>
      </c>
      <c r="AN275">
        <v>0</v>
      </c>
      <c r="AO275">
        <v>0</v>
      </c>
      <c r="AP275" t="str">
        <v>FIN_D02</v>
      </c>
    </row>
    <row r="276" spans="37:42">
      <c r="AK276">
        <v>123</v>
      </c>
      <c r="AL276">
        <v>0</v>
      </c>
      <c r="AM276">
        <v>0</v>
      </c>
      <c r="AN276">
        <v>0</v>
      </c>
      <c r="AO276">
        <v>0</v>
      </c>
      <c r="AP276" t="str">
        <v>FIN_D02</v>
      </c>
    </row>
    <row r="277" spans="37:42">
      <c r="AK277">
        <v>124</v>
      </c>
      <c r="AL277">
        <v>0</v>
      </c>
      <c r="AM277">
        <v>0</v>
      </c>
      <c r="AN277">
        <v>0</v>
      </c>
      <c r="AO277">
        <v>0</v>
      </c>
      <c r="AP277" t="str">
        <v>FIN_D02</v>
      </c>
    </row>
    <row r="278" spans="37:42">
      <c r="AK278">
        <v>125</v>
      </c>
      <c r="AL278">
        <v>0</v>
      </c>
      <c r="AM278">
        <v>0</v>
      </c>
      <c r="AN278">
        <v>0</v>
      </c>
      <c r="AO278">
        <v>0</v>
      </c>
      <c r="AP278" t="str">
        <v>FIN_D02</v>
      </c>
    </row>
    <row r="279" spans="37:42">
      <c r="AK279">
        <v>126</v>
      </c>
      <c r="AL279">
        <v>0</v>
      </c>
      <c r="AM279">
        <v>0</v>
      </c>
      <c r="AN279">
        <v>0</v>
      </c>
      <c r="AO279">
        <v>0</v>
      </c>
      <c r="AP279" t="str">
        <v>FIN_D02</v>
      </c>
    </row>
    <row r="280" spans="37:42">
      <c r="AK280">
        <v>127</v>
      </c>
      <c r="AL280">
        <v>0</v>
      </c>
      <c r="AM280">
        <v>0</v>
      </c>
      <c r="AN280">
        <v>0</v>
      </c>
      <c r="AO280">
        <v>0</v>
      </c>
      <c r="AP280" t="str">
        <v>FIN_D02</v>
      </c>
    </row>
    <row r="281" spans="37:42">
      <c r="AK281">
        <v>128</v>
      </c>
      <c r="AL281">
        <v>0</v>
      </c>
      <c r="AM281">
        <v>0</v>
      </c>
      <c r="AN281">
        <v>0</v>
      </c>
      <c r="AO281">
        <v>0</v>
      </c>
      <c r="AP281" t="str">
        <v>FIN_D02</v>
      </c>
    </row>
    <row r="282" spans="37:42">
      <c r="AK282">
        <v>129</v>
      </c>
      <c r="AL282">
        <v>0</v>
      </c>
      <c r="AM282">
        <v>0</v>
      </c>
      <c r="AN282">
        <v>0</v>
      </c>
      <c r="AO282">
        <v>0</v>
      </c>
      <c r="AP282" t="str">
        <v>FIN_D02</v>
      </c>
    </row>
    <row r="283" spans="37:42">
      <c r="AK283">
        <v>130</v>
      </c>
      <c r="AL283">
        <v>0</v>
      </c>
      <c r="AM283">
        <v>0</v>
      </c>
      <c r="AN283">
        <v>0</v>
      </c>
      <c r="AO283">
        <v>0</v>
      </c>
      <c r="AP283" t="str">
        <v>FIN_D02</v>
      </c>
    </row>
    <row r="284" spans="37:42">
      <c r="AK284">
        <v>131</v>
      </c>
      <c r="AL284">
        <v>0</v>
      </c>
      <c r="AM284">
        <v>0</v>
      </c>
      <c r="AN284">
        <v>0</v>
      </c>
      <c r="AO284">
        <v>0</v>
      </c>
      <c r="AP284" t="str">
        <v>FIN_D02</v>
      </c>
    </row>
    <row r="285" spans="37:42">
      <c r="AK285">
        <v>132</v>
      </c>
      <c r="AL285">
        <v>0</v>
      </c>
      <c r="AM285">
        <v>0</v>
      </c>
      <c r="AN285">
        <v>0</v>
      </c>
      <c r="AO285">
        <v>0</v>
      </c>
      <c r="AP285" t="str">
        <v>FIN_D02</v>
      </c>
    </row>
    <row r="286" spans="37:42">
      <c r="AK286">
        <v>133</v>
      </c>
      <c r="AL286">
        <v>0</v>
      </c>
      <c r="AM286">
        <v>0</v>
      </c>
      <c r="AN286">
        <v>0</v>
      </c>
      <c r="AO286">
        <v>0</v>
      </c>
      <c r="AP286" t="str">
        <v>FIN_D02</v>
      </c>
    </row>
    <row r="287" spans="37:42">
      <c r="AK287">
        <v>134</v>
      </c>
      <c r="AL287">
        <v>0</v>
      </c>
      <c r="AM287">
        <v>0</v>
      </c>
      <c r="AN287">
        <v>0</v>
      </c>
      <c r="AO287">
        <v>0</v>
      </c>
      <c r="AP287" t="str">
        <v>FIN_D02</v>
      </c>
    </row>
    <row r="288" spans="37:42">
      <c r="AK288">
        <v>135</v>
      </c>
      <c r="AL288">
        <v>0</v>
      </c>
      <c r="AM288">
        <v>0</v>
      </c>
      <c r="AN288">
        <v>0</v>
      </c>
      <c r="AO288">
        <v>0</v>
      </c>
      <c r="AP288" t="str">
        <v>FIN_D02</v>
      </c>
    </row>
    <row r="289" spans="37:42">
      <c r="AK289">
        <v>1</v>
      </c>
      <c r="AL289">
        <v>146</v>
      </c>
      <c r="AM289">
        <v>0</v>
      </c>
      <c r="AN289" t="str">
        <v>ﻣﺎﻣﻮﻥ ﺍﺣﻤﺪ ﺷﻮﻧﻮ ﻣﻴﺎﻩ</v>
      </c>
      <c r="AO289">
        <v>0</v>
      </c>
      <c r="AP289" t="str">
        <v>ADM_D01</v>
      </c>
    </row>
    <row r="290" spans="37:42">
      <c r="AK290">
        <v>2</v>
      </c>
      <c r="AL290">
        <v>228</v>
      </c>
      <c r="AM290">
        <v>0</v>
      </c>
      <c r="AN290" t="str">
        <v>ﻣﺎﻣﻮﻥ ﺍﻟﺮﺷﻴﺪ ﻧﻮﺭ ﺍﻟﻘﺎﺩﺭ</v>
      </c>
      <c r="AO290">
        <v>0</v>
      </c>
      <c r="AP290" t="str">
        <v>ADM_D01</v>
      </c>
    </row>
    <row r="291" spans="37:42">
      <c r="AK291">
        <v>3</v>
      </c>
      <c r="AL291">
        <v>189</v>
      </c>
      <c r="AM291">
        <v>0</v>
      </c>
      <c r="AN291" t="str">
        <v>ﺳﺎﺭﺍﺟﻮﺩﺩﻳﻦ ﺍﻧﺼﺎﺭﻯ</v>
      </c>
      <c r="AO291">
        <v>0</v>
      </c>
      <c r="AP291" t="str">
        <v>ADM_D01</v>
      </c>
    </row>
    <row r="292" spans="37:42">
      <c r="AK292">
        <v>4</v>
      </c>
      <c r="AL292">
        <v>314</v>
      </c>
      <c r="AM292">
        <v>0</v>
      </c>
      <c r="AN292" t="str">
        <v>محمد عرلاان</v>
      </c>
      <c r="AO292">
        <v>0</v>
      </c>
      <c r="AP292" t="str">
        <v>ADM_D01</v>
      </c>
    </row>
    <row r="293" spans="37:42">
      <c r="AK293">
        <v>5</v>
      </c>
      <c r="AL293">
        <v>284</v>
      </c>
      <c r="AM293">
        <v>0</v>
      </c>
      <c r="AN293" t="str">
        <v>عبد الرؤف جمعه احمد علي</v>
      </c>
      <c r="AO293">
        <v>0</v>
      </c>
      <c r="AP293" t="str">
        <v>ADM_D01</v>
      </c>
    </row>
    <row r="294" spans="37:42">
      <c r="AK294">
        <v>6</v>
      </c>
      <c r="AL294">
        <v>440</v>
      </c>
      <c r="AM294">
        <v>0</v>
      </c>
      <c r="AN294" t="str">
        <v>سادكي كوندا</v>
      </c>
      <c r="AO294">
        <v>0</v>
      </c>
      <c r="AP294" t="str">
        <v>ADM_D01</v>
      </c>
    </row>
    <row r="295" spans="37:42">
      <c r="AK295">
        <v>7</v>
      </c>
      <c r="AL295" t="str">
        <v>O304</v>
      </c>
      <c r="AM295">
        <v>0</v>
      </c>
      <c r="AN295" t="str">
        <v>صلاح عبدالرحمن الحاج احمد</v>
      </c>
      <c r="AO295">
        <v>0</v>
      </c>
      <c r="AP295" t="str">
        <v>ADM_D01</v>
      </c>
    </row>
    <row r="296" spans="37:42">
      <c r="AK296">
        <v>8</v>
      </c>
      <c r="AL296" t="str">
        <v>O143</v>
      </c>
      <c r="AM296">
        <v>0</v>
      </c>
      <c r="AN296" t="str">
        <v>محمد عبد الخان</v>
      </c>
      <c r="AO296">
        <v>0</v>
      </c>
      <c r="AP296" t="str">
        <v>ADM_D01</v>
      </c>
    </row>
    <row r="297" spans="37:42">
      <c r="AK297">
        <v>9</v>
      </c>
      <c r="AL297" t="str">
        <v>O246</v>
      </c>
      <c r="AM297">
        <v>0</v>
      </c>
      <c r="AN297" t="str">
        <v xml:space="preserve">أرسلان احمد الطاف حسين </v>
      </c>
      <c r="AO297">
        <v>0</v>
      </c>
      <c r="AP297" t="str">
        <v>ADM_D01</v>
      </c>
    </row>
    <row r="298" spans="37:42">
      <c r="AK298">
        <v>10</v>
      </c>
      <c r="AL298">
        <v>494</v>
      </c>
      <c r="AM298">
        <v>0</v>
      </c>
      <c r="AN298" t="str">
        <v>منصور عالم مجنو مياه</v>
      </c>
      <c r="AO298">
        <v>0</v>
      </c>
      <c r="AP298" t="str">
        <v>ADM_D01</v>
      </c>
    </row>
    <row r="299" spans="37:42">
      <c r="AK299">
        <v>11</v>
      </c>
      <c r="AL299">
        <v>515</v>
      </c>
      <c r="AM299">
        <v>0</v>
      </c>
      <c r="AN299" t="str">
        <v>محمد شفيق محمد اروص</v>
      </c>
      <c r="AO299">
        <v>0</v>
      </c>
      <c r="AP299" t="str">
        <v>ADM_D01</v>
      </c>
    </row>
    <row r="300" spans="37:42">
      <c r="AK300">
        <v>12</v>
      </c>
      <c r="AL300" t="str">
        <v>O309</v>
      </c>
      <c r="AM300">
        <v>0</v>
      </c>
      <c r="AN300" t="str">
        <v>محمد أبو محمد حانف</v>
      </c>
      <c r="AO300">
        <v>0</v>
      </c>
      <c r="AP300" t="str">
        <v>ADM_D01</v>
      </c>
    </row>
    <row r="301" spans="37:42">
      <c r="AK301">
        <v>1</v>
      </c>
      <c r="AL301">
        <v>0</v>
      </c>
      <c r="AM301">
        <v>0</v>
      </c>
      <c r="AN301">
        <v>0</v>
      </c>
      <c r="AO301">
        <v>0</v>
      </c>
      <c r="AP301" t="str">
        <v>ELE_D04</v>
      </c>
    </row>
    <row r="302" spans="37:42">
      <c r="AK302">
        <v>2</v>
      </c>
      <c r="AL302">
        <v>0</v>
      </c>
      <c r="AM302">
        <v>0</v>
      </c>
      <c r="AN302">
        <v>0</v>
      </c>
      <c r="AO302">
        <v>0</v>
      </c>
      <c r="AP302" t="str">
        <v>ELE_D04</v>
      </c>
    </row>
    <row r="303" spans="37:42">
      <c r="AK303">
        <v>3</v>
      </c>
      <c r="AL303">
        <v>0</v>
      </c>
      <c r="AM303">
        <v>0</v>
      </c>
      <c r="AN303">
        <v>0</v>
      </c>
      <c r="AO303">
        <v>0</v>
      </c>
      <c r="AP303" t="str">
        <v>ELE_D04</v>
      </c>
    </row>
    <row r="304" spans="37:42">
      <c r="AK304">
        <v>4</v>
      </c>
      <c r="AL304">
        <v>0</v>
      </c>
      <c r="AM304">
        <v>0</v>
      </c>
      <c r="AN304">
        <v>0</v>
      </c>
      <c r="AO304">
        <v>0</v>
      </c>
      <c r="AP304" t="str">
        <v>ELE_D04</v>
      </c>
    </row>
    <row r="305" spans="37:42">
      <c r="AK305">
        <v>5</v>
      </c>
      <c r="AL305">
        <v>0</v>
      </c>
      <c r="AM305">
        <v>0</v>
      </c>
      <c r="AN305">
        <v>0</v>
      </c>
      <c r="AO305">
        <v>0</v>
      </c>
      <c r="AP305" t="str">
        <v>ELE_D04</v>
      </c>
    </row>
    <row r="306" spans="37:42">
      <c r="AK306">
        <v>6</v>
      </c>
      <c r="AL306">
        <v>0</v>
      </c>
      <c r="AM306">
        <v>0</v>
      </c>
      <c r="AN306">
        <v>0</v>
      </c>
      <c r="AO306">
        <v>0</v>
      </c>
      <c r="AP306" t="str">
        <v>ELE_D04</v>
      </c>
    </row>
    <row r="307" spans="37:42">
      <c r="AK307">
        <v>7</v>
      </c>
      <c r="AL307">
        <v>0</v>
      </c>
      <c r="AM307">
        <v>0</v>
      </c>
      <c r="AN307">
        <v>0</v>
      </c>
      <c r="AO307">
        <v>0</v>
      </c>
      <c r="AP307" t="str">
        <v>ELE_D04</v>
      </c>
    </row>
    <row r="308" spans="37:42">
      <c r="AK308">
        <v>8</v>
      </c>
      <c r="AL308">
        <v>0</v>
      </c>
      <c r="AM308">
        <v>0</v>
      </c>
      <c r="AN308">
        <v>0</v>
      </c>
      <c r="AO308">
        <v>0</v>
      </c>
      <c r="AP308" t="str">
        <v>ELE_D04</v>
      </c>
    </row>
    <row r="309" spans="37:42">
      <c r="AK309">
        <v>9</v>
      </c>
      <c r="AL309">
        <v>0</v>
      </c>
      <c r="AM309">
        <v>0</v>
      </c>
      <c r="AN309">
        <v>0</v>
      </c>
      <c r="AO309">
        <v>0</v>
      </c>
      <c r="AP309" t="str">
        <v>ELE_D04</v>
      </c>
    </row>
    <row r="310" spans="37:42">
      <c r="AK310">
        <v>10</v>
      </c>
      <c r="AL310">
        <v>0</v>
      </c>
      <c r="AM310">
        <v>0</v>
      </c>
      <c r="AN310">
        <v>0</v>
      </c>
      <c r="AO310">
        <v>0</v>
      </c>
      <c r="AP310" t="str">
        <v>ELE_D04</v>
      </c>
    </row>
    <row r="311" spans="37:42">
      <c r="AK311">
        <v>11</v>
      </c>
      <c r="AL311">
        <v>0</v>
      </c>
      <c r="AM311">
        <v>0</v>
      </c>
      <c r="AN311">
        <v>0</v>
      </c>
      <c r="AO311">
        <v>0</v>
      </c>
      <c r="AP311" t="str">
        <v>ELE_D04</v>
      </c>
    </row>
    <row r="312" spans="37:42">
      <c r="AK312">
        <v>12</v>
      </c>
      <c r="AL312">
        <v>0</v>
      </c>
      <c r="AM312">
        <v>0</v>
      </c>
      <c r="AN312">
        <v>0</v>
      </c>
      <c r="AO312">
        <v>0</v>
      </c>
      <c r="AP312" t="str">
        <v>ELE_D04</v>
      </c>
    </row>
    <row r="313" spans="37:42">
      <c r="AK313">
        <v>1</v>
      </c>
      <c r="AL313">
        <v>0</v>
      </c>
      <c r="AM313">
        <v>0</v>
      </c>
      <c r="AN313">
        <v>0</v>
      </c>
      <c r="AO313">
        <v>0</v>
      </c>
      <c r="AP313" t="str">
        <v>PLM_D05</v>
      </c>
    </row>
    <row r="314" spans="37:42">
      <c r="AK314">
        <v>2</v>
      </c>
      <c r="AL314">
        <v>0</v>
      </c>
      <c r="AM314">
        <v>0</v>
      </c>
      <c r="AN314">
        <v>0</v>
      </c>
      <c r="AO314">
        <v>0</v>
      </c>
      <c r="AP314" t="str">
        <v>PLM_D05</v>
      </c>
    </row>
    <row r="315" spans="37:42">
      <c r="AK315">
        <v>3</v>
      </c>
      <c r="AL315">
        <v>0</v>
      </c>
      <c r="AM315">
        <v>0</v>
      </c>
      <c r="AN315">
        <v>0</v>
      </c>
      <c r="AO315">
        <v>0</v>
      </c>
      <c r="AP315" t="str">
        <v>PLM_D05</v>
      </c>
    </row>
    <row r="316" spans="37:42">
      <c r="AK316">
        <v>4</v>
      </c>
      <c r="AL316">
        <v>0</v>
      </c>
      <c r="AM316">
        <v>0</v>
      </c>
      <c r="AN316">
        <v>0</v>
      </c>
      <c r="AO316">
        <v>0</v>
      </c>
      <c r="AP316" t="str">
        <v>PLM_D05</v>
      </c>
    </row>
    <row r="317" spans="37:42">
      <c r="AK317">
        <v>5</v>
      </c>
      <c r="AL317">
        <v>0</v>
      </c>
      <c r="AM317">
        <v>0</v>
      </c>
      <c r="AN317">
        <v>0</v>
      </c>
      <c r="AO317">
        <v>0</v>
      </c>
      <c r="AP317" t="str">
        <v>PLM_D05</v>
      </c>
    </row>
    <row r="318" spans="37:42">
      <c r="AK318">
        <v>6</v>
      </c>
      <c r="AL318">
        <v>0</v>
      </c>
      <c r="AM318">
        <v>0</v>
      </c>
      <c r="AN318">
        <v>0</v>
      </c>
      <c r="AO318">
        <v>0</v>
      </c>
      <c r="AP318" t="str">
        <v>PLM_D05</v>
      </c>
    </row>
    <row r="319" spans="37:42">
      <c r="AK319">
        <v>7</v>
      </c>
      <c r="AL319">
        <v>0</v>
      </c>
      <c r="AM319">
        <v>0</v>
      </c>
      <c r="AN319">
        <v>0</v>
      </c>
      <c r="AO319">
        <v>0</v>
      </c>
      <c r="AP319" t="str">
        <v>PLM_D05</v>
      </c>
    </row>
    <row r="320" spans="37:42">
      <c r="AK320">
        <v>8</v>
      </c>
      <c r="AL320">
        <v>0</v>
      </c>
      <c r="AM320">
        <v>0</v>
      </c>
      <c r="AN320">
        <v>0</v>
      </c>
      <c r="AO320">
        <v>0</v>
      </c>
      <c r="AP320" t="str">
        <v>PLM_D05</v>
      </c>
    </row>
    <row r="321" spans="37:42">
      <c r="AK321">
        <v>9</v>
      </c>
      <c r="AL321">
        <v>0</v>
      </c>
      <c r="AM321">
        <v>0</v>
      </c>
      <c r="AN321">
        <v>0</v>
      </c>
      <c r="AO321">
        <v>0</v>
      </c>
      <c r="AP321" t="str">
        <v>PLM_D05</v>
      </c>
    </row>
    <row r="322" spans="37:42">
      <c r="AK322">
        <v>10</v>
      </c>
      <c r="AL322">
        <v>0</v>
      </c>
      <c r="AM322">
        <v>0</v>
      </c>
      <c r="AN322">
        <v>0</v>
      </c>
      <c r="AO322">
        <v>0</v>
      </c>
      <c r="AP322" t="str">
        <v>PLM_D05</v>
      </c>
    </row>
    <row r="323" spans="37:42">
      <c r="AK323">
        <v>11</v>
      </c>
      <c r="AL323">
        <v>0</v>
      </c>
      <c r="AM323">
        <v>0</v>
      </c>
      <c r="AN323">
        <v>0</v>
      </c>
      <c r="AO323">
        <v>0</v>
      </c>
      <c r="AP323" t="str">
        <v>PLM_D05</v>
      </c>
    </row>
    <row r="324" spans="37:42">
      <c r="AK324">
        <v>12</v>
      </c>
      <c r="AL324">
        <v>0</v>
      </c>
      <c r="AM324">
        <v>0</v>
      </c>
      <c r="AN324">
        <v>0</v>
      </c>
      <c r="AO324">
        <v>0</v>
      </c>
      <c r="AP324" t="str">
        <v>PLM_D05</v>
      </c>
    </row>
    <row r="325" spans="37:42">
      <c r="AK325">
        <v>1</v>
      </c>
      <c r="AL325">
        <v>0</v>
      </c>
      <c r="AM325">
        <v>0</v>
      </c>
      <c r="AN325">
        <v>0</v>
      </c>
      <c r="AO325">
        <v>0</v>
      </c>
      <c r="AP325" t="str">
        <v>STN_D06</v>
      </c>
    </row>
    <row r="326" spans="37:42">
      <c r="AK326">
        <v>2</v>
      </c>
      <c r="AL326">
        <v>0</v>
      </c>
      <c r="AM326">
        <v>0</v>
      </c>
      <c r="AN326">
        <v>0</v>
      </c>
      <c r="AO326">
        <v>0</v>
      </c>
      <c r="AP326" t="str">
        <v>STN_D06</v>
      </c>
    </row>
    <row r="327" spans="37:42">
      <c r="AK327">
        <v>3</v>
      </c>
      <c r="AL327">
        <v>0</v>
      </c>
      <c r="AM327">
        <v>0</v>
      </c>
      <c r="AN327">
        <v>0</v>
      </c>
      <c r="AO327">
        <v>0</v>
      </c>
      <c r="AP327" t="str">
        <v>STN_D06</v>
      </c>
    </row>
    <row r="328" spans="37:42">
      <c r="AK328">
        <v>4</v>
      </c>
      <c r="AL328">
        <v>0</v>
      </c>
      <c r="AM328">
        <v>0</v>
      </c>
      <c r="AN328">
        <v>0</v>
      </c>
      <c r="AO328">
        <v>0</v>
      </c>
      <c r="AP328" t="str">
        <v>STN_D06</v>
      </c>
    </row>
    <row r="329" spans="37:42">
      <c r="AK329">
        <v>5</v>
      </c>
      <c r="AL329">
        <v>0</v>
      </c>
      <c r="AM329">
        <v>0</v>
      </c>
      <c r="AN329">
        <v>0</v>
      </c>
      <c r="AO329">
        <v>0</v>
      </c>
      <c r="AP329" t="str">
        <v>STN_D06</v>
      </c>
    </row>
    <row r="330" spans="37:42">
      <c r="AK330">
        <v>6</v>
      </c>
      <c r="AL330">
        <v>0</v>
      </c>
      <c r="AM330">
        <v>0</v>
      </c>
      <c r="AN330">
        <v>0</v>
      </c>
      <c r="AO330">
        <v>0</v>
      </c>
      <c r="AP330" t="str">
        <v>STN_D06</v>
      </c>
    </row>
    <row r="331" spans="37:42">
      <c r="AK331">
        <v>7</v>
      </c>
      <c r="AL331">
        <v>0</v>
      </c>
      <c r="AM331">
        <v>0</v>
      </c>
      <c r="AN331">
        <v>0</v>
      </c>
      <c r="AO331">
        <v>0</v>
      </c>
      <c r="AP331" t="str">
        <v>STN_D06</v>
      </c>
    </row>
    <row r="332" spans="37:42">
      <c r="AK332">
        <v>8</v>
      </c>
      <c r="AL332">
        <v>0</v>
      </c>
      <c r="AM332">
        <v>0</v>
      </c>
      <c r="AN332">
        <v>0</v>
      </c>
      <c r="AO332">
        <v>0</v>
      </c>
      <c r="AP332" t="str">
        <v>STN_D06</v>
      </c>
    </row>
    <row r="333" spans="37:42">
      <c r="AK333">
        <v>9</v>
      </c>
      <c r="AL333">
        <v>0</v>
      </c>
      <c r="AM333">
        <v>0</v>
      </c>
      <c r="AN333">
        <v>0</v>
      </c>
      <c r="AO333">
        <v>0</v>
      </c>
      <c r="AP333" t="str">
        <v>STN_D06</v>
      </c>
    </row>
    <row r="334" spans="37:42">
      <c r="AK334">
        <v>10</v>
      </c>
      <c r="AL334">
        <v>0</v>
      </c>
      <c r="AM334">
        <v>0</v>
      </c>
      <c r="AN334">
        <v>0</v>
      </c>
      <c r="AO334">
        <v>0</v>
      </c>
      <c r="AP334" t="str">
        <v>STN_D06</v>
      </c>
    </row>
    <row r="335" spans="37:42">
      <c r="AK335">
        <v>11</v>
      </c>
      <c r="AL335">
        <v>0</v>
      </c>
      <c r="AM335">
        <v>0</v>
      </c>
      <c r="AN335">
        <v>0</v>
      </c>
      <c r="AO335">
        <v>0</v>
      </c>
      <c r="AP335" t="str">
        <v>STN_D06</v>
      </c>
    </row>
    <row r="336" spans="37:42">
      <c r="AK336">
        <v>12</v>
      </c>
      <c r="AL336">
        <v>0</v>
      </c>
      <c r="AM336">
        <v>0</v>
      </c>
      <c r="AN336">
        <v>0</v>
      </c>
      <c r="AO336">
        <v>0</v>
      </c>
      <c r="AP336" t="str">
        <v>STN_D06</v>
      </c>
    </row>
  </sheetData>
  <mergeCells count="10">
    <mergeCell ref="CA1:CC2"/>
    <mergeCell ref="CH1:CJ2"/>
    <mergeCell ref="X2:Y2"/>
    <mergeCell ref="AR1:AT2"/>
    <mergeCell ref="AY1:BA2"/>
    <mergeCell ref="F2:H2"/>
    <mergeCell ref="B2:C2"/>
    <mergeCell ref="BF1:BH2"/>
    <mergeCell ref="BM1:BO2"/>
    <mergeCell ref="BT1:BV2"/>
  </mergeCells>
  <phoneticPr fontId="15" type="noConversion"/>
  <dataValidations disablePrompts="1" count="2">
    <dataValidation type="list" allowBlank="1" showInputMessage="1" showErrorMessage="1" sqref="H5:H25" xr:uid="{51781554-7351-4436-83FF-E5D32984054B}">
      <formula1>INDIRECT("tbl_Dept[Dept_Name]")</formula1>
    </dataValidation>
    <dataValidation type="list" allowBlank="1" showInputMessage="1" showErrorMessage="1" sqref="F5:F25" xr:uid="{79AE03F3-4196-4DC1-A9CA-EB6971F257D4}">
      <formula1>$AN$4:$AN$1048576</formula1>
    </dataValidation>
  </dataValidations>
  <pageMargins left="0.7" right="0.7" top="0.75" bottom="0.75" header="0.3" footer="0.3"/>
  <pageSetup orientation="portrait" r:id="rId1"/>
  <ignoredErrors>
    <ignoredError sqref="H5:H8 H10:H25" calculatedColumn="1"/>
  </ignoredErrors>
  <tableParts count="20">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Props1.xml><?xml version="1.0" encoding="utf-8"?>
<ds:datastoreItem xmlns:ds="http://schemas.openxmlformats.org/officeDocument/2006/customXml" ds:itemID="{43607040-FD69-4F6F-9930-EC167DCB4A72}">
  <ds:schemaRefs/>
</ds:datastoreItem>
</file>

<file path=customXml/itemProps2.xml><?xml version="1.0" encoding="utf-8"?>
<ds:datastoreItem xmlns:ds="http://schemas.openxmlformats.org/officeDocument/2006/customXml" ds:itemID="{2AA7FABF-C530-4254-9165-90F96A7B7F27}">
  <ds:schemaRefs/>
</ds:datastoreItem>
</file>

<file path=customXml/itemProps3.xml><?xml version="1.0" encoding="utf-8"?>
<ds:datastoreItem xmlns:ds="http://schemas.openxmlformats.org/officeDocument/2006/customXml" ds:itemID="{A50C479B-36A0-4ED2-80A3-0705DE336E7C}">
  <ds:schemaRefs/>
</ds:datastoreItem>
</file>

<file path=customXml/itemProps4.xml><?xml version="1.0" encoding="utf-8"?>
<ds:datastoreItem xmlns:ds="http://schemas.openxmlformats.org/officeDocument/2006/customXml" ds:itemID="{C7CC6B37-08FF-4B02-9918-E9CED71FDCBB}">
  <ds:schemaRefs/>
</ds:datastoreItem>
</file>

<file path=customXml/itemProps5.xml><?xml version="1.0" encoding="utf-8"?>
<ds:datastoreItem xmlns:ds="http://schemas.openxmlformats.org/officeDocument/2006/customXml" ds:itemID="{C6042B19-5307-41D1-9DD8-6C1F90A17668}">
  <ds:schemaRefs/>
</ds:datastoreItem>
</file>

<file path=customXml/itemProps6.xml><?xml version="1.0" encoding="utf-8"?>
<ds:datastoreItem xmlns:ds="http://schemas.openxmlformats.org/officeDocument/2006/customXml" ds:itemID="{097C4E76-CD8E-4B55-B29D-23746A202AC3}">
  <ds:schemaRefs/>
</ds:datastoreItem>
</file>

<file path=customXml/itemProps7.xml><?xml version="1.0" encoding="utf-8"?>
<ds:datastoreItem xmlns:ds="http://schemas.openxmlformats.org/officeDocument/2006/customXml" ds:itemID="{D3072A92-91D3-4752-9295-83D20B927207}">
  <ds:schemaRefs/>
</ds:datastoreItem>
</file>

<file path=customXml/itemProps8.xml><?xml version="1.0" encoding="utf-8"?>
<ds:datastoreItem xmlns:ds="http://schemas.openxmlformats.org/officeDocument/2006/customXml" ds:itemID="{3EEC5A99-8614-47BE-8860-9C8F1691191A}">
  <ds:schemaRefs/>
</ds:datastoreItem>
</file>

<file path=customXml/itemProps9.xml><?xml version="1.0" encoding="utf-8"?>
<ds:datastoreItem xmlns:ds="http://schemas.openxmlformats.org/officeDocument/2006/customXml" ds:itemID="{9FE5411E-D2CF-444E-889C-46CC67B609B3}">
  <ds:schemaRefs/>
</ds:datastoreItem>
</file>

<file path=customXml/itemProps10.xml><?xml version="1.0" encoding="utf-8"?>
<ds:datastoreItem xmlns:ds="http://schemas.openxmlformats.org/officeDocument/2006/customXml" ds:itemID="{B647143D-5651-4310-8D72-BF0EC908045B}">
  <ds:schemaRefs/>
</ds:datastoreItem>
</file>

<file path=customXml/itemProps11.xml><?xml version="1.0" encoding="utf-8"?>
<ds:datastoreItem xmlns:ds="http://schemas.openxmlformats.org/officeDocument/2006/customXml" ds:itemID="{C3AC4005-04B3-419C-BD8B-57336FE7AC20}">
  <ds:schemaRefs/>
</ds:datastoreItem>
</file>

<file path=customXml/itemProps12.xml><?xml version="1.0" encoding="utf-8"?>
<ds:datastoreItem xmlns:ds="http://schemas.openxmlformats.org/officeDocument/2006/customXml" ds:itemID="{ACBC53E6-A4CF-440F-8119-D7F826C4B955}">
  <ds:schemaRefs/>
</ds:datastoreItem>
</file>

<file path=customXml/itemProps13.xml><?xml version="1.0" encoding="utf-8"?>
<ds:datastoreItem xmlns:ds="http://schemas.openxmlformats.org/officeDocument/2006/customXml" ds:itemID="{AD06F6A8-3527-4690-99AF-3FD2421B0B69}">
  <ds:schemaRefs/>
</ds:datastoreItem>
</file>

<file path=customXml/itemProps14.xml><?xml version="1.0" encoding="utf-8"?>
<ds:datastoreItem xmlns:ds="http://schemas.openxmlformats.org/officeDocument/2006/customXml" ds:itemID="{1758A460-0ED7-4BEF-939E-82EC9D0FA5A6}">
  <ds:schemaRefs/>
</ds:datastoreItem>
</file>

<file path=customXml/itemProps15.xml><?xml version="1.0" encoding="utf-8"?>
<ds:datastoreItem xmlns:ds="http://schemas.openxmlformats.org/officeDocument/2006/customXml" ds:itemID="{2888AB99-D189-4761-8953-24333FDBD8ED}">
  <ds:schemaRefs/>
</ds:datastoreItem>
</file>

<file path=customXml/itemProps16.xml><?xml version="1.0" encoding="utf-8"?>
<ds:datastoreItem xmlns:ds="http://schemas.openxmlformats.org/officeDocument/2006/customXml" ds:itemID="{317DA8E2-D462-4B20-9596-9EC8A90CE01E}">
  <ds:schemaRefs/>
</ds:datastoreItem>
</file>

<file path=customXml/itemProps17.xml><?xml version="1.0" encoding="utf-8"?>
<ds:datastoreItem xmlns:ds="http://schemas.openxmlformats.org/officeDocument/2006/customXml" ds:itemID="{183A4955-7598-453D-9AF0-ADFB76E6AC2F}">
  <ds:schemaRefs/>
</ds:datastoreItem>
</file>

<file path=customXml/itemProps18.xml><?xml version="1.0" encoding="utf-8"?>
<ds:datastoreItem xmlns:ds="http://schemas.openxmlformats.org/officeDocument/2006/customXml" ds:itemID="{A00C8F6E-F63C-44BE-8CEA-9458FE17B82C}">
  <ds:schemaRefs/>
</ds:datastoreItem>
</file>

<file path=customXml/itemProps19.xml><?xml version="1.0" encoding="utf-8"?>
<ds:datastoreItem xmlns:ds="http://schemas.openxmlformats.org/officeDocument/2006/customXml" ds:itemID="{8E4C030C-B25A-4BA6-8BE9-CBF9339CD9AB}">
  <ds:schemaRefs/>
</ds:datastoreItem>
</file>

<file path=customXml/itemProps20.xml><?xml version="1.0" encoding="utf-8"?>
<ds:datastoreItem xmlns:ds="http://schemas.openxmlformats.org/officeDocument/2006/customXml" ds:itemID="{FC96D087-E9AC-448E-8835-91A42083E6C3}">
  <ds:schemaRefs/>
</ds:datastoreItem>
</file>

<file path=customXml/itemProps21.xml><?xml version="1.0" encoding="utf-8"?>
<ds:datastoreItem xmlns:ds="http://schemas.openxmlformats.org/officeDocument/2006/customXml" ds:itemID="{FE720A7F-C6EE-49D3-8C4B-A09BC0841DB6}">
  <ds:schemaRefs/>
</ds:datastoreItem>
</file>

<file path=customXml/itemProps22.xml><?xml version="1.0" encoding="utf-8"?>
<ds:datastoreItem xmlns:ds="http://schemas.openxmlformats.org/officeDocument/2006/customXml" ds:itemID="{9BB6CAEC-6B75-4166-9EA9-419D1AFA9194}">
  <ds:schemaRefs/>
</ds:datastoreItem>
</file>

<file path=customXml/itemProps23.xml><?xml version="1.0" encoding="utf-8"?>
<ds:datastoreItem xmlns:ds="http://schemas.openxmlformats.org/officeDocument/2006/customXml" ds:itemID="{DD699897-EA04-464E-80E0-D7DFDC7CA1EA}">
  <ds:schemaRefs/>
</ds:datastoreItem>
</file>

<file path=customXml/itemProps24.xml><?xml version="1.0" encoding="utf-8"?>
<ds:datastoreItem xmlns:ds="http://schemas.openxmlformats.org/officeDocument/2006/customXml" ds:itemID="{B0675F56-0F50-4EE3-A422-DDCE0CEE9A81}">
  <ds:schemaRefs/>
</ds:datastoreItem>
</file>

<file path=customXml/itemProps25.xml><?xml version="1.0" encoding="utf-8"?>
<ds:datastoreItem xmlns:ds="http://schemas.openxmlformats.org/officeDocument/2006/customXml" ds:itemID="{4F2C8D6B-7E50-41A5-A5D0-0452783EBBA5}">
  <ds:schemaRefs/>
</ds:datastoreItem>
</file>

<file path=customXml/itemProps26.xml><?xml version="1.0" encoding="utf-8"?>
<ds:datastoreItem xmlns:ds="http://schemas.openxmlformats.org/officeDocument/2006/customXml" ds:itemID="{BF5C4050-86FA-43CB-8946-BABCCDDC68AB}">
  <ds:schemaRefs/>
</ds:datastoreItem>
</file>

<file path=customXml/itemProps27.xml><?xml version="1.0" encoding="utf-8"?>
<ds:datastoreItem xmlns:ds="http://schemas.openxmlformats.org/officeDocument/2006/customXml" ds:itemID="{D8B6BBF3-6D4D-426E-852E-2EF6C7668739}">
  <ds:schemaRefs/>
</ds:datastoreItem>
</file>

<file path=customXml/itemProps28.xml><?xml version="1.0" encoding="utf-8"?>
<ds:datastoreItem xmlns:ds="http://schemas.openxmlformats.org/officeDocument/2006/customXml" ds:itemID="{C4B7A3BB-CF25-4E79-9721-8EDA37168518}">
  <ds:schemaRefs/>
</ds:datastoreItem>
</file>

<file path=customXml/itemProps29.xml><?xml version="1.0" encoding="utf-8"?>
<ds:datastoreItem xmlns:ds="http://schemas.openxmlformats.org/officeDocument/2006/customXml" ds:itemID="{4BF2D8F6-1D9A-4D84-9638-6F9D2B2BB28F}">
  <ds:schemaRefs/>
</ds:datastoreItem>
</file>

<file path=customXml/itemProps30.xml><?xml version="1.0" encoding="utf-8"?>
<ds:datastoreItem xmlns:ds="http://schemas.openxmlformats.org/officeDocument/2006/customXml" ds:itemID="{5DE84209-9764-4758-911D-8B2D59233026}">
  <ds:schemaRefs/>
</ds:datastoreItem>
</file>

<file path=customXml/itemProps31.xml><?xml version="1.0" encoding="utf-8"?>
<ds:datastoreItem xmlns:ds="http://schemas.openxmlformats.org/officeDocument/2006/customXml" ds:itemID="{D935A58C-5FB3-43AB-8A14-94A88A4AB04E}">
  <ds:schemaRefs/>
</ds:datastoreItem>
</file>

<file path=customXml/itemProps32.xml><?xml version="1.0" encoding="utf-8"?>
<ds:datastoreItem xmlns:ds="http://schemas.openxmlformats.org/officeDocument/2006/customXml" ds:itemID="{8C67694C-4758-48BE-A219-674A3834154C}">
  <ds:schemaRefs/>
</ds:datastoreItem>
</file>

<file path=customXml/itemProps33.xml><?xml version="1.0" encoding="utf-8"?>
<ds:datastoreItem xmlns:ds="http://schemas.openxmlformats.org/officeDocument/2006/customXml" ds:itemID="{85AEE7EF-3B70-42CC-872E-1B290B831866}">
  <ds:schemaRefs/>
</ds:datastoreItem>
</file>

<file path=customXml/itemProps34.xml><?xml version="1.0" encoding="utf-8"?>
<ds:datastoreItem xmlns:ds="http://schemas.openxmlformats.org/officeDocument/2006/customXml" ds:itemID="{C6AA2F81-1360-45FE-98AF-10865B7FAE06}">
  <ds:schemaRefs/>
</ds:datastoreItem>
</file>

<file path=customXml/itemProps35.xml><?xml version="1.0" encoding="utf-8"?>
<ds:datastoreItem xmlns:ds="http://schemas.openxmlformats.org/officeDocument/2006/customXml" ds:itemID="{E50EC18E-7F14-4AF2-92E0-C1B6F583F77F}">
  <ds:schemaRefs/>
</ds:datastoreItem>
</file>

<file path=customXml/itemProps36.xml><?xml version="1.0" encoding="utf-8"?>
<ds:datastoreItem xmlns:ds="http://schemas.openxmlformats.org/officeDocument/2006/customXml" ds:itemID="{66AF2EAE-1CD0-4675-A9AC-A62B0271B09F}">
  <ds:schemaRefs/>
</ds:datastoreItem>
</file>

<file path=customXml/itemProps37.xml><?xml version="1.0" encoding="utf-8"?>
<ds:datastoreItem xmlns:ds="http://schemas.openxmlformats.org/officeDocument/2006/customXml" ds:itemID="{29974C22-D78E-4B5D-8C10-95E2C792068C}">
  <ds:schemaRefs/>
</ds:datastoreItem>
</file>

<file path=customXml/itemProps38.xml><?xml version="1.0" encoding="utf-8"?>
<ds:datastoreItem xmlns:ds="http://schemas.openxmlformats.org/officeDocument/2006/customXml" ds:itemID="{848C391C-83BC-4A5D-AE08-7AC8A9A85AEF}">
  <ds:schemaRefs/>
</ds:datastoreItem>
</file>

<file path=customXml/itemProps39.xml><?xml version="1.0" encoding="utf-8"?>
<ds:datastoreItem xmlns:ds="http://schemas.openxmlformats.org/officeDocument/2006/customXml" ds:itemID="{FA0C3D83-3609-437A-B893-61EEB85E9A50}">
  <ds:schemaRefs/>
</ds:datastoreItem>
</file>

<file path=customXml/itemProps40.xml><?xml version="1.0" encoding="utf-8"?>
<ds:datastoreItem xmlns:ds="http://schemas.openxmlformats.org/officeDocument/2006/customXml" ds:itemID="{5E4F9FF0-ECBC-4F81-8481-F2EE6CF016AE}">
  <ds:schemaRefs>
    <ds:schemaRef ds:uri="http://schemas.microsoft.com/DataMashup"/>
  </ds:schemaRefs>
</ds:datastoreItem>
</file>

<file path=customXml/itemProps41.xml><?xml version="1.0" encoding="utf-8"?>
<ds:datastoreItem xmlns:ds="http://schemas.openxmlformats.org/officeDocument/2006/customXml" ds:itemID="{30058CF4-A8A1-46A2-BF63-68E05642F1FC}">
  <ds:schemaRefs/>
</ds:datastoreItem>
</file>

<file path=customXml/itemProps42.xml><?xml version="1.0" encoding="utf-8"?>
<ds:datastoreItem xmlns:ds="http://schemas.openxmlformats.org/officeDocument/2006/customXml" ds:itemID="{868B2708-8CD2-497E-854D-7C9C62EDE323}">
  <ds:schemaRefs/>
</ds:datastoreItem>
</file>

<file path=customXml/itemProps43.xml><?xml version="1.0" encoding="utf-8"?>
<ds:datastoreItem xmlns:ds="http://schemas.openxmlformats.org/officeDocument/2006/customXml" ds:itemID="{2CFB1397-1B58-40F0-BDF9-040B3458E9D7}">
  <ds:schemaRefs/>
</ds:datastoreItem>
</file>

<file path=customXml/itemProps44.xml><?xml version="1.0" encoding="utf-8"?>
<ds:datastoreItem xmlns:ds="http://schemas.openxmlformats.org/officeDocument/2006/customXml" ds:itemID="{E2B4351A-D7B3-413E-85D4-99B7A13A0437}">
  <ds:schemaRefs/>
</ds:datastoreItem>
</file>

<file path=customXml/itemProps45.xml><?xml version="1.0" encoding="utf-8"?>
<ds:datastoreItem xmlns:ds="http://schemas.openxmlformats.org/officeDocument/2006/customXml" ds:itemID="{03729553-82E7-40A6-BB22-A4A7B6FCD376}">
  <ds:schemaRefs/>
</ds:datastoreItem>
</file>

<file path=customXml/itemProps46.xml><?xml version="1.0" encoding="utf-8"?>
<ds:datastoreItem xmlns:ds="http://schemas.openxmlformats.org/officeDocument/2006/customXml" ds:itemID="{65D780B8-8C3B-4C74-A093-5ADAE37E2A89}">
  <ds:schemaRefs/>
</ds:datastoreItem>
</file>

<file path=customXml/itemProps47.xml><?xml version="1.0" encoding="utf-8"?>
<ds:datastoreItem xmlns:ds="http://schemas.openxmlformats.org/officeDocument/2006/customXml" ds:itemID="{833A6786-9021-402A-9D51-40F2A55F70FF}">
  <ds:schemaRefs/>
</ds:datastoreItem>
</file>

<file path=customXml/itemProps48.xml><?xml version="1.0" encoding="utf-8"?>
<ds:datastoreItem xmlns:ds="http://schemas.openxmlformats.org/officeDocument/2006/customXml" ds:itemID="{80A383CB-D97F-4CF5-9EE5-D800929FFC58}">
  <ds:schemaRefs/>
</ds:datastoreItem>
</file>

<file path=customXml/itemProps49.xml><?xml version="1.0" encoding="utf-8"?>
<ds:datastoreItem xmlns:ds="http://schemas.openxmlformats.org/officeDocument/2006/customXml" ds:itemID="{E06C2949-123B-4B13-A1E8-F5543521B3A2}">
  <ds:schemaRefs/>
</ds:datastoreItem>
</file>

<file path=customXml/itemProps50.xml><?xml version="1.0" encoding="utf-8"?>
<ds:datastoreItem xmlns:ds="http://schemas.openxmlformats.org/officeDocument/2006/customXml" ds:itemID="{B3A2D8BD-359A-47CD-927A-68E225F49127}">
  <ds:schemaRefs/>
</ds:datastoreItem>
</file>

<file path=customXml/itemProps51.xml><?xml version="1.0" encoding="utf-8"?>
<ds:datastoreItem xmlns:ds="http://schemas.openxmlformats.org/officeDocument/2006/customXml" ds:itemID="{E649B42D-86AC-4194-B3DD-AC5030051446}">
  <ds:schemaRefs/>
</ds:datastoreItem>
</file>

<file path=customXml/itemProps52.xml><?xml version="1.0" encoding="utf-8"?>
<ds:datastoreItem xmlns:ds="http://schemas.openxmlformats.org/officeDocument/2006/customXml" ds:itemID="{15FA9344-D2D7-44F9-B17C-F92712AE26F0}">
  <ds:schemaRefs/>
</ds:datastoreItem>
</file>

<file path=customXml/itemProps53.xml><?xml version="1.0" encoding="utf-8"?>
<ds:datastoreItem xmlns:ds="http://schemas.openxmlformats.org/officeDocument/2006/customXml" ds:itemID="{0C1D5A6C-B8F9-4404-8BEC-DF0CCB5C4268}">
  <ds:schemaRefs/>
</ds:datastoreItem>
</file>

<file path=customXml/itemProps54.xml><?xml version="1.0" encoding="utf-8"?>
<ds:datastoreItem xmlns:ds="http://schemas.openxmlformats.org/officeDocument/2006/customXml" ds:itemID="{7A952BA1-0DCD-4280-BD5A-E3D6A6197A14}">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31</vt:i4>
      </vt:variant>
    </vt:vector>
  </HeadingPairs>
  <TitlesOfParts>
    <vt:vector size="42" baseType="lpstr">
      <vt:lpstr>Lookups</vt:lpstr>
      <vt:lpstr>HR_Dashboard</vt:lpstr>
      <vt:lpstr>Project_Cost_Dashboard </vt:lpstr>
      <vt:lpstr>Payroll Analysis</vt:lpstr>
      <vt:lpstr>Pivot_Tables</vt:lpstr>
      <vt:lpstr>Departments</vt:lpstr>
      <vt:lpstr>Projects</vt:lpstr>
      <vt:lpstr>Master_Employee</vt:lpstr>
      <vt:lpstr>Transactions</vt:lpstr>
      <vt:lpstr>Daily_Work</vt:lpstr>
      <vt:lpstr>Lists</vt:lpstr>
      <vt:lpstr>'Payroll Analysis'!ADM_D01</vt:lpstr>
      <vt:lpstr>'Project_Cost_Dashboard '!ADM_D01</vt:lpstr>
      <vt:lpstr>ADM_D01</vt:lpstr>
      <vt:lpstr>'Payroll Analysis'!All_D11</vt:lpstr>
      <vt:lpstr>'Project_Cost_Dashboard '!All_D11</vt:lpstr>
      <vt:lpstr>All_D11</vt:lpstr>
      <vt:lpstr>'Payroll Analysis'!CON_D03</vt:lpstr>
      <vt:lpstr>'Project_Cost_Dashboard '!CON_D03</vt:lpstr>
      <vt:lpstr>CON_D03</vt:lpstr>
      <vt:lpstr>DeptList</vt:lpstr>
      <vt:lpstr>'Payroll Analysis'!ELE_D04</vt:lpstr>
      <vt:lpstr>'Project_Cost_Dashboard '!ELE_D04</vt:lpstr>
      <vt:lpstr>ELE_D04</vt:lpstr>
      <vt:lpstr>EmpDepts</vt:lpstr>
      <vt:lpstr>EmpIDs</vt:lpstr>
      <vt:lpstr>EmpNames</vt:lpstr>
      <vt:lpstr>EmpStatus</vt:lpstr>
      <vt:lpstr>'Payroll Analysis'!FIN_D02</vt:lpstr>
      <vt:lpstr>'Project_Cost_Dashboard '!FIN_D02</vt:lpstr>
      <vt:lpstr>FIN_D02</vt:lpstr>
      <vt:lpstr>PayMethods</vt:lpstr>
      <vt:lpstr>'Payroll Analysis'!PLM_D05</vt:lpstr>
      <vt:lpstr>'Project_Cost_Dashboard '!PLM_D05</vt:lpstr>
      <vt:lpstr>PLM_D05</vt:lpstr>
      <vt:lpstr>ProjectList</vt:lpstr>
      <vt:lpstr>ProjectNames</vt:lpstr>
      <vt:lpstr>'Payroll Analysis'!STN_D06</vt:lpstr>
      <vt:lpstr>'Project_Cost_Dashboard '!STN_D06</vt:lpstr>
      <vt:lpstr>STN_D06</vt:lpstr>
      <vt:lpstr>SupvList</vt:lpstr>
      <vt:lpstr>TransTypes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k43149</cp:lastModifiedBy>
  <cp:revision>0</cp:revision>
  <dcterms:created xsi:type="dcterms:W3CDTF">2026-04-07T21:59:47Z</dcterms:created>
  <dcterms:modified xsi:type="dcterms:W3CDTF">2026-07-20T15:35:20Z</dcterms:modified>
  <dc:language>en-US</dc:language>
</cp:coreProperties>
</file>