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  <sheet state="visible" name="Tabulations" sheetId="3" r:id="rId6"/>
    <sheet state="visible" name="weighted score" sheetId="4" r:id="rId7"/>
  </sheets>
  <definedNames>
    <definedName name="SocialMedia_Importance">'Form Responses 1'!$AI:$AI</definedName>
    <definedName name="Weather_Functional">'Form Responses 1'!$AD:$AD</definedName>
    <definedName name="Weather_Importance">'Form Responses 1'!$AF:$AF</definedName>
    <definedName name="RealTimeMap_Importance">'Form Responses 1'!$E:$E</definedName>
    <definedName name="ViewHikers_Dysfunctional">'Form Responses 1'!$M:$M</definedName>
    <definedName name="Safety_Importance">'Form Responses 1'!$Z:$Z</definedName>
    <definedName name="Restroom_Dysfunctional">'Form Responses 1'!$V:$V</definedName>
    <definedName name="Restroom_Importance">'Form Responses 1'!$W:$W</definedName>
    <definedName name="DifficultyRating_Functional">'Form Responses 1'!$AM:$AM</definedName>
    <definedName name="Rating_Functional">'Form Responses 1'!$O:$O</definedName>
    <definedName name="WildLife_Dysfunctional">'Form Responses 1'!$AK:$AK</definedName>
    <definedName name="Photo_Functional">'Form Responses 1'!$R:$R</definedName>
    <definedName name="Ratings_Importance">'Form Responses 1'!$Q:$Q</definedName>
    <definedName name="Ratings_Dysfunctional">'Form Responses 1'!$P:$P</definedName>
    <definedName name="Safety_Functional">'Form Responses 1'!$X:$X</definedName>
    <definedName name="RealTimeMap_Dysfunctional">'Form Responses 1'!$D:$D</definedName>
    <definedName name="MapAvailableTrails_Functional">'Form Responses 1'!$F:$F</definedName>
    <definedName name="Elevation_Dysfunctional">'Form Responses 1'!$J:$J</definedName>
    <definedName name="Weather_Dysfunctional">'Form Responses 1'!$AE:$AE</definedName>
    <definedName name="DifficultyRating_Importance">'Form Responses 1'!$AO:$AO</definedName>
    <definedName name="Steps_Importance">'Form Responses 1'!$AC:$AC</definedName>
    <definedName name="ViewHikers_Functional">'Form Responses 1'!$L:$L</definedName>
    <definedName name="Restroom_Functional">'Form Responses 1'!$U:$U</definedName>
    <definedName name="Photo_Importance">'Form Responses 1'!$T:$T</definedName>
    <definedName name="SocialMedia_Dysfunctional">'Form Responses 1'!$AH:$AH</definedName>
    <definedName name="Safety_Dysfunctional">'Form Responses 1'!$Y:$Y</definedName>
    <definedName name="RealTimeMap_Functional">'Form Responses 1'!$C:$C</definedName>
    <definedName name="Elevation_Importance">'Form Responses 1'!$K:$K</definedName>
    <definedName name="Photo_Dysfunctional">'Form Responses 1'!$S:$S</definedName>
    <definedName name="WildLife_Functional">'Form Responses 1'!$AJ:$AJ</definedName>
    <definedName name="Steps_Functional">'Form Responses 1'!$AA:$AA</definedName>
    <definedName name="WildLife_Importance">'Form Responses 1'!$AL:$AL</definedName>
    <definedName name="Elevation_Functional">'Form Responses 1'!$I:$I</definedName>
    <definedName name="Steps_Dysfunctional">'Form Responses 1'!$AB:$AB</definedName>
    <definedName name="DifficultyRating_Dysfunctional">'Form Responses 1'!$AN:$AN</definedName>
    <definedName name="MapAvailableTrails_Importance">'Form Responses 1'!$H:$H</definedName>
    <definedName name="ViewHikers_Importance">'Form Responses 1'!$N:$N</definedName>
    <definedName name="MapAvailableTrails_Dysfunctional">'Form Responses 1'!$G:$G</definedName>
    <definedName name="SocialMedia_Functional">'Form Responses 1'!$AG:$AG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I set it as low because its not really aligned with the company vision well
	-Aliona R. Mizelle</t>
      </text>
    </comment>
    <comment authorId="0" ref="B4">
      <text>
        <t xml:space="preserve">aligns well with the company vision as it lists all of their hikes users can explore
	-Aliona R. Mizelle</t>
      </text>
    </comment>
    <comment authorId="0" ref="B3">
      <text>
        <t xml:space="preserve">fits well with the company vision where user is able to see on the map where they are walking on the map
	-Aliona R. Mizelle</t>
      </text>
    </comment>
    <comment authorId="0" ref="F1">
      <text>
        <t xml:space="preserve">this criteria will demonstrate how much of dev effort,cost,time will cost the company
	-Aliona R. Mizelle</t>
      </text>
    </comment>
    <comment authorId="0" ref="E1">
      <text>
        <t xml:space="preserve">this criteria will demonstrate  company's cost and stock management efficiency
	-Aliona R. Mizelle</t>
      </text>
    </comment>
    <comment authorId="0" ref="D1">
      <text>
        <t xml:space="preserve">its important for the users to adopt to the app and its features well in order for them to utilize it to the fullest extent
	-Aliona R. Mizelle</t>
      </text>
    </comment>
    <comment authorId="0" ref="C1">
      <text>
        <t xml:space="preserve">its important for the new features to improve retention of our customers, which will show they are enjoying the updates and the app overall
	-Aliona R. Mizelle</t>
      </text>
    </comment>
    <comment authorId="0" ref="B1">
      <text>
        <t xml:space="preserve">Its important that the app and its features continue to align with the company vision and what the app is designed to do.
	-Aliona R. Mizelle</t>
      </text>
    </comment>
  </commentList>
</comments>
</file>

<file path=xl/sharedStrings.xml><?xml version="1.0" encoding="utf-8"?>
<sst xmlns="http://schemas.openxmlformats.org/spreadsheetml/2006/main" count="2678" uniqueCount="196">
  <si>
    <t>Timestamp</t>
  </si>
  <si>
    <t>Email Address</t>
  </si>
  <si>
    <t>If you can view a real-time map of where you are walking, how do you feel?</t>
  </si>
  <si>
    <t>If there is no real-time map of where you are walking, how do you feel?</t>
  </si>
  <si>
    <t>How important is it to you that there be a real-time map of where you are walking?</t>
  </si>
  <si>
    <t>If you can view a map of available trails, how do you feel?</t>
  </si>
  <si>
    <t>If there is no map of available trails, how do you feel?</t>
  </si>
  <si>
    <t>How important is it to you that you be able to view a map of available trails?</t>
  </si>
  <si>
    <t>If you can view the elevation profile of your hike, how do you feel?</t>
  </si>
  <si>
    <t>If you cannot view the elevation profile of your hike, how do you feel?</t>
  </si>
  <si>
    <t>How important is it to you that you be able to view the elevation profile of your hike?</t>
  </si>
  <si>
    <t>If you can view where other hikers are on the trail, how do you feel?</t>
  </si>
  <si>
    <t>If you cannot view where other hikers are on the trail, how do you feel?</t>
  </si>
  <si>
    <t>How important is it to you that you be able to view where other hikers are on the trail?</t>
  </si>
  <si>
    <t>If you can add ratings for a trail (1-5 stars), and see other people's ratings for a trail, how do you feel?</t>
  </si>
  <si>
    <t>If you cannot add or view trail ratings, how do you feel?</t>
  </si>
  <si>
    <t>How important is it to you that you be able to add or view trail ratings?</t>
  </si>
  <si>
    <t>If you can view photographs taken from a trail (something like Google Street View), how do you feel?</t>
  </si>
  <si>
    <t>If you cannot view photographs of a trail, how do you feel?</t>
  </si>
  <si>
    <t>How important is it to you that you be able to view photographs of a trail?</t>
  </si>
  <si>
    <t>If you can view locations of restrooms on the map, how do you feel?</t>
  </si>
  <si>
    <t>If you cannot view locations of restrooms, how do you feel?</t>
  </si>
  <si>
    <t>How important is it to you that you be able to view restroom locations?</t>
  </si>
  <si>
    <t>If you can activate a personal safety tracker that alerts a chosen contact of your location if you don't check in by a certain time, how do you feel?</t>
  </si>
  <si>
    <t>If there is no personal safety location tracker system, how do you feel?</t>
  </si>
  <si>
    <t>How important is it to you that you be able to activate a personal safety location tracker?</t>
  </si>
  <si>
    <t>If you can track the number of steps you've taken on your hike within the Take a Hike app, how do you feel?</t>
  </si>
  <si>
    <t>If there is no step counter within the Take a Hike app, how do you feel?</t>
  </si>
  <si>
    <t>How important is it to you that you be able to track your steps within the Take a Hike app?</t>
  </si>
  <si>
    <t>If you can view projected weather radar for your hike location, how do you feel?</t>
  </si>
  <si>
    <t>If you cannot view projected weather radar, how do you feel?</t>
  </si>
  <si>
    <t>How important is it to you that you be able to view projected weather radar for your hike?</t>
  </si>
  <si>
    <t>If you can share your hike on social media after your hike is over, how do you feel?</t>
  </si>
  <si>
    <t>If you cannot share your hike on social media after your hike is over, how do you feel?</t>
  </si>
  <si>
    <t>How important is it to you that you be able to share your hike on social media?</t>
  </si>
  <si>
    <t>If you can view a list of wildlife spotted by other hikers on a trail, how do you feel?</t>
  </si>
  <si>
    <t>If you cannot view a list of wildlife that other hikers have seen, how do you feel?</t>
  </si>
  <si>
    <t>How important is it to you that you be able to view a list of wildlife that others have seen?</t>
  </si>
  <si>
    <t>If you can view the difficulty rating for a trail (Easy, Moderate, or Difficult), how do you feel?</t>
  </si>
  <si>
    <t>If there are no trail difficulty ratings in the app, how do you feel?</t>
  </si>
  <si>
    <t>How important is it to you that you be able to view trail difficulty ratings?</t>
  </si>
  <si>
    <t>asarlin@2u.com</t>
  </si>
  <si>
    <t>I like it</t>
  </si>
  <si>
    <t>I can tolerate it</t>
  </si>
  <si>
    <t>I expect it</t>
  </si>
  <si>
    <t>I dislike it</t>
  </si>
  <si>
    <t>I am neutral</t>
  </si>
  <si>
    <t>mziemniak@2u.com</t>
  </si>
  <si>
    <t>bduplessis@2u.com</t>
  </si>
  <si>
    <t>jwilliams3@2u.com</t>
  </si>
  <si>
    <t>gmowry@2u.com</t>
  </si>
  <si>
    <t>ajollymore@2u.com</t>
  </si>
  <si>
    <t>jboykin@2u.com</t>
  </si>
  <si>
    <t>lstrite@2u.com</t>
  </si>
  <si>
    <t>krosenbloom@2u.com</t>
  </si>
  <si>
    <t>dbliss@2u.com</t>
  </si>
  <si>
    <t>jwilder@2u.com</t>
  </si>
  <si>
    <t>jjackson2@2u.com</t>
  </si>
  <si>
    <t>gcorso@2u.com</t>
  </si>
  <si>
    <t>amusick@2u.com</t>
  </si>
  <si>
    <t>dnuwen@2u.com</t>
  </si>
  <si>
    <t>msallam@2u.com</t>
  </si>
  <si>
    <t>glivingston@2u.com</t>
  </si>
  <si>
    <t>cburns@2u.com</t>
  </si>
  <si>
    <t>alichtenstein@2u.com</t>
  </si>
  <si>
    <t>talcocer@2u.com</t>
  </si>
  <si>
    <t>cyerian@2u.com</t>
  </si>
  <si>
    <t>jcockerham@2u.com</t>
  </si>
  <si>
    <t>jsoranno@2u.com</t>
  </si>
  <si>
    <t>lchasen@2u.com</t>
  </si>
  <si>
    <t>xrapstine@2u.com</t>
  </si>
  <si>
    <t>wrodriguez@2u.com</t>
  </si>
  <si>
    <t>cbecker@2u.com</t>
  </si>
  <si>
    <t>kdo@2u.com</t>
  </si>
  <si>
    <t>kmcculley@2u.com</t>
  </si>
  <si>
    <t>jsamuels1@2u.com</t>
  </si>
  <si>
    <t>mbury@2u.com</t>
  </si>
  <si>
    <t>ncaldwell@2u.com</t>
  </si>
  <si>
    <t>scampbell1@2u.com</t>
  </si>
  <si>
    <t>esoller@2u.com</t>
  </si>
  <si>
    <t>etautiva@2u.com</t>
  </si>
  <si>
    <t>linjaylew@gmail.com</t>
  </si>
  <si>
    <t>areli.garland@gmail.com</t>
  </si>
  <si>
    <t>briantmccoy@yahoo.com</t>
  </si>
  <si>
    <t>mattrussell84@yahoo.com</t>
  </si>
  <si>
    <t>peter.ishiguro@l2finc.com</t>
  </si>
  <si>
    <t>jdavduke@gmail.com</t>
  </si>
  <si>
    <t>tuckermelton@utexas.edu</t>
  </si>
  <si>
    <t>daniplata12@gmail.com</t>
  </si>
  <si>
    <t>akz@yorku.ca</t>
  </si>
  <si>
    <t>agalooney@gmail.com</t>
  </si>
  <si>
    <t>jerrod.d.dobbs@me.com</t>
  </si>
  <si>
    <t>anita@anitagreenberg.com</t>
  </si>
  <si>
    <t>rudytxstate@gmail.com</t>
  </si>
  <si>
    <t>layamallela@gmail.com</t>
  </si>
  <si>
    <t>liekristensen@gmail.com</t>
  </si>
  <si>
    <t>james.ta.carriere@gmail.com</t>
  </si>
  <si>
    <t>matthew12nguyen@gmail.com</t>
  </si>
  <si>
    <t>haleylehman06@gmail.com</t>
  </si>
  <si>
    <t>khaledhsoubra@gmail.com</t>
  </si>
  <si>
    <t>sarahfallfreeman@gmail.com</t>
  </si>
  <si>
    <t>benmcmurdiee@gmail.com</t>
  </si>
  <si>
    <t>yslr-danna@hotmail.com</t>
  </si>
  <si>
    <t>nicklynnjohnson@gmail.com</t>
  </si>
  <si>
    <t>vivian.perezcabello@gmail.com</t>
  </si>
  <si>
    <t>yashar.tn@gmail.com</t>
  </si>
  <si>
    <t>dayritg@gmail.com</t>
  </si>
  <si>
    <t>ashercook1@aol.com</t>
  </si>
  <si>
    <t>kenzcunningham@icloud.com</t>
  </si>
  <si>
    <t>sealwais@gmail.com</t>
  </si>
  <si>
    <t>jrfreem29@yahoo.com</t>
  </si>
  <si>
    <t>kuldeep89.ms@gmail.com</t>
  </si>
  <si>
    <t>lwhe96@gmail.com</t>
  </si>
  <si>
    <t>sdmiller221@gmail.com</t>
  </si>
  <si>
    <t>partysoft@gmail.com</t>
  </si>
  <si>
    <t>amber.jurcak@gmail.com</t>
  </si>
  <si>
    <t>avantika.mereddy@gmail.com</t>
  </si>
  <si>
    <t>efren@gtimotorsport.com</t>
  </si>
  <si>
    <t>chelsea.sexton.465@gmail.com</t>
  </si>
  <si>
    <t>ccantu941@gmail.com</t>
  </si>
  <si>
    <t>amandamchand@gmail.com</t>
  </si>
  <si>
    <t>youngbaeg@gmail.com</t>
  </si>
  <si>
    <t>r.carter@ucla.edu</t>
  </si>
  <si>
    <t>dr.riddhi.thakkar@gmail.com</t>
  </si>
  <si>
    <t>rayanadenese@gmail.com</t>
  </si>
  <si>
    <t>jackson.c.zepf@gmail.com</t>
  </si>
  <si>
    <t>marydepaull@gmail.com</t>
  </si>
  <si>
    <t>storysyl@gmail.com</t>
  </si>
  <si>
    <t>satiyataidi@gmail.com</t>
  </si>
  <si>
    <t>lmddel@gmail.com</t>
  </si>
  <si>
    <t>j@robertspost.com</t>
  </si>
  <si>
    <t>#</t>
  </si>
  <si>
    <t>Dysfunctional (X)</t>
  </si>
  <si>
    <t>Functional (Y)</t>
  </si>
  <si>
    <t>Importance (Z)</t>
  </si>
  <si>
    <t>Category</t>
  </si>
  <si>
    <t>F1</t>
  </si>
  <si>
    <t>Exciter</t>
  </si>
  <si>
    <t>Must-Have</t>
  </si>
  <si>
    <t>F2</t>
  </si>
  <si>
    <t>Want</t>
  </si>
  <si>
    <t>F3</t>
  </si>
  <si>
    <t>F4</t>
  </si>
  <si>
    <t>Indifferent</t>
  </si>
  <si>
    <t>F5</t>
  </si>
  <si>
    <t>Questionable</t>
  </si>
  <si>
    <t>F6</t>
  </si>
  <si>
    <t>Reverse</t>
  </si>
  <si>
    <t>F7</t>
  </si>
  <si>
    <t>F8</t>
  </si>
  <si>
    <t>F9</t>
  </si>
  <si>
    <t>F10</t>
  </si>
  <si>
    <t>F11</t>
  </si>
  <si>
    <t>F12</t>
  </si>
  <si>
    <t>F13</t>
  </si>
  <si>
    <t>1. Real-Time Map</t>
  </si>
  <si>
    <t>Dysfunctional (Absent)</t>
  </si>
  <si>
    <t>I Like It</t>
  </si>
  <si>
    <t>I Expect It</t>
  </si>
  <si>
    <t>I am Neutral</t>
  </si>
  <si>
    <t>I Can Tolerate It</t>
  </si>
  <si>
    <t>I Dislike It</t>
  </si>
  <si>
    <t>Functional (Present)</t>
  </si>
  <si>
    <t>2. Map of Available Trails</t>
  </si>
  <si>
    <t>3. Elevation Profile</t>
  </si>
  <si>
    <t>4. Location of Other Hikers</t>
  </si>
  <si>
    <t>5. Rate and View User Ratings</t>
  </si>
  <si>
    <t>6. View photographs of each trail</t>
  </si>
  <si>
    <t>7. View Location of Restrooms</t>
  </si>
  <si>
    <t xml:space="preserve">8. Personal safety tracker </t>
  </si>
  <si>
    <t>9. Track Steps</t>
  </si>
  <si>
    <t>10. Weather forecast</t>
  </si>
  <si>
    <t>11. Share Hike on Social Media</t>
  </si>
  <si>
    <t>12. View a list of wildlife spotted</t>
  </si>
  <si>
    <t>13. View trail difficulty rating</t>
  </si>
  <si>
    <t>Feature Description</t>
  </si>
  <si>
    <t>Align with Company Vision</t>
  </si>
  <si>
    <t>Improve Retention</t>
  </si>
  <si>
    <t>User Adoption</t>
  </si>
  <si>
    <t>Operational Cost</t>
  </si>
  <si>
    <t>Dev Cost</t>
  </si>
  <si>
    <t>Total</t>
  </si>
  <si>
    <t>Weight</t>
  </si>
  <si>
    <t>View a real-time map of where I am walking.</t>
  </si>
  <si>
    <t>View the available trails I can walk on.</t>
  </si>
  <si>
    <t>View the elevation profile of my walk.</t>
  </si>
  <si>
    <t>View the location of other hikers on the trail.</t>
  </si>
  <si>
    <t>Rate your hike, and view user ratings and comments about each trail.</t>
  </si>
  <si>
    <t>View photographs of each trail.</t>
  </si>
  <si>
    <t>View the location of restroom facilities.</t>
  </si>
  <si>
    <t>Activate a personal safety tracker that alerts my chosen contact. 
if I don’t check in at designated times.</t>
  </si>
  <si>
    <t>Track the number of steps you’ve taken.</t>
  </si>
  <si>
    <t>View the weather forecast with time-lapse radar.</t>
  </si>
  <si>
    <t>Share my hike on social media after the hike.</t>
  </si>
  <si>
    <t>View a list of wildlife spotted by other hikers on the trail.</t>
  </si>
  <si>
    <t>View trail difficulty rating (Easy, Moderate, Difficult).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</si>
</sst>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Roboto"/>
    </font>
    <font>
      <sz val="14.0"/>
      <color theme="1"/>
      <name val="Roboto"/>
    </font>
    <font>
      <sz val="11.0"/>
      <color theme="1"/>
      <name val="Roboto"/>
    </font>
    <font>
      <color theme="1"/>
      <name val="Arial"/>
    </font>
    <font>
      <b/>
      <color theme="1"/>
      <name val="Arial"/>
    </font>
    <font>
      <b/>
      <sz val="15.0"/>
      <color rgb="FF000000"/>
      <name val="Roboto"/>
    </font>
    <font>
      <i/>
      <sz val="15.0"/>
      <color rgb="FF000000"/>
      <name val="Roboto"/>
    </font>
    <font>
      <b/>
      <i/>
      <sz val="15.0"/>
      <color rgb="FF000000"/>
      <name val="Roboto"/>
    </font>
    <font>
      <sz val="15.0"/>
      <color theme="1"/>
      <name val="Roboto"/>
    </font>
    <font>
      <sz val="15.0"/>
      <color rgb="FF000000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4" xfId="0" applyAlignment="1" applyBorder="1" applyFont="1" applyNumberFormat="1">
      <alignment horizontal="right"/>
    </xf>
    <xf borderId="1" fillId="3" fontId="4" numFmtId="0" xfId="0" applyAlignment="1" applyBorder="1" applyFill="1" applyFont="1">
      <alignment vertical="bottom"/>
    </xf>
    <xf borderId="0" fillId="4" fontId="5" numFmtId="0" xfId="0" applyAlignment="1" applyFill="1" applyFont="1">
      <alignment vertical="bottom"/>
    </xf>
    <xf borderId="1" fillId="5" fontId="4" numFmtId="0" xfId="0" applyAlignment="1" applyBorder="1" applyFill="1" applyFont="1">
      <alignment vertical="bottom"/>
    </xf>
    <xf borderId="0" fillId="5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0" fontId="2" numFmtId="0" xfId="0" applyAlignment="1" applyBorder="1" applyFont="1">
      <alignment horizontal="right" vertical="bottom"/>
    </xf>
    <xf borderId="0" fillId="0" fontId="5" numFmtId="0" xfId="0" applyAlignment="1" applyFont="1">
      <alignment vertical="bottom"/>
    </xf>
    <xf borderId="0" fillId="6" fontId="5" numFmtId="0" xfId="0" applyAlignment="1" applyFill="1" applyFont="1">
      <alignment vertical="bottom"/>
    </xf>
    <xf borderId="0" fillId="7" fontId="5" numFmtId="0" xfId="0" applyAlignment="1" applyFill="1" applyFont="1">
      <alignment vertical="bottom"/>
    </xf>
    <xf borderId="0" fillId="0" fontId="1" numFmtId="0" xfId="0" applyAlignment="1" applyFont="1">
      <alignment horizontal="center"/>
    </xf>
    <xf borderId="2" fillId="0" fontId="6" numFmtId="0" xfId="0" applyAlignment="1" applyBorder="1" applyFont="1">
      <alignment readingOrder="0" shrinkToFit="0" vertical="bottom" wrapText="1"/>
    </xf>
    <xf borderId="0" fillId="8" fontId="5" numFmtId="0" xfId="0" applyAlignment="1" applyFill="1" applyFont="1">
      <alignment horizontal="center" vertical="bottom"/>
    </xf>
    <xf borderId="0" fillId="0" fontId="6" numFmtId="4" xfId="0" applyAlignment="1" applyFont="1" applyNumberFormat="1">
      <alignment vertical="bottom"/>
    </xf>
    <xf borderId="0" fillId="0" fontId="5" numFmtId="4" xfId="0" applyAlignment="1" applyFont="1" applyNumberFormat="1">
      <alignment vertical="bottom"/>
    </xf>
    <xf borderId="0" fillId="9" fontId="5" numFmtId="0" xfId="0" applyAlignment="1" applyFill="1" applyFont="1">
      <alignment vertical="bottom"/>
    </xf>
    <xf borderId="0" fillId="0" fontId="1" numFmtId="0" xfId="0" applyFont="1"/>
    <xf borderId="0" fillId="0" fontId="2" numFmtId="4" xfId="0" applyAlignment="1" applyFont="1" applyNumberFormat="1">
      <alignment horizontal="right" vertical="bottom"/>
    </xf>
    <xf borderId="0" fillId="2" fontId="5" numFmtId="0" xfId="0" applyAlignment="1" applyFont="1">
      <alignment shrinkToFit="0" vertical="bottom" wrapText="1"/>
    </xf>
    <xf borderId="0" fillId="6" fontId="5" numFmtId="0" xfId="0" applyAlignment="1" applyFont="1">
      <alignment horizontal="right" vertical="bottom"/>
    </xf>
    <xf borderId="0" fillId="3" fontId="5" numFmtId="0" xfId="0" applyAlignment="1" applyFont="1">
      <alignment horizontal="right" vertical="bottom"/>
    </xf>
    <xf borderId="0" fillId="5" fontId="5" numFmtId="0" xfId="0" applyAlignment="1" applyFont="1">
      <alignment horizontal="right" vertical="bottom"/>
    </xf>
    <xf borderId="0" fillId="10" fontId="5" numFmtId="0" xfId="0" applyAlignment="1" applyFill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4" fontId="5" numFmtId="0" xfId="0" applyAlignment="1" applyFont="1">
      <alignment horizontal="right" vertical="bottom"/>
    </xf>
    <xf borderId="1" fillId="0" fontId="6" numFmtId="0" xfId="0" applyAlignment="1" applyBorder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11" fontId="9" numFmtId="0" xfId="0" applyAlignment="1" applyFill="1" applyFont="1">
      <alignment horizontal="left" readingOrder="0"/>
    </xf>
    <xf borderId="0" fillId="0" fontId="10" numFmtId="0" xfId="0" applyAlignment="1" applyFont="1">
      <alignment horizontal="center" readingOrder="0"/>
    </xf>
    <xf borderId="0" fillId="11" fontId="9" numFmtId="0" xfId="0" applyAlignment="1" applyFont="1">
      <alignment horizontal="center"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33.25"/>
    <col customWidth="1" min="4" max="4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/>
      <c r="AQ1" s="1"/>
      <c r="AR1" s="1"/>
      <c r="AS1" s="1"/>
      <c r="AT1" s="1"/>
      <c r="AU1" s="1"/>
    </row>
    <row r="2">
      <c r="A2" s="2">
        <v>44039.63755133102</v>
      </c>
      <c r="B2" s="3" t="s">
        <v>41</v>
      </c>
      <c r="C2" s="3" t="s">
        <v>42</v>
      </c>
      <c r="D2" s="3" t="s">
        <v>43</v>
      </c>
      <c r="E2" s="3">
        <v>6.0</v>
      </c>
      <c r="F2" s="3" t="s">
        <v>44</v>
      </c>
      <c r="G2" s="3" t="s">
        <v>45</v>
      </c>
      <c r="H2" s="3">
        <v>8.0</v>
      </c>
      <c r="I2" s="3" t="s">
        <v>46</v>
      </c>
      <c r="J2" s="3" t="s">
        <v>46</v>
      </c>
      <c r="K2" s="3">
        <v>3.0</v>
      </c>
      <c r="L2" s="3" t="s">
        <v>42</v>
      </c>
      <c r="M2" s="3" t="s">
        <v>46</v>
      </c>
      <c r="N2" s="3">
        <v>5.0</v>
      </c>
      <c r="O2" s="3" t="s">
        <v>42</v>
      </c>
      <c r="P2" s="3" t="s">
        <v>43</v>
      </c>
      <c r="Q2" s="3">
        <v>6.0</v>
      </c>
      <c r="R2" s="3" t="s">
        <v>43</v>
      </c>
      <c r="S2" s="3" t="s">
        <v>44</v>
      </c>
      <c r="T2" s="3">
        <v>3.0</v>
      </c>
      <c r="U2" s="3" t="s">
        <v>42</v>
      </c>
      <c r="V2" s="3" t="s">
        <v>45</v>
      </c>
      <c r="W2" s="3">
        <v>7.0</v>
      </c>
      <c r="X2" s="3" t="s">
        <v>42</v>
      </c>
      <c r="Y2" s="3" t="s">
        <v>44</v>
      </c>
      <c r="Z2" s="3">
        <v>6.0</v>
      </c>
      <c r="AA2" s="3" t="s">
        <v>42</v>
      </c>
      <c r="AB2" s="3" t="s">
        <v>43</v>
      </c>
      <c r="AC2" s="3">
        <v>5.0</v>
      </c>
      <c r="AD2" s="3" t="s">
        <v>44</v>
      </c>
      <c r="AE2" s="3" t="s">
        <v>45</v>
      </c>
      <c r="AF2" s="3">
        <v>9.0</v>
      </c>
      <c r="AG2" s="3" t="s">
        <v>44</v>
      </c>
      <c r="AH2" s="3" t="s">
        <v>43</v>
      </c>
      <c r="AI2" s="3">
        <v>5.0</v>
      </c>
      <c r="AJ2" s="3" t="s">
        <v>45</v>
      </c>
      <c r="AK2" s="3" t="s">
        <v>42</v>
      </c>
      <c r="AL2" s="3">
        <v>1.0</v>
      </c>
      <c r="AM2" s="3" t="s">
        <v>44</v>
      </c>
      <c r="AN2" s="3" t="s">
        <v>45</v>
      </c>
      <c r="AO2" s="3">
        <v>8.0</v>
      </c>
    </row>
    <row r="3">
      <c r="A3" s="2">
        <v>44039.676340509264</v>
      </c>
      <c r="B3" s="3" t="s">
        <v>47</v>
      </c>
      <c r="C3" s="3" t="s">
        <v>42</v>
      </c>
      <c r="D3" s="3" t="s">
        <v>43</v>
      </c>
      <c r="E3" s="3">
        <v>6.0</v>
      </c>
      <c r="F3" s="3" t="s">
        <v>44</v>
      </c>
      <c r="G3" s="3" t="s">
        <v>43</v>
      </c>
      <c r="H3" s="3">
        <v>7.0</v>
      </c>
      <c r="I3" s="3" t="s">
        <v>42</v>
      </c>
      <c r="J3" s="3" t="s">
        <v>46</v>
      </c>
      <c r="K3" s="3">
        <v>5.0</v>
      </c>
      <c r="L3" s="3" t="s">
        <v>42</v>
      </c>
      <c r="M3" s="3" t="s">
        <v>43</v>
      </c>
      <c r="N3" s="3">
        <v>6.0</v>
      </c>
      <c r="O3" s="3" t="s">
        <v>42</v>
      </c>
      <c r="P3" s="3" t="s">
        <v>46</v>
      </c>
      <c r="Q3" s="3">
        <v>5.0</v>
      </c>
      <c r="R3" s="3" t="s">
        <v>42</v>
      </c>
      <c r="S3" s="3" t="s">
        <v>43</v>
      </c>
      <c r="T3" s="3">
        <v>6.0</v>
      </c>
      <c r="U3" s="3" t="s">
        <v>44</v>
      </c>
      <c r="V3" s="3" t="s">
        <v>45</v>
      </c>
      <c r="W3" s="3">
        <v>8.0</v>
      </c>
      <c r="X3" s="3" t="s">
        <v>44</v>
      </c>
      <c r="Y3" s="3" t="s">
        <v>45</v>
      </c>
      <c r="Z3" s="3">
        <v>9.0</v>
      </c>
      <c r="AA3" s="3" t="s">
        <v>42</v>
      </c>
      <c r="AB3" s="3" t="s">
        <v>43</v>
      </c>
      <c r="AC3" s="3">
        <v>4.0</v>
      </c>
      <c r="AD3" s="3" t="s">
        <v>42</v>
      </c>
      <c r="AE3" s="3" t="s">
        <v>46</v>
      </c>
      <c r="AF3" s="3">
        <v>7.0</v>
      </c>
      <c r="AG3" s="3" t="s">
        <v>46</v>
      </c>
      <c r="AH3" s="3" t="s">
        <v>46</v>
      </c>
      <c r="AI3" s="3">
        <v>5.0</v>
      </c>
      <c r="AJ3" s="3" t="s">
        <v>42</v>
      </c>
      <c r="AK3" s="3" t="s">
        <v>43</v>
      </c>
      <c r="AL3" s="3">
        <v>6.0</v>
      </c>
      <c r="AM3" s="3" t="s">
        <v>44</v>
      </c>
      <c r="AN3" s="3" t="s">
        <v>45</v>
      </c>
      <c r="AO3" s="3">
        <v>9.0</v>
      </c>
    </row>
    <row r="4">
      <c r="A4" s="2">
        <v>44039.682165335646</v>
      </c>
      <c r="B4" s="3" t="s">
        <v>48</v>
      </c>
      <c r="C4" s="3" t="s">
        <v>42</v>
      </c>
      <c r="D4" s="3" t="s">
        <v>45</v>
      </c>
      <c r="E4" s="3">
        <v>9.0</v>
      </c>
      <c r="F4" s="3" t="s">
        <v>42</v>
      </c>
      <c r="G4" s="3" t="s">
        <v>43</v>
      </c>
      <c r="H4" s="3">
        <v>7.0</v>
      </c>
      <c r="I4" s="3" t="s">
        <v>46</v>
      </c>
      <c r="J4" s="3" t="s">
        <v>46</v>
      </c>
      <c r="K4" s="3">
        <v>5.0</v>
      </c>
      <c r="L4" s="3" t="s">
        <v>42</v>
      </c>
      <c r="M4" s="3" t="s">
        <v>43</v>
      </c>
      <c r="N4" s="3">
        <v>5.0</v>
      </c>
      <c r="O4" s="3" t="s">
        <v>42</v>
      </c>
      <c r="P4" s="3" t="s">
        <v>46</v>
      </c>
      <c r="Q4" s="3">
        <v>6.0</v>
      </c>
      <c r="R4" s="3" t="s">
        <v>42</v>
      </c>
      <c r="S4" s="3" t="s">
        <v>44</v>
      </c>
      <c r="T4" s="3">
        <v>7.0</v>
      </c>
      <c r="U4" s="3" t="s">
        <v>42</v>
      </c>
      <c r="V4" s="3" t="s">
        <v>45</v>
      </c>
      <c r="W4" s="3">
        <v>8.0</v>
      </c>
      <c r="X4" s="3" t="s">
        <v>42</v>
      </c>
      <c r="Y4" s="3" t="s">
        <v>45</v>
      </c>
      <c r="Z4" s="3">
        <v>9.0</v>
      </c>
      <c r="AA4" s="3" t="s">
        <v>42</v>
      </c>
      <c r="AB4" s="3" t="s">
        <v>45</v>
      </c>
      <c r="AC4" s="3">
        <v>7.0</v>
      </c>
      <c r="AD4" s="3" t="s">
        <v>42</v>
      </c>
      <c r="AE4" s="3" t="s">
        <v>43</v>
      </c>
      <c r="AF4" s="3">
        <v>6.0</v>
      </c>
      <c r="AG4" s="3" t="s">
        <v>46</v>
      </c>
      <c r="AH4" s="3" t="s">
        <v>46</v>
      </c>
      <c r="AI4" s="3">
        <v>5.0</v>
      </c>
      <c r="AJ4" s="3" t="s">
        <v>42</v>
      </c>
      <c r="AK4" s="3" t="s">
        <v>43</v>
      </c>
      <c r="AL4" s="3">
        <v>5.0</v>
      </c>
      <c r="AM4" s="3" t="s">
        <v>42</v>
      </c>
      <c r="AN4" s="3" t="s">
        <v>45</v>
      </c>
      <c r="AO4" s="3">
        <v>8.0</v>
      </c>
    </row>
    <row r="5">
      <c r="A5" s="2">
        <v>44039.68403056713</v>
      </c>
      <c r="B5" s="3" t="s">
        <v>49</v>
      </c>
      <c r="C5" s="3" t="s">
        <v>44</v>
      </c>
      <c r="D5" s="3" t="s">
        <v>45</v>
      </c>
      <c r="E5" s="3">
        <v>8.0</v>
      </c>
      <c r="F5" s="3" t="s">
        <v>44</v>
      </c>
      <c r="G5" s="3" t="s">
        <v>43</v>
      </c>
      <c r="H5" s="3">
        <v>9.0</v>
      </c>
      <c r="I5" s="3" t="s">
        <v>43</v>
      </c>
      <c r="J5" s="3" t="s">
        <v>43</v>
      </c>
      <c r="K5" s="3">
        <v>3.0</v>
      </c>
      <c r="L5" s="3" t="s">
        <v>45</v>
      </c>
      <c r="M5" s="3" t="s">
        <v>42</v>
      </c>
      <c r="N5" s="3">
        <v>1.0</v>
      </c>
      <c r="O5" s="3" t="s">
        <v>44</v>
      </c>
      <c r="P5" s="3" t="s">
        <v>43</v>
      </c>
      <c r="Q5" s="3">
        <v>5.0</v>
      </c>
      <c r="R5" s="3" t="s">
        <v>42</v>
      </c>
      <c r="S5" s="3" t="s">
        <v>45</v>
      </c>
      <c r="T5" s="3">
        <v>9.0</v>
      </c>
      <c r="U5" s="3" t="s">
        <v>42</v>
      </c>
      <c r="V5" s="3" t="s">
        <v>45</v>
      </c>
      <c r="W5" s="3">
        <v>9.0</v>
      </c>
      <c r="X5" s="3" t="s">
        <v>42</v>
      </c>
      <c r="Y5" s="3" t="s">
        <v>46</v>
      </c>
      <c r="Z5" s="3">
        <v>7.0</v>
      </c>
      <c r="AA5" s="3" t="s">
        <v>46</v>
      </c>
      <c r="AB5" s="3" t="s">
        <v>46</v>
      </c>
      <c r="AC5" s="3">
        <v>5.0</v>
      </c>
      <c r="AD5" s="3" t="s">
        <v>44</v>
      </c>
      <c r="AE5" s="3" t="s">
        <v>45</v>
      </c>
      <c r="AF5" s="3">
        <v>6.0</v>
      </c>
      <c r="AG5" s="3" t="s">
        <v>44</v>
      </c>
      <c r="AH5" s="3" t="s">
        <v>44</v>
      </c>
      <c r="AI5" s="3">
        <v>4.0</v>
      </c>
      <c r="AJ5" s="3" t="s">
        <v>45</v>
      </c>
      <c r="AK5" s="3" t="s">
        <v>42</v>
      </c>
      <c r="AL5" s="3">
        <v>1.0</v>
      </c>
      <c r="AM5" s="3" t="s">
        <v>42</v>
      </c>
      <c r="AN5" s="3" t="s">
        <v>45</v>
      </c>
      <c r="AO5" s="3">
        <v>9.0</v>
      </c>
    </row>
    <row r="6">
      <c r="A6" s="2">
        <v>44039.69433162037</v>
      </c>
      <c r="B6" s="3" t="s">
        <v>50</v>
      </c>
      <c r="C6" s="3" t="s">
        <v>44</v>
      </c>
      <c r="D6" s="3" t="s">
        <v>46</v>
      </c>
      <c r="E6" s="3">
        <v>2.0</v>
      </c>
      <c r="F6" s="3" t="s">
        <v>42</v>
      </c>
      <c r="G6" s="3" t="s">
        <v>45</v>
      </c>
      <c r="H6" s="3">
        <v>8.0</v>
      </c>
      <c r="I6" s="3" t="s">
        <v>46</v>
      </c>
      <c r="J6" s="3" t="s">
        <v>46</v>
      </c>
      <c r="K6" s="3">
        <v>4.0</v>
      </c>
      <c r="L6" s="3" t="s">
        <v>46</v>
      </c>
      <c r="M6" s="3" t="s">
        <v>46</v>
      </c>
      <c r="N6" s="3">
        <v>2.0</v>
      </c>
      <c r="O6" s="3" t="s">
        <v>44</v>
      </c>
      <c r="P6" s="3" t="s">
        <v>43</v>
      </c>
      <c r="Q6" s="3">
        <v>7.0</v>
      </c>
      <c r="R6" s="3" t="s">
        <v>42</v>
      </c>
      <c r="S6" s="3" t="s">
        <v>43</v>
      </c>
      <c r="T6" s="3">
        <v>5.0</v>
      </c>
      <c r="U6" s="3" t="s">
        <v>42</v>
      </c>
      <c r="V6" s="3" t="s">
        <v>46</v>
      </c>
      <c r="W6" s="3">
        <v>4.0</v>
      </c>
      <c r="X6" s="3" t="s">
        <v>42</v>
      </c>
      <c r="Y6" s="3" t="s">
        <v>43</v>
      </c>
      <c r="Z6" s="3">
        <v>6.0</v>
      </c>
      <c r="AA6" s="3" t="s">
        <v>46</v>
      </c>
      <c r="AB6" s="3" t="s">
        <v>46</v>
      </c>
      <c r="AC6" s="3">
        <v>2.0</v>
      </c>
      <c r="AD6" s="3" t="s">
        <v>42</v>
      </c>
      <c r="AE6" s="3" t="s">
        <v>46</v>
      </c>
      <c r="AF6" s="3">
        <v>2.0</v>
      </c>
      <c r="AG6" s="3" t="s">
        <v>46</v>
      </c>
      <c r="AH6" s="3" t="s">
        <v>46</v>
      </c>
      <c r="AI6" s="3">
        <v>1.0</v>
      </c>
      <c r="AJ6" s="3" t="s">
        <v>42</v>
      </c>
      <c r="AK6" s="3" t="s">
        <v>46</v>
      </c>
      <c r="AL6" s="3">
        <v>4.0</v>
      </c>
      <c r="AM6" s="3" t="s">
        <v>44</v>
      </c>
      <c r="AN6" s="3" t="s">
        <v>43</v>
      </c>
      <c r="AO6" s="3">
        <v>6.0</v>
      </c>
    </row>
    <row r="7">
      <c r="A7" s="2">
        <v>44039.70095932871</v>
      </c>
      <c r="B7" s="3" t="s">
        <v>51</v>
      </c>
      <c r="C7" s="3" t="s">
        <v>42</v>
      </c>
      <c r="D7" s="3" t="s">
        <v>43</v>
      </c>
      <c r="E7" s="3">
        <v>7.0</v>
      </c>
      <c r="F7" s="3" t="s">
        <v>42</v>
      </c>
      <c r="G7" s="3" t="s">
        <v>45</v>
      </c>
      <c r="H7" s="3">
        <v>8.0</v>
      </c>
      <c r="I7" s="3" t="s">
        <v>42</v>
      </c>
      <c r="J7" s="3" t="s">
        <v>43</v>
      </c>
      <c r="K7" s="3">
        <v>7.0</v>
      </c>
      <c r="L7" s="3" t="s">
        <v>46</v>
      </c>
      <c r="M7" s="3" t="s">
        <v>46</v>
      </c>
      <c r="N7" s="3">
        <v>5.0</v>
      </c>
      <c r="O7" s="3" t="s">
        <v>42</v>
      </c>
      <c r="P7" s="3" t="s">
        <v>46</v>
      </c>
      <c r="Q7" s="3">
        <v>7.0</v>
      </c>
      <c r="R7" s="3" t="s">
        <v>42</v>
      </c>
      <c r="S7" s="3" t="s">
        <v>43</v>
      </c>
      <c r="T7" s="3">
        <v>9.0</v>
      </c>
      <c r="U7" s="3" t="s">
        <v>42</v>
      </c>
      <c r="V7" s="3" t="s">
        <v>45</v>
      </c>
      <c r="W7" s="3">
        <v>9.0</v>
      </c>
      <c r="X7" s="3" t="s">
        <v>42</v>
      </c>
      <c r="Y7" s="3" t="s">
        <v>45</v>
      </c>
      <c r="Z7" s="3">
        <v>9.0</v>
      </c>
      <c r="AA7" s="3" t="s">
        <v>46</v>
      </c>
      <c r="AB7" s="3" t="s">
        <v>46</v>
      </c>
      <c r="AC7" s="3">
        <v>5.0</v>
      </c>
      <c r="AD7" s="3" t="s">
        <v>46</v>
      </c>
      <c r="AE7" s="3" t="s">
        <v>46</v>
      </c>
      <c r="AF7" s="3">
        <v>5.0</v>
      </c>
      <c r="AG7" s="3" t="s">
        <v>44</v>
      </c>
      <c r="AH7" s="3" t="s">
        <v>46</v>
      </c>
      <c r="AI7" s="3">
        <v>5.0</v>
      </c>
      <c r="AJ7" s="3" t="s">
        <v>42</v>
      </c>
      <c r="AK7" s="3" t="s">
        <v>43</v>
      </c>
      <c r="AL7" s="3">
        <v>7.0</v>
      </c>
      <c r="AM7" s="3" t="s">
        <v>42</v>
      </c>
      <c r="AN7" s="3" t="s">
        <v>45</v>
      </c>
      <c r="AO7" s="3">
        <v>9.0</v>
      </c>
    </row>
    <row r="8">
      <c r="A8" s="2">
        <v>44039.70243363426</v>
      </c>
      <c r="B8" s="3" t="s">
        <v>52</v>
      </c>
      <c r="C8" s="3" t="s">
        <v>44</v>
      </c>
      <c r="D8" s="3" t="s">
        <v>45</v>
      </c>
      <c r="E8" s="3">
        <v>8.0</v>
      </c>
      <c r="F8" s="3" t="s">
        <v>44</v>
      </c>
      <c r="G8" s="3" t="s">
        <v>45</v>
      </c>
      <c r="H8" s="3">
        <v>9.0</v>
      </c>
      <c r="I8" s="3" t="s">
        <v>44</v>
      </c>
      <c r="J8" s="3" t="s">
        <v>43</v>
      </c>
      <c r="K8" s="3">
        <v>6.0</v>
      </c>
      <c r="L8" s="3" t="s">
        <v>46</v>
      </c>
      <c r="M8" s="3" t="s">
        <v>43</v>
      </c>
      <c r="N8" s="3">
        <v>2.0</v>
      </c>
      <c r="O8" s="3" t="s">
        <v>42</v>
      </c>
      <c r="P8" s="3" t="s">
        <v>43</v>
      </c>
      <c r="Q8" s="3">
        <v>6.0</v>
      </c>
      <c r="R8" s="3" t="s">
        <v>42</v>
      </c>
      <c r="S8" s="3" t="s">
        <v>46</v>
      </c>
      <c r="T8" s="3">
        <v>7.0</v>
      </c>
      <c r="U8" s="3" t="s">
        <v>46</v>
      </c>
      <c r="V8" s="3" t="s">
        <v>46</v>
      </c>
      <c r="W8" s="3">
        <v>5.0</v>
      </c>
      <c r="X8" s="3" t="s">
        <v>42</v>
      </c>
      <c r="Y8" s="3" t="s">
        <v>43</v>
      </c>
      <c r="Z8" s="3">
        <v>4.0</v>
      </c>
      <c r="AA8" s="3" t="s">
        <v>46</v>
      </c>
      <c r="AB8" s="3" t="s">
        <v>43</v>
      </c>
      <c r="AC8" s="3">
        <v>2.0</v>
      </c>
      <c r="AD8" s="3" t="s">
        <v>46</v>
      </c>
      <c r="AE8" s="3" t="s">
        <v>46</v>
      </c>
      <c r="AF8" s="3">
        <v>2.0</v>
      </c>
      <c r="AG8" s="3" t="s">
        <v>46</v>
      </c>
      <c r="AH8" s="3" t="s">
        <v>43</v>
      </c>
      <c r="AI8" s="3">
        <v>2.0</v>
      </c>
      <c r="AJ8" s="3" t="s">
        <v>46</v>
      </c>
      <c r="AK8" s="3" t="s">
        <v>43</v>
      </c>
      <c r="AL8" s="3">
        <v>4.0</v>
      </c>
      <c r="AM8" s="3" t="s">
        <v>42</v>
      </c>
      <c r="AN8" s="3" t="s">
        <v>44</v>
      </c>
      <c r="AO8" s="3">
        <v>7.0</v>
      </c>
    </row>
    <row r="9">
      <c r="A9" s="2">
        <v>44039.70550795139</v>
      </c>
      <c r="B9" s="3" t="s">
        <v>53</v>
      </c>
      <c r="C9" s="3" t="s">
        <v>42</v>
      </c>
      <c r="D9" s="3" t="s">
        <v>43</v>
      </c>
      <c r="E9" s="3">
        <v>8.0</v>
      </c>
      <c r="F9" s="3" t="s">
        <v>42</v>
      </c>
      <c r="G9" s="3" t="s">
        <v>45</v>
      </c>
      <c r="H9" s="3">
        <v>9.0</v>
      </c>
      <c r="I9" s="3" t="s">
        <v>46</v>
      </c>
      <c r="J9" s="3" t="s">
        <v>46</v>
      </c>
      <c r="K9" s="3">
        <v>5.0</v>
      </c>
      <c r="L9" s="3" t="s">
        <v>46</v>
      </c>
      <c r="M9" s="3" t="s">
        <v>46</v>
      </c>
      <c r="N9" s="3">
        <v>1.0</v>
      </c>
      <c r="O9" s="3" t="s">
        <v>44</v>
      </c>
      <c r="P9" s="3" t="s">
        <v>43</v>
      </c>
      <c r="Q9" s="3">
        <v>7.0</v>
      </c>
      <c r="R9" s="3" t="s">
        <v>42</v>
      </c>
      <c r="S9" s="3" t="s">
        <v>43</v>
      </c>
      <c r="T9" s="3">
        <v>5.0</v>
      </c>
      <c r="U9" s="3" t="s">
        <v>46</v>
      </c>
      <c r="V9" s="3" t="s">
        <v>46</v>
      </c>
      <c r="W9" s="3">
        <v>5.0</v>
      </c>
      <c r="X9" s="3" t="s">
        <v>42</v>
      </c>
      <c r="Y9" s="3" t="s">
        <v>46</v>
      </c>
      <c r="Z9" s="3">
        <v>3.0</v>
      </c>
      <c r="AA9" s="3" t="s">
        <v>44</v>
      </c>
      <c r="AB9" s="3" t="s">
        <v>43</v>
      </c>
      <c r="AC9" s="3">
        <v>8.0</v>
      </c>
      <c r="AD9" s="3" t="s">
        <v>42</v>
      </c>
      <c r="AE9" s="3" t="s">
        <v>43</v>
      </c>
      <c r="AF9" s="3">
        <v>6.0</v>
      </c>
      <c r="AG9" s="3" t="s">
        <v>44</v>
      </c>
      <c r="AH9" s="3" t="s">
        <v>45</v>
      </c>
      <c r="AI9" s="3">
        <v>7.0</v>
      </c>
      <c r="AJ9" s="3" t="s">
        <v>42</v>
      </c>
      <c r="AK9" s="3" t="s">
        <v>46</v>
      </c>
      <c r="AL9" s="3">
        <v>3.0</v>
      </c>
      <c r="AM9" s="3" t="s">
        <v>44</v>
      </c>
      <c r="AN9" s="3" t="s">
        <v>45</v>
      </c>
      <c r="AO9" s="3">
        <v>9.0</v>
      </c>
    </row>
    <row r="10">
      <c r="A10" s="2">
        <v>44039.73960894676</v>
      </c>
      <c r="B10" s="3" t="s">
        <v>54</v>
      </c>
      <c r="C10" s="3" t="s">
        <v>44</v>
      </c>
      <c r="D10" s="3" t="s">
        <v>45</v>
      </c>
      <c r="E10" s="3">
        <v>9.0</v>
      </c>
      <c r="F10" s="3" t="s">
        <v>44</v>
      </c>
      <c r="G10" s="3" t="s">
        <v>45</v>
      </c>
      <c r="H10" s="3">
        <v>9.0</v>
      </c>
      <c r="I10" s="3" t="s">
        <v>46</v>
      </c>
      <c r="J10" s="3" t="s">
        <v>43</v>
      </c>
      <c r="K10" s="3">
        <v>3.0</v>
      </c>
      <c r="L10" s="3" t="s">
        <v>42</v>
      </c>
      <c r="M10" s="3" t="s">
        <v>46</v>
      </c>
      <c r="N10" s="3">
        <v>5.0</v>
      </c>
      <c r="O10" s="3" t="s">
        <v>42</v>
      </c>
      <c r="P10" s="3" t="s">
        <v>43</v>
      </c>
      <c r="Q10" s="3">
        <v>7.0</v>
      </c>
      <c r="R10" s="3" t="s">
        <v>42</v>
      </c>
      <c r="S10" s="3" t="s">
        <v>45</v>
      </c>
      <c r="T10" s="3">
        <v>8.0</v>
      </c>
      <c r="U10" s="3" t="s">
        <v>42</v>
      </c>
      <c r="V10" s="3" t="s">
        <v>43</v>
      </c>
      <c r="W10" s="3">
        <v>5.0</v>
      </c>
      <c r="X10" s="3" t="s">
        <v>42</v>
      </c>
      <c r="Y10" s="3" t="s">
        <v>44</v>
      </c>
      <c r="Z10" s="3">
        <v>6.0</v>
      </c>
      <c r="AA10" s="3" t="s">
        <v>42</v>
      </c>
      <c r="AB10" s="3" t="s">
        <v>44</v>
      </c>
      <c r="AC10" s="3">
        <v>5.0</v>
      </c>
      <c r="AD10" s="3" t="s">
        <v>42</v>
      </c>
      <c r="AE10" s="3" t="s">
        <v>44</v>
      </c>
      <c r="AF10" s="3">
        <v>6.0</v>
      </c>
      <c r="AG10" s="3" t="s">
        <v>42</v>
      </c>
      <c r="AH10" s="3" t="s">
        <v>46</v>
      </c>
      <c r="AI10" s="3">
        <v>7.0</v>
      </c>
      <c r="AJ10" s="3" t="s">
        <v>42</v>
      </c>
      <c r="AK10" s="3" t="s">
        <v>46</v>
      </c>
      <c r="AL10" s="3">
        <v>7.0</v>
      </c>
      <c r="AM10" s="3" t="s">
        <v>44</v>
      </c>
      <c r="AN10" s="3" t="s">
        <v>45</v>
      </c>
      <c r="AO10" s="3">
        <v>9.0</v>
      </c>
    </row>
    <row r="11">
      <c r="A11" s="2">
        <v>44039.74617087963</v>
      </c>
      <c r="B11" s="3" t="s">
        <v>55</v>
      </c>
      <c r="C11" s="3" t="s">
        <v>42</v>
      </c>
      <c r="D11" s="3" t="s">
        <v>43</v>
      </c>
      <c r="E11" s="3">
        <v>8.0</v>
      </c>
      <c r="F11" s="3" t="s">
        <v>42</v>
      </c>
      <c r="G11" s="3" t="s">
        <v>45</v>
      </c>
      <c r="H11" s="3">
        <v>9.0</v>
      </c>
      <c r="I11" s="3" t="s">
        <v>42</v>
      </c>
      <c r="J11" s="3" t="s">
        <v>43</v>
      </c>
      <c r="K11" s="3">
        <v>7.0</v>
      </c>
      <c r="L11" s="3" t="s">
        <v>42</v>
      </c>
      <c r="M11" s="3" t="s">
        <v>43</v>
      </c>
      <c r="N11" s="3">
        <v>7.0</v>
      </c>
      <c r="O11" s="3" t="s">
        <v>44</v>
      </c>
      <c r="P11" s="3" t="s">
        <v>43</v>
      </c>
      <c r="Q11" s="3">
        <v>6.0</v>
      </c>
      <c r="R11" s="3" t="s">
        <v>46</v>
      </c>
      <c r="S11" s="3" t="s">
        <v>46</v>
      </c>
      <c r="T11" s="3">
        <v>5.0</v>
      </c>
      <c r="U11" s="3" t="s">
        <v>42</v>
      </c>
      <c r="V11" s="3" t="s">
        <v>43</v>
      </c>
      <c r="W11" s="3">
        <v>7.0</v>
      </c>
      <c r="X11" s="3" t="s">
        <v>42</v>
      </c>
      <c r="Y11" s="3" t="s">
        <v>43</v>
      </c>
      <c r="Z11" s="3">
        <v>7.0</v>
      </c>
      <c r="AA11" s="3" t="s">
        <v>42</v>
      </c>
      <c r="AB11" s="3" t="s">
        <v>46</v>
      </c>
      <c r="AC11" s="3">
        <v>5.0</v>
      </c>
      <c r="AD11" s="3" t="s">
        <v>42</v>
      </c>
      <c r="AE11" s="3" t="s">
        <v>43</v>
      </c>
      <c r="AF11" s="3">
        <v>6.0</v>
      </c>
      <c r="AG11" s="3" t="s">
        <v>46</v>
      </c>
      <c r="AH11" s="3" t="s">
        <v>46</v>
      </c>
      <c r="AI11" s="3">
        <v>5.0</v>
      </c>
      <c r="AJ11" s="3" t="s">
        <v>42</v>
      </c>
      <c r="AK11" s="3" t="s">
        <v>46</v>
      </c>
      <c r="AL11" s="3">
        <v>5.0</v>
      </c>
      <c r="AM11" s="3" t="s">
        <v>42</v>
      </c>
      <c r="AN11" s="3" t="s">
        <v>45</v>
      </c>
      <c r="AO11" s="3">
        <v>8.0</v>
      </c>
    </row>
    <row r="12">
      <c r="A12" s="2">
        <v>44040.35983861111</v>
      </c>
      <c r="B12" s="3" t="s">
        <v>56</v>
      </c>
      <c r="C12" s="3" t="s">
        <v>42</v>
      </c>
      <c r="D12" s="3" t="s">
        <v>45</v>
      </c>
      <c r="E12" s="3">
        <v>9.0</v>
      </c>
      <c r="F12" s="3" t="s">
        <v>42</v>
      </c>
      <c r="G12" s="3" t="s">
        <v>43</v>
      </c>
      <c r="H12" s="3">
        <v>5.0</v>
      </c>
      <c r="I12" s="3" t="s">
        <v>42</v>
      </c>
      <c r="J12" s="3" t="s">
        <v>46</v>
      </c>
      <c r="K12" s="3">
        <v>5.0</v>
      </c>
      <c r="L12" s="3" t="s">
        <v>45</v>
      </c>
      <c r="M12" s="3" t="s">
        <v>42</v>
      </c>
      <c r="N12" s="3">
        <v>1.0</v>
      </c>
      <c r="O12" s="3" t="s">
        <v>42</v>
      </c>
      <c r="P12" s="3" t="s">
        <v>43</v>
      </c>
      <c r="Q12" s="3">
        <v>6.0</v>
      </c>
      <c r="R12" s="3" t="s">
        <v>42</v>
      </c>
      <c r="S12" s="3" t="s">
        <v>43</v>
      </c>
      <c r="T12" s="3">
        <v>5.0</v>
      </c>
      <c r="U12" s="3" t="s">
        <v>42</v>
      </c>
      <c r="V12" s="3" t="s">
        <v>45</v>
      </c>
      <c r="W12" s="3">
        <v>8.0</v>
      </c>
      <c r="X12" s="3" t="s">
        <v>42</v>
      </c>
      <c r="Y12" s="3" t="s">
        <v>43</v>
      </c>
      <c r="Z12" s="3">
        <v>7.0</v>
      </c>
      <c r="AA12" s="3" t="s">
        <v>44</v>
      </c>
      <c r="AB12" s="3" t="s">
        <v>45</v>
      </c>
      <c r="AC12" s="3">
        <v>8.0</v>
      </c>
      <c r="AD12" s="3" t="s">
        <v>42</v>
      </c>
      <c r="AE12" s="3" t="s">
        <v>43</v>
      </c>
      <c r="AF12" s="3">
        <v>8.0</v>
      </c>
      <c r="AG12" s="3" t="s">
        <v>46</v>
      </c>
      <c r="AH12" s="3" t="s">
        <v>46</v>
      </c>
      <c r="AI12" s="3">
        <v>2.0</v>
      </c>
      <c r="AJ12" s="3" t="s">
        <v>42</v>
      </c>
      <c r="AK12" s="3" t="s">
        <v>43</v>
      </c>
      <c r="AL12" s="3">
        <v>5.0</v>
      </c>
      <c r="AM12" s="3" t="s">
        <v>44</v>
      </c>
      <c r="AN12" s="3" t="s">
        <v>45</v>
      </c>
      <c r="AO12" s="3">
        <v>8.0</v>
      </c>
    </row>
    <row r="13">
      <c r="A13" s="2">
        <v>44040.381888171294</v>
      </c>
      <c r="B13" s="3" t="s">
        <v>57</v>
      </c>
      <c r="C13" s="3" t="s">
        <v>42</v>
      </c>
      <c r="D13" s="3" t="s">
        <v>46</v>
      </c>
      <c r="E13" s="3">
        <v>5.0</v>
      </c>
      <c r="F13" s="3" t="s">
        <v>42</v>
      </c>
      <c r="G13" s="3" t="s">
        <v>45</v>
      </c>
      <c r="H13" s="3">
        <v>8.0</v>
      </c>
      <c r="I13" s="3" t="s">
        <v>46</v>
      </c>
      <c r="J13" s="3" t="s">
        <v>43</v>
      </c>
      <c r="K13" s="3">
        <v>6.0</v>
      </c>
      <c r="L13" s="3" t="s">
        <v>42</v>
      </c>
      <c r="M13" s="3" t="s">
        <v>43</v>
      </c>
      <c r="N13" s="3">
        <v>7.0</v>
      </c>
      <c r="O13" s="3" t="s">
        <v>42</v>
      </c>
      <c r="P13" s="3" t="s">
        <v>46</v>
      </c>
      <c r="Q13" s="3">
        <v>5.0</v>
      </c>
      <c r="R13" s="3" t="s">
        <v>42</v>
      </c>
      <c r="S13" s="3" t="s">
        <v>43</v>
      </c>
      <c r="T13" s="3">
        <v>7.0</v>
      </c>
      <c r="U13" s="3" t="s">
        <v>42</v>
      </c>
      <c r="V13" s="3" t="s">
        <v>45</v>
      </c>
      <c r="W13" s="3">
        <v>9.0</v>
      </c>
      <c r="X13" s="3" t="s">
        <v>42</v>
      </c>
      <c r="Y13" s="3" t="s">
        <v>45</v>
      </c>
      <c r="Z13" s="3">
        <v>9.0</v>
      </c>
      <c r="AA13" s="3" t="s">
        <v>42</v>
      </c>
      <c r="AB13" s="3" t="s">
        <v>45</v>
      </c>
      <c r="AC13" s="3">
        <v>9.0</v>
      </c>
      <c r="AD13" s="3" t="s">
        <v>42</v>
      </c>
      <c r="AE13" s="3" t="s">
        <v>45</v>
      </c>
      <c r="AF13" s="3">
        <v>9.0</v>
      </c>
      <c r="AG13" s="3" t="s">
        <v>42</v>
      </c>
      <c r="AH13" s="3" t="s">
        <v>46</v>
      </c>
      <c r="AI13" s="3">
        <v>5.0</v>
      </c>
      <c r="AJ13" s="3" t="s">
        <v>42</v>
      </c>
      <c r="AK13" s="3" t="s">
        <v>45</v>
      </c>
      <c r="AL13" s="3">
        <v>9.0</v>
      </c>
      <c r="AM13" s="3" t="s">
        <v>42</v>
      </c>
      <c r="AN13" s="3" t="s">
        <v>45</v>
      </c>
      <c r="AO13" s="3">
        <v>9.0</v>
      </c>
    </row>
    <row r="14">
      <c r="A14" s="2">
        <v>44040.415434317125</v>
      </c>
      <c r="B14" s="3" t="s">
        <v>58</v>
      </c>
      <c r="C14" s="3" t="s">
        <v>42</v>
      </c>
      <c r="D14" s="3" t="s">
        <v>43</v>
      </c>
      <c r="E14" s="3">
        <v>6.0</v>
      </c>
      <c r="F14" s="3" t="s">
        <v>42</v>
      </c>
      <c r="G14" s="3" t="s">
        <v>43</v>
      </c>
      <c r="H14" s="3">
        <v>6.0</v>
      </c>
      <c r="I14" s="3" t="s">
        <v>46</v>
      </c>
      <c r="J14" s="3" t="s">
        <v>46</v>
      </c>
      <c r="K14" s="3">
        <v>2.0</v>
      </c>
      <c r="L14" s="3" t="s">
        <v>45</v>
      </c>
      <c r="M14" s="3" t="s">
        <v>42</v>
      </c>
      <c r="N14" s="3">
        <v>1.0</v>
      </c>
      <c r="O14" s="3" t="s">
        <v>46</v>
      </c>
      <c r="P14" s="3" t="s">
        <v>46</v>
      </c>
      <c r="Q14" s="3">
        <v>1.0</v>
      </c>
      <c r="R14" s="3" t="s">
        <v>46</v>
      </c>
      <c r="S14" s="3" t="s">
        <v>46</v>
      </c>
      <c r="T14" s="3">
        <v>3.0</v>
      </c>
      <c r="U14" s="3" t="s">
        <v>46</v>
      </c>
      <c r="V14" s="3" t="s">
        <v>46</v>
      </c>
      <c r="W14" s="3">
        <v>2.0</v>
      </c>
      <c r="X14" s="3" t="s">
        <v>42</v>
      </c>
      <c r="Y14" s="3" t="s">
        <v>43</v>
      </c>
      <c r="Z14" s="3">
        <v>4.0</v>
      </c>
      <c r="AA14" s="3" t="s">
        <v>42</v>
      </c>
      <c r="AB14" s="3" t="s">
        <v>45</v>
      </c>
      <c r="AC14" s="3">
        <v>6.0</v>
      </c>
      <c r="AD14" s="3" t="s">
        <v>42</v>
      </c>
      <c r="AE14" s="3" t="s">
        <v>45</v>
      </c>
      <c r="AF14" s="3">
        <v>7.0</v>
      </c>
      <c r="AG14" s="3" t="s">
        <v>45</v>
      </c>
      <c r="AH14" s="3" t="s">
        <v>42</v>
      </c>
      <c r="AI14" s="3">
        <v>1.0</v>
      </c>
      <c r="AJ14" s="3" t="s">
        <v>46</v>
      </c>
      <c r="AK14" s="3" t="s">
        <v>46</v>
      </c>
      <c r="AL14" s="3">
        <v>2.0</v>
      </c>
      <c r="AM14" s="3" t="s">
        <v>42</v>
      </c>
      <c r="AN14" s="3" t="s">
        <v>45</v>
      </c>
      <c r="AO14" s="3">
        <v>9.0</v>
      </c>
    </row>
    <row r="15">
      <c r="A15" s="2">
        <v>44040.42227229167</v>
      </c>
      <c r="B15" s="3" t="s">
        <v>59</v>
      </c>
      <c r="C15" s="3" t="s">
        <v>44</v>
      </c>
      <c r="D15" s="3" t="s">
        <v>43</v>
      </c>
      <c r="E15" s="3">
        <v>7.0</v>
      </c>
      <c r="F15" s="3" t="s">
        <v>44</v>
      </c>
      <c r="G15" s="3" t="s">
        <v>45</v>
      </c>
      <c r="H15" s="3">
        <v>9.0</v>
      </c>
      <c r="I15" s="3" t="s">
        <v>42</v>
      </c>
      <c r="J15" s="3" t="s">
        <v>46</v>
      </c>
      <c r="K15" s="3">
        <v>4.0</v>
      </c>
      <c r="L15" s="3" t="s">
        <v>46</v>
      </c>
      <c r="M15" s="3" t="s">
        <v>46</v>
      </c>
      <c r="N15" s="3">
        <v>1.0</v>
      </c>
      <c r="O15" s="3" t="s">
        <v>42</v>
      </c>
      <c r="P15" s="3" t="s">
        <v>46</v>
      </c>
      <c r="Q15" s="3">
        <v>5.0</v>
      </c>
      <c r="R15" s="3" t="s">
        <v>42</v>
      </c>
      <c r="S15" s="3" t="s">
        <v>46</v>
      </c>
      <c r="T15" s="3">
        <v>4.0</v>
      </c>
      <c r="U15" s="3" t="s">
        <v>42</v>
      </c>
      <c r="V15" s="3" t="s">
        <v>43</v>
      </c>
      <c r="W15" s="3">
        <v>6.0</v>
      </c>
      <c r="X15" s="3" t="s">
        <v>42</v>
      </c>
      <c r="Y15" s="3" t="s">
        <v>46</v>
      </c>
      <c r="Z15" s="3">
        <v>2.0</v>
      </c>
      <c r="AA15" s="3" t="s">
        <v>46</v>
      </c>
      <c r="AB15" s="3" t="s">
        <v>46</v>
      </c>
      <c r="AC15" s="3">
        <v>1.0</v>
      </c>
      <c r="AD15" s="3" t="s">
        <v>42</v>
      </c>
      <c r="AE15" s="3" t="s">
        <v>43</v>
      </c>
      <c r="AF15" s="3">
        <v>7.0</v>
      </c>
      <c r="AG15" s="3" t="s">
        <v>46</v>
      </c>
      <c r="AH15" s="3" t="s">
        <v>46</v>
      </c>
      <c r="AI15" s="3">
        <v>1.0</v>
      </c>
      <c r="AJ15" s="3" t="s">
        <v>42</v>
      </c>
      <c r="AK15" s="3" t="s">
        <v>46</v>
      </c>
      <c r="AL15" s="3">
        <v>3.0</v>
      </c>
      <c r="AM15" s="3" t="s">
        <v>44</v>
      </c>
      <c r="AN15" s="3" t="s">
        <v>45</v>
      </c>
      <c r="AO15" s="3">
        <v>9.0</v>
      </c>
    </row>
    <row r="16">
      <c r="A16" s="2">
        <v>44040.49820725694</v>
      </c>
      <c r="B16" s="3" t="s">
        <v>60</v>
      </c>
      <c r="C16" s="3" t="s">
        <v>42</v>
      </c>
      <c r="D16" s="3" t="s">
        <v>46</v>
      </c>
      <c r="E16" s="3">
        <v>7.0</v>
      </c>
      <c r="F16" s="3" t="s">
        <v>42</v>
      </c>
      <c r="G16" s="3" t="s">
        <v>46</v>
      </c>
      <c r="H16" s="3">
        <v>6.0</v>
      </c>
      <c r="I16" s="3" t="s">
        <v>42</v>
      </c>
      <c r="J16" s="3" t="s">
        <v>46</v>
      </c>
      <c r="K16" s="3">
        <v>6.0</v>
      </c>
      <c r="L16" s="3" t="s">
        <v>42</v>
      </c>
      <c r="M16" s="3" t="s">
        <v>46</v>
      </c>
      <c r="N16" s="3">
        <v>6.0</v>
      </c>
      <c r="O16" s="3" t="s">
        <v>42</v>
      </c>
      <c r="P16" s="3" t="s">
        <v>44</v>
      </c>
      <c r="Q16" s="3">
        <v>7.0</v>
      </c>
      <c r="R16" s="3" t="s">
        <v>42</v>
      </c>
      <c r="S16" s="3" t="s">
        <v>45</v>
      </c>
      <c r="T16" s="3">
        <v>8.0</v>
      </c>
      <c r="U16" s="3" t="s">
        <v>42</v>
      </c>
      <c r="V16" s="3" t="s">
        <v>45</v>
      </c>
      <c r="W16" s="3">
        <v>8.0</v>
      </c>
      <c r="X16" s="3" t="s">
        <v>42</v>
      </c>
      <c r="Y16" s="3" t="s">
        <v>45</v>
      </c>
      <c r="Z16" s="3">
        <v>9.0</v>
      </c>
      <c r="AA16" s="3" t="s">
        <v>46</v>
      </c>
      <c r="AB16" s="3" t="s">
        <v>46</v>
      </c>
      <c r="AC16" s="3">
        <v>5.0</v>
      </c>
      <c r="AD16" s="3" t="s">
        <v>42</v>
      </c>
      <c r="AE16" s="3" t="s">
        <v>45</v>
      </c>
      <c r="AF16" s="3">
        <v>9.0</v>
      </c>
      <c r="AG16" s="3" t="s">
        <v>46</v>
      </c>
      <c r="AH16" s="3" t="s">
        <v>46</v>
      </c>
      <c r="AI16" s="3">
        <v>5.0</v>
      </c>
      <c r="AJ16" s="3" t="s">
        <v>42</v>
      </c>
      <c r="AK16" s="3" t="s">
        <v>45</v>
      </c>
      <c r="AL16" s="3">
        <v>9.0</v>
      </c>
      <c r="AM16" s="3" t="s">
        <v>42</v>
      </c>
      <c r="AN16" s="3" t="s">
        <v>45</v>
      </c>
      <c r="AO16" s="3">
        <v>8.0</v>
      </c>
    </row>
    <row r="17">
      <c r="A17" s="2">
        <v>44040.719596759256</v>
      </c>
      <c r="B17" s="3" t="s">
        <v>61</v>
      </c>
      <c r="C17" s="3" t="s">
        <v>42</v>
      </c>
      <c r="D17" s="3" t="s">
        <v>45</v>
      </c>
      <c r="E17" s="3">
        <v>8.0</v>
      </c>
      <c r="F17" s="3" t="s">
        <v>42</v>
      </c>
      <c r="G17" s="3" t="s">
        <v>45</v>
      </c>
      <c r="H17" s="3">
        <v>8.0</v>
      </c>
      <c r="I17" s="3" t="s">
        <v>42</v>
      </c>
      <c r="J17" s="3" t="s">
        <v>45</v>
      </c>
      <c r="K17" s="3">
        <v>9.0</v>
      </c>
      <c r="L17" s="3" t="s">
        <v>46</v>
      </c>
      <c r="M17" s="3" t="s">
        <v>46</v>
      </c>
      <c r="N17" s="3">
        <v>5.0</v>
      </c>
      <c r="O17" s="3" t="s">
        <v>46</v>
      </c>
      <c r="P17" s="3" t="s">
        <v>46</v>
      </c>
      <c r="Q17" s="3">
        <v>5.0</v>
      </c>
      <c r="R17" s="3" t="s">
        <v>46</v>
      </c>
      <c r="S17" s="3" t="s">
        <v>46</v>
      </c>
      <c r="T17" s="3">
        <v>5.0</v>
      </c>
      <c r="U17" s="3" t="s">
        <v>42</v>
      </c>
      <c r="V17" s="3" t="s">
        <v>42</v>
      </c>
      <c r="W17" s="3">
        <v>9.0</v>
      </c>
      <c r="X17" s="3" t="s">
        <v>42</v>
      </c>
      <c r="Y17" s="3" t="s">
        <v>43</v>
      </c>
      <c r="Z17" s="3">
        <v>7.0</v>
      </c>
      <c r="AA17" s="3" t="s">
        <v>42</v>
      </c>
      <c r="AB17" s="3" t="s">
        <v>46</v>
      </c>
      <c r="AC17" s="3">
        <v>3.0</v>
      </c>
      <c r="AD17" s="3" t="s">
        <v>42</v>
      </c>
      <c r="AE17" s="3" t="s">
        <v>46</v>
      </c>
      <c r="AF17" s="3">
        <v>5.0</v>
      </c>
      <c r="AG17" s="3" t="s">
        <v>42</v>
      </c>
      <c r="AH17" s="3" t="s">
        <v>43</v>
      </c>
      <c r="AI17" s="3">
        <v>3.0</v>
      </c>
      <c r="AJ17" s="3" t="s">
        <v>42</v>
      </c>
      <c r="AK17" s="3" t="s">
        <v>46</v>
      </c>
      <c r="AL17" s="3">
        <v>1.0</v>
      </c>
      <c r="AM17" s="3" t="s">
        <v>42</v>
      </c>
      <c r="AN17" s="3" t="s">
        <v>46</v>
      </c>
      <c r="AO17" s="3">
        <v>5.0</v>
      </c>
    </row>
    <row r="18">
      <c r="A18" s="2">
        <v>44041.49389868056</v>
      </c>
      <c r="B18" s="3" t="s">
        <v>62</v>
      </c>
      <c r="C18" s="3" t="s">
        <v>44</v>
      </c>
      <c r="D18" s="3" t="s">
        <v>45</v>
      </c>
      <c r="E18" s="3">
        <v>8.0</v>
      </c>
      <c r="F18" s="3" t="s">
        <v>44</v>
      </c>
      <c r="G18" s="3" t="s">
        <v>45</v>
      </c>
      <c r="H18" s="3">
        <v>9.0</v>
      </c>
      <c r="I18" s="3" t="s">
        <v>42</v>
      </c>
      <c r="J18" s="3" t="s">
        <v>43</v>
      </c>
      <c r="K18" s="3">
        <v>6.0</v>
      </c>
      <c r="L18" s="3" t="s">
        <v>42</v>
      </c>
      <c r="M18" s="3" t="s">
        <v>43</v>
      </c>
      <c r="N18" s="3">
        <v>4.0</v>
      </c>
      <c r="O18" s="3" t="s">
        <v>42</v>
      </c>
      <c r="P18" s="3" t="s">
        <v>46</v>
      </c>
      <c r="Q18" s="3">
        <v>5.0</v>
      </c>
      <c r="R18" s="3" t="s">
        <v>42</v>
      </c>
      <c r="S18" s="3" t="s">
        <v>43</v>
      </c>
      <c r="T18" s="3">
        <v>5.0</v>
      </c>
      <c r="U18" s="3" t="s">
        <v>42</v>
      </c>
      <c r="V18" s="3" t="s">
        <v>46</v>
      </c>
      <c r="W18" s="3">
        <v>2.0</v>
      </c>
      <c r="X18" s="3" t="s">
        <v>42</v>
      </c>
      <c r="Y18" s="3" t="s">
        <v>43</v>
      </c>
      <c r="Z18" s="3">
        <v>6.0</v>
      </c>
      <c r="AA18" s="3" t="s">
        <v>46</v>
      </c>
      <c r="AB18" s="3" t="s">
        <v>46</v>
      </c>
      <c r="AC18" s="3">
        <v>2.0</v>
      </c>
      <c r="AD18" s="3" t="s">
        <v>42</v>
      </c>
      <c r="AE18" s="3" t="s">
        <v>43</v>
      </c>
      <c r="AF18" s="3">
        <v>7.0</v>
      </c>
      <c r="AG18" s="3" t="s">
        <v>46</v>
      </c>
      <c r="AH18" s="3" t="s">
        <v>46</v>
      </c>
      <c r="AI18" s="3">
        <v>2.0</v>
      </c>
      <c r="AJ18" s="3" t="s">
        <v>42</v>
      </c>
      <c r="AK18" s="3" t="s">
        <v>46</v>
      </c>
      <c r="AL18" s="3">
        <v>5.0</v>
      </c>
      <c r="AM18" s="3" t="s">
        <v>44</v>
      </c>
      <c r="AN18" s="3" t="s">
        <v>45</v>
      </c>
      <c r="AO18" s="3">
        <v>7.0</v>
      </c>
    </row>
    <row r="19">
      <c r="A19" s="2">
        <v>44074.39100296296</v>
      </c>
      <c r="B19" s="3" t="s">
        <v>63</v>
      </c>
      <c r="C19" s="3" t="s">
        <v>42</v>
      </c>
      <c r="D19" s="3" t="s">
        <v>46</v>
      </c>
      <c r="E19" s="3">
        <v>7.0</v>
      </c>
      <c r="F19" s="3" t="s">
        <v>42</v>
      </c>
      <c r="G19" s="3" t="s">
        <v>45</v>
      </c>
      <c r="H19" s="3">
        <v>8.0</v>
      </c>
      <c r="I19" s="3" t="s">
        <v>46</v>
      </c>
      <c r="J19" s="3" t="s">
        <v>46</v>
      </c>
      <c r="K19" s="3">
        <v>5.0</v>
      </c>
      <c r="L19" s="3" t="s">
        <v>42</v>
      </c>
      <c r="M19" s="3" t="s">
        <v>46</v>
      </c>
      <c r="N19" s="3">
        <v>6.0</v>
      </c>
      <c r="O19" s="3" t="s">
        <v>42</v>
      </c>
      <c r="P19" s="3" t="s">
        <v>43</v>
      </c>
      <c r="Q19" s="3">
        <v>6.0</v>
      </c>
      <c r="R19" s="3" t="s">
        <v>42</v>
      </c>
      <c r="S19" s="3" t="s">
        <v>43</v>
      </c>
      <c r="T19" s="3">
        <v>5.0</v>
      </c>
      <c r="U19" s="3" t="s">
        <v>44</v>
      </c>
      <c r="V19" s="3" t="s">
        <v>45</v>
      </c>
      <c r="W19" s="3">
        <v>8.0</v>
      </c>
      <c r="X19" s="3" t="s">
        <v>42</v>
      </c>
      <c r="Y19" s="3" t="s">
        <v>46</v>
      </c>
      <c r="Z19" s="3">
        <v>7.0</v>
      </c>
      <c r="AA19" s="3" t="s">
        <v>42</v>
      </c>
      <c r="AB19" s="3" t="s">
        <v>43</v>
      </c>
      <c r="AC19" s="3">
        <v>6.0</v>
      </c>
      <c r="AD19" s="3" t="s">
        <v>42</v>
      </c>
      <c r="AE19" s="3" t="s">
        <v>43</v>
      </c>
      <c r="AF19" s="3">
        <v>6.0</v>
      </c>
      <c r="AG19" s="3" t="s">
        <v>43</v>
      </c>
      <c r="AH19" s="3" t="s">
        <v>43</v>
      </c>
      <c r="AI19" s="3">
        <v>1.0</v>
      </c>
      <c r="AJ19" s="3" t="s">
        <v>42</v>
      </c>
      <c r="AK19" s="3" t="s">
        <v>43</v>
      </c>
      <c r="AL19" s="3">
        <v>6.0</v>
      </c>
      <c r="AM19" s="3" t="s">
        <v>44</v>
      </c>
      <c r="AN19" s="3" t="s">
        <v>45</v>
      </c>
      <c r="AO19" s="3">
        <v>9.0</v>
      </c>
    </row>
    <row r="20">
      <c r="A20" s="2">
        <v>44074.39337813658</v>
      </c>
      <c r="B20" s="3" t="s">
        <v>64</v>
      </c>
      <c r="C20" s="3" t="s">
        <v>42</v>
      </c>
      <c r="D20" s="3" t="s">
        <v>46</v>
      </c>
      <c r="E20" s="3">
        <v>6.0</v>
      </c>
      <c r="F20" s="3" t="s">
        <v>44</v>
      </c>
      <c r="G20" s="3" t="s">
        <v>45</v>
      </c>
      <c r="H20" s="3">
        <v>9.0</v>
      </c>
      <c r="I20" s="3" t="s">
        <v>42</v>
      </c>
      <c r="J20" s="3" t="s">
        <v>46</v>
      </c>
      <c r="K20" s="3">
        <v>4.0</v>
      </c>
      <c r="L20" s="3" t="s">
        <v>42</v>
      </c>
      <c r="M20" s="3" t="s">
        <v>46</v>
      </c>
      <c r="N20" s="3">
        <v>6.0</v>
      </c>
      <c r="O20" s="3" t="s">
        <v>42</v>
      </c>
      <c r="P20" s="3" t="s">
        <v>43</v>
      </c>
      <c r="Q20" s="3">
        <v>7.0</v>
      </c>
      <c r="R20" s="3" t="s">
        <v>42</v>
      </c>
      <c r="S20" s="3" t="s">
        <v>46</v>
      </c>
      <c r="T20" s="3">
        <v>5.0</v>
      </c>
      <c r="U20" s="3" t="s">
        <v>42</v>
      </c>
      <c r="V20" s="3" t="s">
        <v>45</v>
      </c>
      <c r="W20" s="3">
        <v>8.0</v>
      </c>
      <c r="X20" s="3" t="s">
        <v>42</v>
      </c>
      <c r="Y20" s="3" t="s">
        <v>45</v>
      </c>
      <c r="Z20" s="3">
        <v>9.0</v>
      </c>
      <c r="AA20" s="3" t="s">
        <v>42</v>
      </c>
      <c r="AB20" s="3" t="s">
        <v>46</v>
      </c>
      <c r="AC20" s="3">
        <v>6.0</v>
      </c>
      <c r="AD20" s="3" t="s">
        <v>42</v>
      </c>
      <c r="AE20" s="3" t="s">
        <v>46</v>
      </c>
      <c r="AF20" s="3">
        <v>5.0</v>
      </c>
      <c r="AG20" s="3" t="s">
        <v>46</v>
      </c>
      <c r="AH20" s="3" t="s">
        <v>46</v>
      </c>
      <c r="AI20" s="3">
        <v>1.0</v>
      </c>
      <c r="AJ20" s="3" t="s">
        <v>42</v>
      </c>
      <c r="AK20" s="3" t="s">
        <v>46</v>
      </c>
      <c r="AL20" s="3">
        <v>6.0</v>
      </c>
      <c r="AM20" s="3" t="s">
        <v>44</v>
      </c>
      <c r="AN20" s="3" t="s">
        <v>45</v>
      </c>
      <c r="AO20" s="3">
        <v>9.0</v>
      </c>
    </row>
    <row r="21">
      <c r="A21" s="2">
        <v>44074.39636082176</v>
      </c>
      <c r="B21" s="3" t="s">
        <v>65</v>
      </c>
      <c r="C21" s="3" t="s">
        <v>46</v>
      </c>
      <c r="D21" s="3" t="s">
        <v>46</v>
      </c>
      <c r="E21" s="3">
        <v>6.0</v>
      </c>
      <c r="F21" s="3" t="s">
        <v>44</v>
      </c>
      <c r="G21" s="3" t="s">
        <v>45</v>
      </c>
      <c r="H21" s="3">
        <v>9.0</v>
      </c>
      <c r="I21" s="3" t="s">
        <v>44</v>
      </c>
      <c r="J21" s="3" t="s">
        <v>45</v>
      </c>
      <c r="K21" s="3">
        <v>8.0</v>
      </c>
      <c r="L21" s="3" t="s">
        <v>42</v>
      </c>
      <c r="M21" s="3" t="s">
        <v>46</v>
      </c>
      <c r="N21" s="3">
        <v>5.0</v>
      </c>
      <c r="O21" s="3" t="s">
        <v>44</v>
      </c>
      <c r="P21" s="3" t="s">
        <v>43</v>
      </c>
      <c r="Q21" s="3">
        <v>7.0</v>
      </c>
      <c r="R21" s="3" t="s">
        <v>42</v>
      </c>
      <c r="S21" s="3" t="s">
        <v>43</v>
      </c>
      <c r="T21" s="3">
        <v>7.0</v>
      </c>
      <c r="U21" s="3" t="s">
        <v>42</v>
      </c>
      <c r="V21" s="3" t="s">
        <v>43</v>
      </c>
      <c r="W21" s="3">
        <v>7.0</v>
      </c>
      <c r="X21" s="3" t="s">
        <v>42</v>
      </c>
      <c r="Y21" s="3" t="s">
        <v>43</v>
      </c>
      <c r="Z21" s="3">
        <v>6.0</v>
      </c>
      <c r="AA21" s="3" t="s">
        <v>42</v>
      </c>
      <c r="AB21" s="3" t="s">
        <v>46</v>
      </c>
      <c r="AC21" s="3">
        <v>5.0</v>
      </c>
      <c r="AD21" s="3" t="s">
        <v>42</v>
      </c>
      <c r="AE21" s="3" t="s">
        <v>43</v>
      </c>
      <c r="AF21" s="3">
        <v>6.0</v>
      </c>
      <c r="AG21" s="3" t="s">
        <v>46</v>
      </c>
      <c r="AH21" s="3" t="s">
        <v>46</v>
      </c>
      <c r="AI21" s="3">
        <v>5.0</v>
      </c>
      <c r="AJ21" s="3" t="s">
        <v>42</v>
      </c>
      <c r="AK21" s="3" t="s">
        <v>46</v>
      </c>
      <c r="AL21" s="3">
        <v>5.0</v>
      </c>
      <c r="AM21" s="3" t="s">
        <v>44</v>
      </c>
      <c r="AN21" s="3" t="s">
        <v>45</v>
      </c>
      <c r="AO21" s="3">
        <v>9.0</v>
      </c>
    </row>
    <row r="22">
      <c r="A22" s="2">
        <v>44074.40568189815</v>
      </c>
      <c r="B22" s="3" t="s">
        <v>66</v>
      </c>
      <c r="C22" s="3" t="s">
        <v>46</v>
      </c>
      <c r="D22" s="3" t="s">
        <v>46</v>
      </c>
      <c r="E22" s="3">
        <v>5.0</v>
      </c>
      <c r="F22" s="3" t="s">
        <v>42</v>
      </c>
      <c r="G22" s="3" t="s">
        <v>45</v>
      </c>
      <c r="H22" s="3">
        <v>7.0</v>
      </c>
      <c r="I22" s="3" t="s">
        <v>42</v>
      </c>
      <c r="J22" s="3" t="s">
        <v>46</v>
      </c>
      <c r="K22" s="3">
        <v>4.0</v>
      </c>
      <c r="L22" s="3" t="s">
        <v>45</v>
      </c>
      <c r="M22" s="3" t="s">
        <v>42</v>
      </c>
      <c r="N22" s="3">
        <v>1.0</v>
      </c>
      <c r="O22" s="3" t="s">
        <v>46</v>
      </c>
      <c r="P22" s="3" t="s">
        <v>46</v>
      </c>
      <c r="Q22" s="3">
        <v>5.0</v>
      </c>
      <c r="R22" s="3" t="s">
        <v>42</v>
      </c>
      <c r="S22" s="3" t="s">
        <v>46</v>
      </c>
      <c r="T22" s="3">
        <v>5.0</v>
      </c>
      <c r="U22" s="3" t="s">
        <v>42</v>
      </c>
      <c r="V22" s="3" t="s">
        <v>43</v>
      </c>
      <c r="W22" s="3">
        <v>7.0</v>
      </c>
      <c r="X22" s="3" t="s">
        <v>42</v>
      </c>
      <c r="Y22" s="3" t="s">
        <v>46</v>
      </c>
      <c r="Z22" s="3">
        <v>7.0</v>
      </c>
      <c r="AA22" s="3" t="s">
        <v>46</v>
      </c>
      <c r="AB22" s="3" t="s">
        <v>46</v>
      </c>
      <c r="AC22" s="3">
        <v>1.0</v>
      </c>
      <c r="AD22" s="3" t="s">
        <v>42</v>
      </c>
      <c r="AE22" s="3" t="s">
        <v>46</v>
      </c>
      <c r="AF22" s="3">
        <v>6.0</v>
      </c>
      <c r="AG22" s="3" t="s">
        <v>45</v>
      </c>
      <c r="AH22" s="3" t="s">
        <v>42</v>
      </c>
      <c r="AI22" s="3">
        <v>1.0</v>
      </c>
      <c r="AJ22" s="3" t="s">
        <v>42</v>
      </c>
      <c r="AK22" s="3" t="s">
        <v>43</v>
      </c>
      <c r="AL22" s="3">
        <v>7.0</v>
      </c>
      <c r="AM22" s="3" t="s">
        <v>42</v>
      </c>
      <c r="AN22" s="3" t="s">
        <v>43</v>
      </c>
      <c r="AO22" s="3">
        <v>6.0</v>
      </c>
    </row>
    <row r="23">
      <c r="A23" s="2">
        <v>44074.40872853009</v>
      </c>
      <c r="B23" s="3" t="s">
        <v>67</v>
      </c>
      <c r="C23" s="3" t="s">
        <v>42</v>
      </c>
      <c r="D23" s="3" t="s">
        <v>46</v>
      </c>
      <c r="E23" s="3">
        <v>6.0</v>
      </c>
      <c r="F23" s="3" t="s">
        <v>42</v>
      </c>
      <c r="G23" s="3" t="s">
        <v>43</v>
      </c>
      <c r="H23" s="3">
        <v>6.0</v>
      </c>
      <c r="I23" s="3" t="s">
        <v>42</v>
      </c>
      <c r="J23" s="3" t="s">
        <v>43</v>
      </c>
      <c r="K23" s="3">
        <v>7.0</v>
      </c>
      <c r="L23" s="3" t="s">
        <v>45</v>
      </c>
      <c r="M23" s="3" t="s">
        <v>42</v>
      </c>
      <c r="N23" s="3">
        <v>2.0</v>
      </c>
      <c r="O23" s="3" t="s">
        <v>42</v>
      </c>
      <c r="P23" s="3" t="s">
        <v>46</v>
      </c>
      <c r="Q23" s="3">
        <v>6.0</v>
      </c>
      <c r="R23" s="3" t="s">
        <v>42</v>
      </c>
      <c r="S23" s="3" t="s">
        <v>43</v>
      </c>
      <c r="T23" s="3">
        <v>7.0</v>
      </c>
      <c r="U23" s="3" t="s">
        <v>42</v>
      </c>
      <c r="V23" s="3" t="s">
        <v>43</v>
      </c>
      <c r="W23" s="3">
        <v>7.0</v>
      </c>
      <c r="X23" s="3" t="s">
        <v>42</v>
      </c>
      <c r="Y23" s="3" t="s">
        <v>46</v>
      </c>
      <c r="Z23" s="3">
        <v>6.0</v>
      </c>
      <c r="AA23" s="3" t="s">
        <v>46</v>
      </c>
      <c r="AB23" s="3" t="s">
        <v>46</v>
      </c>
      <c r="AC23" s="3">
        <v>5.0</v>
      </c>
      <c r="AD23" s="3" t="s">
        <v>42</v>
      </c>
      <c r="AE23" s="3" t="s">
        <v>46</v>
      </c>
      <c r="AF23" s="3">
        <v>5.0</v>
      </c>
      <c r="AG23" s="3" t="s">
        <v>42</v>
      </c>
      <c r="AH23" s="3" t="s">
        <v>46</v>
      </c>
      <c r="AI23" s="3">
        <v>4.0</v>
      </c>
      <c r="AJ23" s="3" t="s">
        <v>42</v>
      </c>
      <c r="AK23" s="3" t="s">
        <v>46</v>
      </c>
      <c r="AL23" s="3">
        <v>6.0</v>
      </c>
      <c r="AM23" s="3" t="s">
        <v>42</v>
      </c>
      <c r="AN23" s="3" t="s">
        <v>45</v>
      </c>
      <c r="AO23" s="3">
        <v>8.0</v>
      </c>
    </row>
    <row r="24">
      <c r="A24" s="2">
        <v>44074.41496137732</v>
      </c>
      <c r="B24" s="3" t="s">
        <v>68</v>
      </c>
      <c r="C24" s="3" t="s">
        <v>42</v>
      </c>
      <c r="D24" s="3" t="s">
        <v>46</v>
      </c>
      <c r="E24" s="3">
        <v>8.0</v>
      </c>
      <c r="F24" s="3" t="s">
        <v>44</v>
      </c>
      <c r="G24" s="3" t="s">
        <v>45</v>
      </c>
      <c r="H24" s="3">
        <v>9.0</v>
      </c>
      <c r="I24" s="3" t="s">
        <v>46</v>
      </c>
      <c r="J24" s="3" t="s">
        <v>46</v>
      </c>
      <c r="K24" s="3">
        <v>6.0</v>
      </c>
      <c r="L24" s="3" t="s">
        <v>45</v>
      </c>
      <c r="M24" s="3" t="s">
        <v>45</v>
      </c>
      <c r="N24" s="3">
        <v>1.0</v>
      </c>
      <c r="O24" s="3" t="s">
        <v>44</v>
      </c>
      <c r="P24" s="3" t="s">
        <v>45</v>
      </c>
      <c r="Q24" s="3">
        <v>8.0</v>
      </c>
      <c r="R24" s="3" t="s">
        <v>42</v>
      </c>
      <c r="S24" s="3" t="s">
        <v>46</v>
      </c>
      <c r="T24" s="3">
        <v>8.0</v>
      </c>
      <c r="U24" s="3" t="s">
        <v>44</v>
      </c>
      <c r="V24" s="3" t="s">
        <v>43</v>
      </c>
      <c r="W24" s="3">
        <v>7.0</v>
      </c>
      <c r="X24" s="3" t="s">
        <v>42</v>
      </c>
      <c r="Y24" s="3" t="s">
        <v>43</v>
      </c>
      <c r="Z24" s="3">
        <v>7.0</v>
      </c>
      <c r="AA24" s="3" t="s">
        <v>46</v>
      </c>
      <c r="AB24" s="3" t="s">
        <v>46</v>
      </c>
      <c r="AC24" s="3">
        <v>5.0</v>
      </c>
      <c r="AD24" s="3" t="s">
        <v>42</v>
      </c>
      <c r="AE24" s="3" t="s">
        <v>46</v>
      </c>
      <c r="AF24" s="3">
        <v>6.0</v>
      </c>
      <c r="AG24" s="3" t="s">
        <v>44</v>
      </c>
      <c r="AH24" s="3" t="s">
        <v>43</v>
      </c>
      <c r="AI24" s="3">
        <v>6.0</v>
      </c>
      <c r="AJ24" s="3" t="s">
        <v>46</v>
      </c>
      <c r="AK24" s="3" t="s">
        <v>46</v>
      </c>
      <c r="AL24" s="3">
        <v>5.0</v>
      </c>
      <c r="AM24" s="3" t="s">
        <v>42</v>
      </c>
      <c r="AN24" s="3" t="s">
        <v>45</v>
      </c>
      <c r="AO24" s="3">
        <v>9.0</v>
      </c>
    </row>
    <row r="25">
      <c r="A25" s="2">
        <v>44074.451503634264</v>
      </c>
      <c r="B25" s="3" t="s">
        <v>69</v>
      </c>
      <c r="C25" s="3" t="s">
        <v>42</v>
      </c>
      <c r="D25" s="3" t="s">
        <v>45</v>
      </c>
      <c r="E25" s="3">
        <v>8.0</v>
      </c>
      <c r="F25" s="3" t="s">
        <v>42</v>
      </c>
      <c r="G25" s="3" t="s">
        <v>42</v>
      </c>
      <c r="H25" s="3">
        <v>8.0</v>
      </c>
      <c r="I25" s="3" t="s">
        <v>42</v>
      </c>
      <c r="J25" s="3" t="s">
        <v>43</v>
      </c>
      <c r="K25" s="3">
        <v>7.0</v>
      </c>
      <c r="L25" s="3" t="s">
        <v>46</v>
      </c>
      <c r="M25" s="3" t="s">
        <v>46</v>
      </c>
      <c r="N25" s="3">
        <v>5.0</v>
      </c>
      <c r="O25" s="3" t="s">
        <v>42</v>
      </c>
      <c r="P25" s="3" t="s">
        <v>43</v>
      </c>
      <c r="Q25" s="3">
        <v>7.0</v>
      </c>
      <c r="R25" s="3" t="s">
        <v>42</v>
      </c>
      <c r="S25" s="3" t="s">
        <v>43</v>
      </c>
      <c r="T25" s="3">
        <v>6.0</v>
      </c>
      <c r="U25" s="3" t="s">
        <v>42</v>
      </c>
      <c r="V25" s="3" t="s">
        <v>43</v>
      </c>
      <c r="W25" s="3">
        <v>7.0</v>
      </c>
      <c r="X25" s="3" t="s">
        <v>46</v>
      </c>
      <c r="Y25" s="3" t="s">
        <v>46</v>
      </c>
      <c r="Z25" s="3">
        <v>5.0</v>
      </c>
      <c r="AA25" s="3" t="s">
        <v>42</v>
      </c>
      <c r="AB25" s="3" t="s">
        <v>46</v>
      </c>
      <c r="AC25" s="3">
        <v>6.0</v>
      </c>
      <c r="AD25" s="3" t="s">
        <v>42</v>
      </c>
      <c r="AE25" s="3" t="s">
        <v>43</v>
      </c>
      <c r="AF25" s="3">
        <v>7.0</v>
      </c>
      <c r="AG25" s="3" t="s">
        <v>45</v>
      </c>
      <c r="AH25" s="3" t="s">
        <v>42</v>
      </c>
      <c r="AI25" s="3">
        <v>1.0</v>
      </c>
      <c r="AJ25" s="3" t="s">
        <v>42</v>
      </c>
      <c r="AK25" s="3" t="s">
        <v>46</v>
      </c>
      <c r="AL25" s="3">
        <v>5.0</v>
      </c>
      <c r="AM25" s="3" t="s">
        <v>42</v>
      </c>
      <c r="AN25" s="3" t="s">
        <v>45</v>
      </c>
      <c r="AO25" s="3">
        <v>8.0</v>
      </c>
    </row>
    <row r="26">
      <c r="A26" s="2">
        <v>44074.45780055555</v>
      </c>
      <c r="B26" s="3" t="s">
        <v>70</v>
      </c>
      <c r="C26" s="3" t="s">
        <v>42</v>
      </c>
      <c r="D26" s="3" t="s">
        <v>46</v>
      </c>
      <c r="E26" s="3">
        <v>6.0</v>
      </c>
      <c r="F26" s="3" t="s">
        <v>42</v>
      </c>
      <c r="G26" s="3" t="s">
        <v>46</v>
      </c>
      <c r="H26" s="3">
        <v>6.0</v>
      </c>
      <c r="I26" s="3" t="s">
        <v>46</v>
      </c>
      <c r="J26" s="3" t="s">
        <v>46</v>
      </c>
      <c r="K26" s="3">
        <v>1.0</v>
      </c>
      <c r="L26" s="3" t="s">
        <v>45</v>
      </c>
      <c r="M26" s="3" t="s">
        <v>42</v>
      </c>
      <c r="N26" s="3">
        <v>1.0</v>
      </c>
      <c r="O26" s="3" t="s">
        <v>46</v>
      </c>
      <c r="P26" s="3" t="s">
        <v>46</v>
      </c>
      <c r="Q26" s="3">
        <v>1.0</v>
      </c>
      <c r="R26" s="3" t="s">
        <v>42</v>
      </c>
      <c r="S26" s="3" t="s">
        <v>46</v>
      </c>
      <c r="T26" s="3">
        <v>3.0</v>
      </c>
      <c r="U26" s="3" t="s">
        <v>44</v>
      </c>
      <c r="V26" s="3" t="s">
        <v>45</v>
      </c>
      <c r="W26" s="3">
        <v>9.0</v>
      </c>
      <c r="X26" s="3" t="s">
        <v>42</v>
      </c>
      <c r="Y26" s="3" t="s">
        <v>46</v>
      </c>
      <c r="Z26" s="3">
        <v>6.0</v>
      </c>
      <c r="AA26" s="3" t="s">
        <v>46</v>
      </c>
      <c r="AB26" s="3" t="s">
        <v>46</v>
      </c>
      <c r="AC26" s="3">
        <v>1.0</v>
      </c>
      <c r="AD26" s="3" t="s">
        <v>42</v>
      </c>
      <c r="AE26" s="3" t="s">
        <v>46</v>
      </c>
      <c r="AF26" s="3">
        <v>6.0</v>
      </c>
      <c r="AG26" s="3" t="s">
        <v>46</v>
      </c>
      <c r="AH26" s="3" t="s">
        <v>46</v>
      </c>
      <c r="AI26" s="3">
        <v>1.0</v>
      </c>
      <c r="AJ26" s="3" t="s">
        <v>46</v>
      </c>
      <c r="AK26" s="3" t="s">
        <v>46</v>
      </c>
      <c r="AL26" s="3">
        <v>1.0</v>
      </c>
      <c r="AM26" s="3" t="s">
        <v>44</v>
      </c>
      <c r="AN26" s="3" t="s">
        <v>46</v>
      </c>
      <c r="AO26" s="3">
        <v>5.0</v>
      </c>
    </row>
    <row r="27">
      <c r="A27" s="2">
        <v>44074.51785293981</v>
      </c>
      <c r="B27" s="3" t="s">
        <v>71</v>
      </c>
      <c r="C27" s="3" t="s">
        <v>42</v>
      </c>
      <c r="D27" s="3" t="s">
        <v>46</v>
      </c>
      <c r="E27" s="3">
        <v>8.0</v>
      </c>
      <c r="F27" s="3" t="s">
        <v>42</v>
      </c>
      <c r="G27" s="3" t="s">
        <v>43</v>
      </c>
      <c r="H27" s="3">
        <v>8.0</v>
      </c>
      <c r="I27" s="3" t="s">
        <v>42</v>
      </c>
      <c r="J27" s="3" t="s">
        <v>43</v>
      </c>
      <c r="K27" s="3">
        <v>8.0</v>
      </c>
      <c r="L27" s="3" t="s">
        <v>46</v>
      </c>
      <c r="M27" s="3" t="s">
        <v>46</v>
      </c>
      <c r="N27" s="3">
        <v>5.0</v>
      </c>
      <c r="O27" s="3" t="s">
        <v>42</v>
      </c>
      <c r="P27" s="3" t="s">
        <v>45</v>
      </c>
      <c r="Q27" s="3">
        <v>9.0</v>
      </c>
      <c r="R27" s="3" t="s">
        <v>42</v>
      </c>
      <c r="S27" s="3" t="s">
        <v>42</v>
      </c>
      <c r="T27" s="3">
        <v>8.0</v>
      </c>
      <c r="U27" s="3" t="s">
        <v>44</v>
      </c>
      <c r="V27" s="3" t="s">
        <v>45</v>
      </c>
      <c r="W27" s="3">
        <v>9.0</v>
      </c>
      <c r="X27" s="3" t="s">
        <v>42</v>
      </c>
      <c r="Y27" s="3" t="s">
        <v>43</v>
      </c>
      <c r="Z27" s="3">
        <v>7.0</v>
      </c>
      <c r="AA27" s="3" t="s">
        <v>44</v>
      </c>
      <c r="AB27" s="3" t="s">
        <v>45</v>
      </c>
      <c r="AC27" s="3">
        <v>9.0</v>
      </c>
      <c r="AD27" s="3" t="s">
        <v>44</v>
      </c>
      <c r="AE27" s="3" t="s">
        <v>45</v>
      </c>
      <c r="AF27" s="3">
        <v>9.0</v>
      </c>
      <c r="AG27" s="3" t="s">
        <v>46</v>
      </c>
      <c r="AH27" s="3" t="s">
        <v>46</v>
      </c>
      <c r="AI27" s="3">
        <v>5.0</v>
      </c>
      <c r="AJ27" s="3" t="s">
        <v>46</v>
      </c>
      <c r="AK27" s="3" t="s">
        <v>46</v>
      </c>
      <c r="AL27" s="3">
        <v>5.0</v>
      </c>
      <c r="AM27" s="3" t="s">
        <v>44</v>
      </c>
      <c r="AN27" s="3" t="s">
        <v>43</v>
      </c>
      <c r="AO27" s="3">
        <v>8.0</v>
      </c>
    </row>
    <row r="28">
      <c r="A28" s="2">
        <v>44074.52728439815</v>
      </c>
      <c r="B28" s="3" t="s">
        <v>72</v>
      </c>
      <c r="C28" s="3" t="s">
        <v>44</v>
      </c>
      <c r="D28" s="3" t="s">
        <v>46</v>
      </c>
      <c r="E28" s="3">
        <v>7.0</v>
      </c>
      <c r="F28" s="3" t="s">
        <v>44</v>
      </c>
      <c r="G28" s="3" t="s">
        <v>46</v>
      </c>
      <c r="H28" s="3">
        <v>8.0</v>
      </c>
      <c r="I28" s="3" t="s">
        <v>46</v>
      </c>
      <c r="J28" s="3" t="s">
        <v>43</v>
      </c>
      <c r="K28" s="3">
        <v>6.0</v>
      </c>
      <c r="L28" s="3" t="s">
        <v>45</v>
      </c>
      <c r="M28" s="3" t="s">
        <v>46</v>
      </c>
      <c r="N28" s="3">
        <v>3.0</v>
      </c>
      <c r="O28" s="3" t="s">
        <v>43</v>
      </c>
      <c r="P28" s="3" t="s">
        <v>46</v>
      </c>
      <c r="Q28" s="3">
        <v>5.0</v>
      </c>
      <c r="R28" s="3" t="s">
        <v>42</v>
      </c>
      <c r="S28" s="3" t="s">
        <v>46</v>
      </c>
      <c r="T28" s="3">
        <v>8.0</v>
      </c>
      <c r="U28" s="3" t="s">
        <v>42</v>
      </c>
      <c r="V28" s="3" t="s">
        <v>46</v>
      </c>
      <c r="W28" s="3">
        <v>1.0</v>
      </c>
      <c r="X28" s="3" t="s">
        <v>42</v>
      </c>
      <c r="Y28" s="3" t="s">
        <v>43</v>
      </c>
      <c r="Z28" s="3">
        <v>8.0</v>
      </c>
      <c r="AA28" s="3" t="s">
        <v>44</v>
      </c>
      <c r="AB28" s="3" t="s">
        <v>45</v>
      </c>
      <c r="AC28" s="3">
        <v>8.0</v>
      </c>
      <c r="AD28" s="3" t="s">
        <v>46</v>
      </c>
      <c r="AE28" s="3" t="s">
        <v>46</v>
      </c>
      <c r="AF28" s="3">
        <v>3.0</v>
      </c>
      <c r="AG28" s="3" t="s">
        <v>45</v>
      </c>
      <c r="AH28" s="3" t="s">
        <v>42</v>
      </c>
      <c r="AI28" s="3">
        <v>9.0</v>
      </c>
      <c r="AJ28" s="3" t="s">
        <v>46</v>
      </c>
      <c r="AK28" s="3" t="s">
        <v>46</v>
      </c>
      <c r="AL28" s="3">
        <v>4.0</v>
      </c>
      <c r="AM28" s="3" t="s">
        <v>44</v>
      </c>
      <c r="AN28" s="3" t="s">
        <v>43</v>
      </c>
      <c r="AO28" s="3">
        <v>8.0</v>
      </c>
    </row>
    <row r="29">
      <c r="A29" s="2">
        <v>44074.533724050925</v>
      </c>
      <c r="B29" s="3" t="s">
        <v>73</v>
      </c>
      <c r="C29" s="3" t="s">
        <v>42</v>
      </c>
      <c r="D29" s="3" t="s">
        <v>43</v>
      </c>
      <c r="E29" s="3">
        <v>6.0</v>
      </c>
      <c r="F29" s="3" t="s">
        <v>42</v>
      </c>
      <c r="G29" s="3" t="s">
        <v>44</v>
      </c>
      <c r="H29" s="3">
        <v>9.0</v>
      </c>
      <c r="I29" s="3" t="s">
        <v>42</v>
      </c>
      <c r="J29" s="3" t="s">
        <v>42</v>
      </c>
      <c r="K29" s="3">
        <v>7.0</v>
      </c>
      <c r="L29" s="3" t="s">
        <v>42</v>
      </c>
      <c r="M29" s="3" t="s">
        <v>45</v>
      </c>
      <c r="N29" s="3">
        <v>9.0</v>
      </c>
      <c r="O29" s="3" t="s">
        <v>42</v>
      </c>
      <c r="P29" s="3" t="s">
        <v>45</v>
      </c>
      <c r="Q29" s="3">
        <v>9.0</v>
      </c>
      <c r="R29" s="3" t="s">
        <v>44</v>
      </c>
      <c r="S29" s="3" t="s">
        <v>44</v>
      </c>
      <c r="T29" s="3">
        <v>6.0</v>
      </c>
      <c r="U29" s="3" t="s">
        <v>44</v>
      </c>
      <c r="V29" s="3" t="s">
        <v>44</v>
      </c>
      <c r="W29" s="3">
        <v>5.0</v>
      </c>
      <c r="X29" s="3" t="s">
        <v>42</v>
      </c>
      <c r="Y29" s="3" t="s">
        <v>45</v>
      </c>
      <c r="Z29" s="3">
        <v>9.0</v>
      </c>
      <c r="AA29" s="3" t="s">
        <v>46</v>
      </c>
      <c r="AB29" s="3" t="s">
        <v>46</v>
      </c>
      <c r="AC29" s="3">
        <v>4.0</v>
      </c>
      <c r="AD29" s="3" t="s">
        <v>42</v>
      </c>
      <c r="AE29" s="3" t="s">
        <v>43</v>
      </c>
      <c r="AF29" s="3">
        <v>5.0</v>
      </c>
      <c r="AG29" s="3" t="s">
        <v>43</v>
      </c>
      <c r="AH29" s="3" t="s">
        <v>44</v>
      </c>
      <c r="AI29" s="3">
        <v>3.0</v>
      </c>
      <c r="AJ29" s="3" t="s">
        <v>42</v>
      </c>
      <c r="AK29" s="3" t="s">
        <v>43</v>
      </c>
      <c r="AL29" s="3">
        <v>5.0</v>
      </c>
      <c r="AM29" s="3" t="s">
        <v>42</v>
      </c>
      <c r="AN29" s="3" t="s">
        <v>43</v>
      </c>
      <c r="AO29" s="3">
        <v>5.0</v>
      </c>
    </row>
    <row r="30">
      <c r="A30" s="2">
        <v>44074.54563982639</v>
      </c>
      <c r="B30" s="3" t="s">
        <v>74</v>
      </c>
      <c r="C30" s="3" t="s">
        <v>43</v>
      </c>
      <c r="D30" s="3" t="s">
        <v>46</v>
      </c>
      <c r="E30" s="3">
        <v>5.0</v>
      </c>
      <c r="F30" s="3" t="s">
        <v>42</v>
      </c>
      <c r="G30" s="3" t="s">
        <v>45</v>
      </c>
      <c r="H30" s="3">
        <v>8.0</v>
      </c>
      <c r="I30" s="3" t="s">
        <v>44</v>
      </c>
      <c r="J30" s="3" t="s">
        <v>45</v>
      </c>
      <c r="K30" s="3">
        <v>8.0</v>
      </c>
      <c r="L30" s="3" t="s">
        <v>45</v>
      </c>
      <c r="M30" s="3" t="s">
        <v>42</v>
      </c>
      <c r="N30" s="3">
        <v>2.0</v>
      </c>
      <c r="O30" s="3" t="s">
        <v>44</v>
      </c>
      <c r="P30" s="3" t="s">
        <v>43</v>
      </c>
      <c r="Q30" s="3">
        <v>6.0</v>
      </c>
      <c r="R30" s="3" t="s">
        <v>46</v>
      </c>
      <c r="S30" s="3" t="s">
        <v>46</v>
      </c>
      <c r="T30" s="3">
        <v>5.0</v>
      </c>
      <c r="U30" s="3" t="s">
        <v>42</v>
      </c>
      <c r="V30" s="3" t="s">
        <v>46</v>
      </c>
      <c r="W30" s="3">
        <v>6.0</v>
      </c>
      <c r="X30" s="3" t="s">
        <v>42</v>
      </c>
      <c r="Y30" s="3" t="s">
        <v>46</v>
      </c>
      <c r="Z30" s="3">
        <v>6.0</v>
      </c>
      <c r="AA30" s="3" t="s">
        <v>45</v>
      </c>
      <c r="AB30" s="3" t="s">
        <v>43</v>
      </c>
      <c r="AC30" s="3">
        <v>3.0</v>
      </c>
      <c r="AD30" s="3" t="s">
        <v>42</v>
      </c>
      <c r="AE30" s="3" t="s">
        <v>43</v>
      </c>
      <c r="AF30" s="3">
        <v>5.0</v>
      </c>
      <c r="AG30" s="3" t="s">
        <v>45</v>
      </c>
      <c r="AH30" s="3" t="s">
        <v>42</v>
      </c>
      <c r="AI30" s="3">
        <v>1.0</v>
      </c>
      <c r="AJ30" s="3" t="s">
        <v>42</v>
      </c>
      <c r="AK30" s="3" t="s">
        <v>43</v>
      </c>
      <c r="AL30" s="3">
        <v>5.0</v>
      </c>
      <c r="AM30" s="3" t="s">
        <v>44</v>
      </c>
      <c r="AN30" s="3" t="s">
        <v>45</v>
      </c>
      <c r="AO30" s="3">
        <v>9.0</v>
      </c>
    </row>
    <row r="31">
      <c r="A31" s="2">
        <v>44074.5615596412</v>
      </c>
      <c r="B31" s="3" t="s">
        <v>75</v>
      </c>
      <c r="C31" s="3" t="s">
        <v>42</v>
      </c>
      <c r="D31" s="3" t="s">
        <v>46</v>
      </c>
      <c r="E31" s="3">
        <v>3.0</v>
      </c>
      <c r="F31" s="3" t="s">
        <v>42</v>
      </c>
      <c r="G31" s="3" t="s">
        <v>43</v>
      </c>
      <c r="H31" s="3">
        <v>5.0</v>
      </c>
      <c r="I31" s="3" t="s">
        <v>42</v>
      </c>
      <c r="J31" s="3" t="s">
        <v>43</v>
      </c>
      <c r="K31" s="3">
        <v>4.0</v>
      </c>
      <c r="L31" s="3" t="s">
        <v>42</v>
      </c>
      <c r="M31" s="3" t="s">
        <v>46</v>
      </c>
      <c r="N31" s="3">
        <v>4.0</v>
      </c>
      <c r="O31" s="3" t="s">
        <v>46</v>
      </c>
      <c r="P31" s="3" t="s">
        <v>46</v>
      </c>
      <c r="Q31" s="3">
        <v>2.0</v>
      </c>
      <c r="R31" s="3" t="s">
        <v>42</v>
      </c>
      <c r="S31" s="3" t="s">
        <v>43</v>
      </c>
      <c r="T31" s="3">
        <v>6.0</v>
      </c>
      <c r="U31" s="3" t="s">
        <v>42</v>
      </c>
      <c r="V31" s="3" t="s">
        <v>43</v>
      </c>
      <c r="W31" s="3">
        <v>6.0</v>
      </c>
      <c r="X31" s="3" t="s">
        <v>42</v>
      </c>
      <c r="Y31" s="3" t="s">
        <v>46</v>
      </c>
      <c r="Z31" s="3">
        <v>4.0</v>
      </c>
      <c r="AA31" s="3" t="s">
        <v>46</v>
      </c>
      <c r="AB31" s="3" t="s">
        <v>46</v>
      </c>
      <c r="AC31" s="3">
        <v>2.0</v>
      </c>
      <c r="AD31" s="3" t="s">
        <v>42</v>
      </c>
      <c r="AE31" s="3" t="s">
        <v>43</v>
      </c>
      <c r="AF31" s="3">
        <v>4.0</v>
      </c>
      <c r="AG31" s="3" t="s">
        <v>46</v>
      </c>
      <c r="AH31" s="3" t="s">
        <v>46</v>
      </c>
      <c r="AI31" s="3">
        <v>2.0</v>
      </c>
      <c r="AJ31" s="3" t="s">
        <v>42</v>
      </c>
      <c r="AK31" s="3" t="s">
        <v>42</v>
      </c>
      <c r="AL31" s="3">
        <v>2.0</v>
      </c>
      <c r="AM31" s="3" t="s">
        <v>44</v>
      </c>
      <c r="AN31" s="3" t="s">
        <v>45</v>
      </c>
      <c r="AO31" s="3">
        <v>8.0</v>
      </c>
    </row>
    <row r="32">
      <c r="A32" s="2">
        <v>44074.64570163195</v>
      </c>
      <c r="B32" s="3" t="s">
        <v>76</v>
      </c>
      <c r="C32" s="3" t="s">
        <v>44</v>
      </c>
      <c r="D32" s="3" t="s">
        <v>45</v>
      </c>
      <c r="E32" s="3">
        <v>9.0</v>
      </c>
      <c r="F32" s="3" t="s">
        <v>44</v>
      </c>
      <c r="G32" s="3" t="s">
        <v>45</v>
      </c>
      <c r="H32" s="3">
        <v>9.0</v>
      </c>
      <c r="I32" s="3" t="s">
        <v>42</v>
      </c>
      <c r="J32" s="3" t="s">
        <v>43</v>
      </c>
      <c r="K32" s="3">
        <v>7.0</v>
      </c>
      <c r="L32" s="3" t="s">
        <v>42</v>
      </c>
      <c r="M32" s="3" t="s">
        <v>43</v>
      </c>
      <c r="N32" s="3">
        <v>7.0</v>
      </c>
      <c r="O32" s="3" t="s">
        <v>42</v>
      </c>
      <c r="P32" s="3" t="s">
        <v>46</v>
      </c>
      <c r="Q32" s="3">
        <v>5.0</v>
      </c>
      <c r="R32" s="3" t="s">
        <v>42</v>
      </c>
      <c r="S32" s="3" t="s">
        <v>46</v>
      </c>
      <c r="T32" s="3">
        <v>4.0</v>
      </c>
      <c r="U32" s="3" t="s">
        <v>44</v>
      </c>
      <c r="V32" s="3" t="s">
        <v>45</v>
      </c>
      <c r="W32" s="3">
        <v>9.0</v>
      </c>
      <c r="X32" s="3" t="s">
        <v>44</v>
      </c>
      <c r="Y32" s="3" t="s">
        <v>45</v>
      </c>
      <c r="Z32" s="3">
        <v>9.0</v>
      </c>
      <c r="AA32" s="3" t="s">
        <v>42</v>
      </c>
      <c r="AB32" s="3" t="s">
        <v>43</v>
      </c>
      <c r="AC32" s="3">
        <v>5.0</v>
      </c>
      <c r="AD32" s="3" t="s">
        <v>42</v>
      </c>
      <c r="AE32" s="3" t="s">
        <v>43</v>
      </c>
      <c r="AF32" s="3">
        <v>6.0</v>
      </c>
      <c r="AG32" s="3" t="s">
        <v>46</v>
      </c>
      <c r="AH32" s="3" t="s">
        <v>46</v>
      </c>
      <c r="AI32" s="3">
        <v>1.0</v>
      </c>
      <c r="AJ32" s="3" t="s">
        <v>42</v>
      </c>
      <c r="AK32" s="3" t="s">
        <v>46</v>
      </c>
      <c r="AL32" s="3">
        <v>4.0</v>
      </c>
      <c r="AM32" s="3" t="s">
        <v>44</v>
      </c>
      <c r="AN32" s="3" t="s">
        <v>45</v>
      </c>
      <c r="AO32" s="3">
        <v>9.0</v>
      </c>
    </row>
    <row r="33">
      <c r="A33" s="2">
        <v>44074.729716354166</v>
      </c>
      <c r="B33" s="3" t="s">
        <v>77</v>
      </c>
      <c r="C33" s="3" t="s">
        <v>44</v>
      </c>
      <c r="D33" s="3" t="s">
        <v>45</v>
      </c>
      <c r="E33" s="3">
        <v>9.0</v>
      </c>
      <c r="F33" s="3" t="s">
        <v>42</v>
      </c>
      <c r="G33" s="3" t="s">
        <v>45</v>
      </c>
      <c r="H33" s="3">
        <v>9.0</v>
      </c>
      <c r="I33" s="3" t="s">
        <v>42</v>
      </c>
      <c r="J33" s="3" t="s">
        <v>46</v>
      </c>
      <c r="K33" s="3">
        <v>3.0</v>
      </c>
      <c r="L33" s="3" t="s">
        <v>42</v>
      </c>
      <c r="M33" s="3" t="s">
        <v>43</v>
      </c>
      <c r="N33" s="3">
        <v>8.0</v>
      </c>
      <c r="O33" s="3" t="s">
        <v>44</v>
      </c>
      <c r="P33" s="3" t="s">
        <v>43</v>
      </c>
      <c r="Q33" s="3">
        <v>8.0</v>
      </c>
      <c r="R33" s="3" t="s">
        <v>46</v>
      </c>
      <c r="S33" s="3" t="s">
        <v>46</v>
      </c>
      <c r="T33" s="3">
        <v>1.0</v>
      </c>
      <c r="U33" s="3" t="s">
        <v>42</v>
      </c>
      <c r="V33" s="3" t="s">
        <v>46</v>
      </c>
      <c r="W33" s="3">
        <v>3.0</v>
      </c>
      <c r="X33" s="3" t="s">
        <v>42</v>
      </c>
      <c r="Y33" s="3" t="s">
        <v>46</v>
      </c>
      <c r="Z33" s="3">
        <v>5.0</v>
      </c>
      <c r="AA33" s="3" t="s">
        <v>46</v>
      </c>
      <c r="AB33" s="3" t="s">
        <v>46</v>
      </c>
      <c r="AC33" s="3">
        <v>1.0</v>
      </c>
      <c r="AD33" s="3" t="s">
        <v>42</v>
      </c>
      <c r="AE33" s="3" t="s">
        <v>46</v>
      </c>
      <c r="AF33" s="3">
        <v>1.0</v>
      </c>
      <c r="AG33" s="3" t="s">
        <v>46</v>
      </c>
      <c r="AH33" s="3" t="s">
        <v>46</v>
      </c>
      <c r="AI33" s="3">
        <v>1.0</v>
      </c>
      <c r="AJ33" s="3" t="s">
        <v>42</v>
      </c>
      <c r="AK33" s="3" t="s">
        <v>46</v>
      </c>
      <c r="AL33" s="3">
        <v>1.0</v>
      </c>
      <c r="AM33" s="3" t="s">
        <v>42</v>
      </c>
      <c r="AN33" s="3" t="s">
        <v>43</v>
      </c>
      <c r="AO33" s="3">
        <v>5.0</v>
      </c>
    </row>
    <row r="34">
      <c r="A34" s="2">
        <v>44074.73255760416</v>
      </c>
      <c r="B34" s="3" t="s">
        <v>78</v>
      </c>
      <c r="C34" s="3" t="s">
        <v>46</v>
      </c>
      <c r="D34" s="3" t="s">
        <v>44</v>
      </c>
      <c r="E34" s="3">
        <v>6.0</v>
      </c>
      <c r="F34" s="3" t="s">
        <v>42</v>
      </c>
      <c r="G34" s="3" t="s">
        <v>46</v>
      </c>
      <c r="H34" s="3">
        <v>6.0</v>
      </c>
      <c r="I34" s="3" t="s">
        <v>42</v>
      </c>
      <c r="J34" s="3" t="s">
        <v>43</v>
      </c>
      <c r="K34" s="3">
        <v>7.0</v>
      </c>
      <c r="L34" s="3" t="s">
        <v>46</v>
      </c>
      <c r="M34" s="3" t="s">
        <v>44</v>
      </c>
      <c r="N34" s="3">
        <v>3.0</v>
      </c>
      <c r="O34" s="3" t="s">
        <v>42</v>
      </c>
      <c r="P34" s="3" t="s">
        <v>43</v>
      </c>
      <c r="Q34" s="3">
        <v>8.0</v>
      </c>
      <c r="R34" s="3" t="s">
        <v>42</v>
      </c>
      <c r="S34" s="3" t="s">
        <v>45</v>
      </c>
      <c r="T34" s="3">
        <v>9.0</v>
      </c>
      <c r="U34" s="3" t="s">
        <v>42</v>
      </c>
      <c r="V34" s="3" t="s">
        <v>46</v>
      </c>
      <c r="W34" s="3">
        <v>6.0</v>
      </c>
      <c r="X34" s="3" t="s">
        <v>42</v>
      </c>
      <c r="Y34" s="3" t="s">
        <v>43</v>
      </c>
      <c r="Z34" s="3">
        <v>6.0</v>
      </c>
      <c r="AA34" s="3" t="s">
        <v>42</v>
      </c>
      <c r="AB34" s="3" t="s">
        <v>43</v>
      </c>
      <c r="AC34" s="3">
        <v>5.0</v>
      </c>
      <c r="AD34" s="3" t="s">
        <v>42</v>
      </c>
      <c r="AE34" s="3" t="s">
        <v>44</v>
      </c>
      <c r="AF34" s="3">
        <v>6.0</v>
      </c>
      <c r="AG34" s="3" t="s">
        <v>46</v>
      </c>
      <c r="AH34" s="3" t="s">
        <v>44</v>
      </c>
      <c r="AI34" s="3">
        <v>4.0</v>
      </c>
      <c r="AJ34" s="3" t="s">
        <v>42</v>
      </c>
      <c r="AK34" s="3" t="s">
        <v>44</v>
      </c>
      <c r="AL34" s="3">
        <v>3.0</v>
      </c>
      <c r="AM34" s="3" t="s">
        <v>42</v>
      </c>
      <c r="AN34" s="3" t="s">
        <v>45</v>
      </c>
      <c r="AO34" s="3">
        <v>7.0</v>
      </c>
    </row>
    <row r="35">
      <c r="A35" s="2">
        <v>44091.46940803241</v>
      </c>
      <c r="B35" s="3" t="s">
        <v>79</v>
      </c>
      <c r="C35" s="3" t="s">
        <v>42</v>
      </c>
      <c r="D35" s="3" t="s">
        <v>46</v>
      </c>
      <c r="E35" s="3">
        <v>7.0</v>
      </c>
      <c r="F35" s="3" t="s">
        <v>42</v>
      </c>
      <c r="G35" s="3" t="s">
        <v>46</v>
      </c>
      <c r="H35" s="3">
        <v>7.0</v>
      </c>
      <c r="I35" s="3" t="s">
        <v>42</v>
      </c>
      <c r="J35" s="3" t="s">
        <v>43</v>
      </c>
      <c r="K35" s="3">
        <v>7.0</v>
      </c>
      <c r="L35" s="3" t="s">
        <v>42</v>
      </c>
      <c r="M35" s="3" t="s">
        <v>46</v>
      </c>
      <c r="N35" s="3">
        <v>5.0</v>
      </c>
      <c r="O35" s="3" t="s">
        <v>42</v>
      </c>
      <c r="P35" s="3" t="s">
        <v>46</v>
      </c>
      <c r="Q35" s="3">
        <v>7.0</v>
      </c>
      <c r="R35" s="3" t="s">
        <v>42</v>
      </c>
      <c r="S35" s="3" t="s">
        <v>46</v>
      </c>
      <c r="T35" s="3">
        <v>7.0</v>
      </c>
      <c r="U35" s="3" t="s">
        <v>42</v>
      </c>
      <c r="V35" s="3" t="s">
        <v>43</v>
      </c>
      <c r="W35" s="3">
        <v>8.0</v>
      </c>
      <c r="X35" s="3" t="s">
        <v>42</v>
      </c>
      <c r="Y35" s="3" t="s">
        <v>45</v>
      </c>
      <c r="Z35" s="3">
        <v>9.0</v>
      </c>
      <c r="AA35" s="3" t="s">
        <v>42</v>
      </c>
      <c r="AB35" s="3" t="s">
        <v>46</v>
      </c>
      <c r="AC35" s="3">
        <v>7.0</v>
      </c>
      <c r="AD35" s="3" t="s">
        <v>42</v>
      </c>
      <c r="AE35" s="3" t="s">
        <v>46</v>
      </c>
      <c r="AF35" s="3">
        <v>5.0</v>
      </c>
      <c r="AG35" s="3" t="s">
        <v>46</v>
      </c>
      <c r="AH35" s="3" t="s">
        <v>46</v>
      </c>
      <c r="AI35" s="3">
        <v>1.0</v>
      </c>
      <c r="AJ35" s="3" t="s">
        <v>42</v>
      </c>
      <c r="AK35" s="3" t="s">
        <v>43</v>
      </c>
      <c r="AL35" s="3">
        <v>5.0</v>
      </c>
      <c r="AM35" s="3" t="s">
        <v>42</v>
      </c>
      <c r="AN35" s="3" t="s">
        <v>43</v>
      </c>
      <c r="AO35" s="3">
        <v>8.0</v>
      </c>
    </row>
    <row r="36">
      <c r="A36" s="2">
        <v>44091.48021299769</v>
      </c>
      <c r="B36" s="3" t="s">
        <v>80</v>
      </c>
      <c r="C36" s="3" t="s">
        <v>42</v>
      </c>
      <c r="D36" s="3" t="s">
        <v>44</v>
      </c>
      <c r="E36" s="3">
        <v>7.0</v>
      </c>
      <c r="F36" s="3" t="s">
        <v>42</v>
      </c>
      <c r="G36" s="3" t="s">
        <v>44</v>
      </c>
      <c r="H36" s="3">
        <v>8.0</v>
      </c>
      <c r="I36" s="3" t="s">
        <v>42</v>
      </c>
      <c r="J36" s="3" t="s">
        <v>44</v>
      </c>
      <c r="K36" s="3">
        <v>9.0</v>
      </c>
      <c r="L36" s="3" t="s">
        <v>42</v>
      </c>
      <c r="M36" s="3" t="s">
        <v>44</v>
      </c>
      <c r="N36" s="3">
        <v>7.0</v>
      </c>
      <c r="O36" s="3" t="s">
        <v>42</v>
      </c>
      <c r="P36" s="3" t="s">
        <v>44</v>
      </c>
      <c r="Q36" s="3">
        <v>8.0</v>
      </c>
      <c r="R36" s="3" t="s">
        <v>42</v>
      </c>
      <c r="S36" s="3" t="s">
        <v>44</v>
      </c>
      <c r="T36" s="3">
        <v>8.0</v>
      </c>
      <c r="U36" s="3" t="s">
        <v>42</v>
      </c>
      <c r="V36" s="3" t="s">
        <v>44</v>
      </c>
      <c r="W36" s="3">
        <v>9.0</v>
      </c>
      <c r="X36" s="3" t="s">
        <v>42</v>
      </c>
      <c r="Y36" s="3" t="s">
        <v>44</v>
      </c>
      <c r="Z36" s="3">
        <v>9.0</v>
      </c>
      <c r="AA36" s="3" t="s">
        <v>42</v>
      </c>
      <c r="AB36" s="3" t="s">
        <v>44</v>
      </c>
      <c r="AC36" s="3">
        <v>9.0</v>
      </c>
      <c r="AD36" s="3" t="s">
        <v>42</v>
      </c>
      <c r="AE36" s="3" t="s">
        <v>44</v>
      </c>
      <c r="AF36" s="3">
        <v>9.0</v>
      </c>
      <c r="AG36" s="3" t="s">
        <v>42</v>
      </c>
      <c r="AH36" s="3" t="s">
        <v>44</v>
      </c>
      <c r="AI36" s="3">
        <v>7.0</v>
      </c>
      <c r="AJ36" s="3" t="s">
        <v>42</v>
      </c>
      <c r="AK36" s="3" t="s">
        <v>44</v>
      </c>
      <c r="AL36" s="3">
        <v>8.0</v>
      </c>
      <c r="AM36" s="3" t="s">
        <v>42</v>
      </c>
      <c r="AN36" s="3" t="s">
        <v>44</v>
      </c>
      <c r="AO36" s="3">
        <v>8.0</v>
      </c>
    </row>
    <row r="37">
      <c r="A37" s="2">
        <v>44198.50916021991</v>
      </c>
      <c r="B37" s="3" t="s">
        <v>81</v>
      </c>
      <c r="C37" s="3" t="s">
        <v>42</v>
      </c>
      <c r="D37" s="3" t="s">
        <v>44</v>
      </c>
      <c r="E37" s="3">
        <v>7.0</v>
      </c>
      <c r="F37" s="3" t="s">
        <v>42</v>
      </c>
      <c r="G37" s="3" t="s">
        <v>45</v>
      </c>
      <c r="H37" s="3">
        <v>9.0</v>
      </c>
      <c r="I37" s="3" t="s">
        <v>44</v>
      </c>
      <c r="J37" s="3" t="s">
        <v>43</v>
      </c>
      <c r="K37" s="3">
        <v>5.0</v>
      </c>
      <c r="L37" s="3" t="s">
        <v>42</v>
      </c>
      <c r="M37" s="3" t="s">
        <v>46</v>
      </c>
      <c r="N37" s="3">
        <v>3.0</v>
      </c>
      <c r="O37" s="3" t="s">
        <v>44</v>
      </c>
      <c r="P37" s="3" t="s">
        <v>45</v>
      </c>
      <c r="Q37" s="3">
        <v>9.0</v>
      </c>
      <c r="R37" s="3" t="s">
        <v>44</v>
      </c>
      <c r="S37" s="3" t="s">
        <v>45</v>
      </c>
      <c r="T37" s="3">
        <v>8.0</v>
      </c>
      <c r="U37" s="3" t="s">
        <v>44</v>
      </c>
      <c r="V37" s="3" t="s">
        <v>45</v>
      </c>
      <c r="W37" s="3">
        <v>8.0</v>
      </c>
      <c r="X37" s="3" t="s">
        <v>42</v>
      </c>
      <c r="Y37" s="3" t="s">
        <v>46</v>
      </c>
      <c r="Z37" s="3">
        <v>7.0</v>
      </c>
      <c r="AA37" s="3" t="s">
        <v>44</v>
      </c>
      <c r="AB37" s="3" t="s">
        <v>43</v>
      </c>
      <c r="AC37" s="3">
        <v>6.0</v>
      </c>
      <c r="AD37" s="3" t="s">
        <v>42</v>
      </c>
      <c r="AE37" s="3" t="s">
        <v>46</v>
      </c>
      <c r="AF37" s="3">
        <v>5.0</v>
      </c>
      <c r="AG37" s="3" t="s">
        <v>44</v>
      </c>
      <c r="AH37" s="3" t="s">
        <v>46</v>
      </c>
      <c r="AI37" s="3">
        <v>4.0</v>
      </c>
      <c r="AJ37" s="3" t="s">
        <v>42</v>
      </c>
      <c r="AK37" s="3" t="s">
        <v>46</v>
      </c>
      <c r="AL37" s="3">
        <v>5.0</v>
      </c>
      <c r="AM37" s="3" t="s">
        <v>44</v>
      </c>
      <c r="AN37" s="3" t="s">
        <v>45</v>
      </c>
      <c r="AO37" s="3">
        <v>8.0</v>
      </c>
    </row>
    <row r="38">
      <c r="A38" s="2">
        <v>44200.92546596065</v>
      </c>
      <c r="B38" s="3" t="s">
        <v>82</v>
      </c>
      <c r="C38" s="3" t="s">
        <v>42</v>
      </c>
      <c r="D38" s="3" t="s">
        <v>45</v>
      </c>
      <c r="E38" s="3">
        <v>8.0</v>
      </c>
      <c r="F38" s="3" t="s">
        <v>44</v>
      </c>
      <c r="G38" s="3" t="s">
        <v>45</v>
      </c>
      <c r="H38" s="3">
        <v>9.0</v>
      </c>
      <c r="I38" s="3" t="s">
        <v>46</v>
      </c>
      <c r="J38" s="3" t="s">
        <v>43</v>
      </c>
      <c r="K38" s="3">
        <v>6.0</v>
      </c>
      <c r="L38" s="3" t="s">
        <v>46</v>
      </c>
      <c r="M38" s="3" t="s">
        <v>43</v>
      </c>
      <c r="N38" s="3">
        <v>2.0</v>
      </c>
      <c r="O38" s="3" t="s">
        <v>46</v>
      </c>
      <c r="P38" s="3" t="s">
        <v>43</v>
      </c>
      <c r="Q38" s="3">
        <v>2.0</v>
      </c>
      <c r="R38" s="3" t="s">
        <v>46</v>
      </c>
      <c r="S38" s="3" t="s">
        <v>43</v>
      </c>
      <c r="T38" s="3">
        <v>4.0</v>
      </c>
      <c r="U38" s="3" t="s">
        <v>44</v>
      </c>
      <c r="V38" s="3" t="s">
        <v>43</v>
      </c>
      <c r="W38" s="3">
        <v>7.0</v>
      </c>
      <c r="X38" s="3" t="s">
        <v>42</v>
      </c>
      <c r="Y38" s="3" t="s">
        <v>43</v>
      </c>
      <c r="Z38" s="3">
        <v>8.0</v>
      </c>
      <c r="AA38" s="3" t="s">
        <v>42</v>
      </c>
      <c r="AB38" s="3" t="s">
        <v>43</v>
      </c>
      <c r="AC38" s="3">
        <v>2.0</v>
      </c>
      <c r="AD38" s="3" t="s">
        <v>46</v>
      </c>
      <c r="AE38" s="3" t="s">
        <v>46</v>
      </c>
      <c r="AF38" s="3">
        <v>1.0</v>
      </c>
      <c r="AG38" s="3" t="s">
        <v>46</v>
      </c>
      <c r="AH38" s="3" t="s">
        <v>46</v>
      </c>
      <c r="AI38" s="3">
        <v>1.0</v>
      </c>
      <c r="AJ38" s="3" t="s">
        <v>42</v>
      </c>
      <c r="AK38" s="3" t="s">
        <v>46</v>
      </c>
      <c r="AL38" s="3">
        <v>5.0</v>
      </c>
      <c r="AM38" s="3" t="s">
        <v>42</v>
      </c>
      <c r="AN38" s="3" t="s">
        <v>43</v>
      </c>
      <c r="AO38" s="3">
        <v>5.0</v>
      </c>
    </row>
    <row r="39">
      <c r="A39" s="2">
        <v>44203.856312372685</v>
      </c>
      <c r="B39" s="3" t="s">
        <v>83</v>
      </c>
      <c r="C39" s="3" t="s">
        <v>42</v>
      </c>
      <c r="D39" s="3" t="s">
        <v>45</v>
      </c>
      <c r="E39" s="3">
        <v>7.0</v>
      </c>
      <c r="F39" s="3" t="s">
        <v>42</v>
      </c>
      <c r="G39" s="3" t="s">
        <v>45</v>
      </c>
      <c r="H39" s="3">
        <v>7.0</v>
      </c>
      <c r="I39" s="3" t="s">
        <v>46</v>
      </c>
      <c r="J39" s="3" t="s">
        <v>46</v>
      </c>
      <c r="K39" s="3">
        <v>2.0</v>
      </c>
      <c r="L39" s="3" t="s">
        <v>46</v>
      </c>
      <c r="M39" s="3" t="s">
        <v>46</v>
      </c>
      <c r="N39" s="3">
        <v>3.0</v>
      </c>
      <c r="O39" s="3" t="s">
        <v>46</v>
      </c>
      <c r="P39" s="3" t="s">
        <v>46</v>
      </c>
      <c r="Q39" s="3">
        <v>3.0</v>
      </c>
      <c r="R39" s="3" t="s">
        <v>46</v>
      </c>
      <c r="S39" s="3" t="s">
        <v>46</v>
      </c>
      <c r="T39" s="3">
        <v>3.0</v>
      </c>
      <c r="U39" s="3" t="s">
        <v>42</v>
      </c>
      <c r="V39" s="3" t="s">
        <v>45</v>
      </c>
      <c r="W39" s="3">
        <v>7.0</v>
      </c>
      <c r="X39" s="3" t="s">
        <v>42</v>
      </c>
      <c r="Y39" s="3" t="s">
        <v>45</v>
      </c>
      <c r="Z39" s="3">
        <v>7.0</v>
      </c>
      <c r="AA39" s="3" t="s">
        <v>46</v>
      </c>
      <c r="AB39" s="3" t="s">
        <v>46</v>
      </c>
      <c r="AC39" s="3">
        <v>3.0</v>
      </c>
      <c r="AD39" s="3" t="s">
        <v>42</v>
      </c>
      <c r="AE39" s="3" t="s">
        <v>45</v>
      </c>
      <c r="AF39" s="3">
        <v>7.0</v>
      </c>
      <c r="AG39" s="3" t="s">
        <v>45</v>
      </c>
      <c r="AH39" s="3" t="s">
        <v>42</v>
      </c>
      <c r="AI39" s="3">
        <v>1.0</v>
      </c>
      <c r="AJ39" s="3" t="s">
        <v>46</v>
      </c>
      <c r="AK39" s="3" t="s">
        <v>46</v>
      </c>
      <c r="AL39" s="3">
        <v>3.0</v>
      </c>
      <c r="AM39" s="3" t="s">
        <v>42</v>
      </c>
      <c r="AN39" s="3" t="s">
        <v>45</v>
      </c>
      <c r="AO39" s="3">
        <v>7.0</v>
      </c>
    </row>
    <row r="40">
      <c r="A40" s="2">
        <v>44207.58959087963</v>
      </c>
      <c r="B40" s="3" t="s">
        <v>84</v>
      </c>
      <c r="C40" s="3" t="s">
        <v>44</v>
      </c>
      <c r="D40" s="3" t="s">
        <v>43</v>
      </c>
      <c r="E40" s="3">
        <v>8.0</v>
      </c>
      <c r="F40" s="3" t="s">
        <v>44</v>
      </c>
      <c r="G40" s="3" t="s">
        <v>45</v>
      </c>
      <c r="H40" s="3">
        <v>9.0</v>
      </c>
      <c r="I40" s="3" t="s">
        <v>42</v>
      </c>
      <c r="J40" s="3" t="s">
        <v>43</v>
      </c>
      <c r="K40" s="3">
        <v>4.0</v>
      </c>
      <c r="L40" s="3" t="s">
        <v>45</v>
      </c>
      <c r="M40" s="3" t="s">
        <v>42</v>
      </c>
      <c r="N40" s="3">
        <v>2.0</v>
      </c>
      <c r="O40" s="3" t="s">
        <v>42</v>
      </c>
      <c r="P40" s="3" t="s">
        <v>45</v>
      </c>
      <c r="Q40" s="3">
        <v>7.0</v>
      </c>
      <c r="R40" s="3" t="s">
        <v>43</v>
      </c>
      <c r="S40" s="3" t="s">
        <v>43</v>
      </c>
      <c r="T40" s="3">
        <v>6.0</v>
      </c>
      <c r="U40" s="3" t="s">
        <v>44</v>
      </c>
      <c r="V40" s="3" t="s">
        <v>43</v>
      </c>
      <c r="W40" s="3">
        <v>6.0</v>
      </c>
      <c r="X40" s="3" t="s">
        <v>42</v>
      </c>
      <c r="Y40" s="3" t="s">
        <v>43</v>
      </c>
      <c r="Z40" s="3">
        <v>6.0</v>
      </c>
      <c r="AA40" s="3" t="s">
        <v>42</v>
      </c>
      <c r="AB40" s="3" t="s">
        <v>45</v>
      </c>
      <c r="AC40" s="3">
        <v>8.0</v>
      </c>
      <c r="AD40" s="3" t="s">
        <v>44</v>
      </c>
      <c r="AE40" s="3" t="s">
        <v>45</v>
      </c>
      <c r="AF40" s="3">
        <v>9.0</v>
      </c>
      <c r="AG40" s="3" t="s">
        <v>46</v>
      </c>
      <c r="AH40" s="3" t="s">
        <v>46</v>
      </c>
      <c r="AI40" s="3">
        <v>5.0</v>
      </c>
      <c r="AJ40" s="3" t="s">
        <v>46</v>
      </c>
      <c r="AK40" s="3" t="s">
        <v>46</v>
      </c>
      <c r="AL40" s="3">
        <v>6.0</v>
      </c>
      <c r="AM40" s="3" t="s">
        <v>42</v>
      </c>
      <c r="AN40" s="3" t="s">
        <v>45</v>
      </c>
      <c r="AO40" s="3">
        <v>7.0</v>
      </c>
    </row>
    <row r="41">
      <c r="A41" s="2">
        <v>44209.81341185185</v>
      </c>
      <c r="B41" s="3" t="s">
        <v>85</v>
      </c>
      <c r="C41" s="3" t="s">
        <v>42</v>
      </c>
      <c r="D41" s="3" t="s">
        <v>43</v>
      </c>
      <c r="E41" s="3">
        <v>4.0</v>
      </c>
      <c r="F41" s="3" t="s">
        <v>44</v>
      </c>
      <c r="G41" s="3" t="s">
        <v>45</v>
      </c>
      <c r="H41" s="3">
        <v>8.0</v>
      </c>
      <c r="I41" s="3" t="s">
        <v>42</v>
      </c>
      <c r="J41" s="3" t="s">
        <v>43</v>
      </c>
      <c r="K41" s="3">
        <v>6.0</v>
      </c>
      <c r="L41" s="3" t="s">
        <v>46</v>
      </c>
      <c r="M41" s="3" t="s">
        <v>46</v>
      </c>
      <c r="N41" s="3">
        <v>1.0</v>
      </c>
      <c r="O41" s="3" t="s">
        <v>42</v>
      </c>
      <c r="P41" s="3" t="s">
        <v>46</v>
      </c>
      <c r="Q41" s="3">
        <v>1.0</v>
      </c>
      <c r="R41" s="3" t="s">
        <v>42</v>
      </c>
      <c r="S41" s="3" t="s">
        <v>43</v>
      </c>
      <c r="T41" s="3">
        <v>6.0</v>
      </c>
      <c r="U41" s="3" t="s">
        <v>42</v>
      </c>
      <c r="V41" s="3" t="s">
        <v>44</v>
      </c>
      <c r="W41" s="3">
        <v>7.0</v>
      </c>
      <c r="X41" s="3" t="s">
        <v>42</v>
      </c>
      <c r="Y41" s="3" t="s">
        <v>43</v>
      </c>
      <c r="Z41" s="3">
        <v>7.0</v>
      </c>
      <c r="AA41" s="3" t="s">
        <v>42</v>
      </c>
      <c r="AB41" s="3" t="s">
        <v>43</v>
      </c>
      <c r="AC41" s="3">
        <v>3.0</v>
      </c>
      <c r="AD41" s="3" t="s">
        <v>42</v>
      </c>
      <c r="AE41" s="3" t="s">
        <v>43</v>
      </c>
      <c r="AF41" s="3">
        <v>6.0</v>
      </c>
      <c r="AG41" s="3" t="s">
        <v>46</v>
      </c>
      <c r="AH41" s="3" t="s">
        <v>46</v>
      </c>
      <c r="AI41" s="3">
        <v>1.0</v>
      </c>
      <c r="AJ41" s="3" t="s">
        <v>42</v>
      </c>
      <c r="AK41" s="3" t="s">
        <v>44</v>
      </c>
      <c r="AL41" s="3">
        <v>5.0</v>
      </c>
      <c r="AM41" s="3" t="s">
        <v>42</v>
      </c>
      <c r="AN41" s="3" t="s">
        <v>43</v>
      </c>
      <c r="AO41" s="3">
        <v>6.0</v>
      </c>
    </row>
    <row r="42">
      <c r="A42" s="2">
        <v>44210.710756307875</v>
      </c>
      <c r="B42" s="3" t="s">
        <v>86</v>
      </c>
      <c r="C42" s="3" t="s">
        <v>42</v>
      </c>
      <c r="D42" s="3" t="s">
        <v>44</v>
      </c>
      <c r="E42" s="3">
        <v>5.0</v>
      </c>
      <c r="F42" s="3" t="s">
        <v>42</v>
      </c>
      <c r="G42" s="3" t="s">
        <v>46</v>
      </c>
      <c r="H42" s="3">
        <v>5.0</v>
      </c>
      <c r="I42" s="3" t="s">
        <v>42</v>
      </c>
      <c r="J42" s="3" t="s">
        <v>43</v>
      </c>
      <c r="K42" s="3">
        <v>6.0</v>
      </c>
      <c r="L42" s="3" t="s">
        <v>46</v>
      </c>
      <c r="M42" s="3" t="s">
        <v>46</v>
      </c>
      <c r="N42" s="3">
        <v>3.0</v>
      </c>
      <c r="O42" s="3" t="s">
        <v>46</v>
      </c>
      <c r="P42" s="3" t="s">
        <v>46</v>
      </c>
      <c r="Q42" s="3">
        <v>3.0</v>
      </c>
      <c r="R42" s="3" t="s">
        <v>44</v>
      </c>
      <c r="S42" s="3" t="s">
        <v>44</v>
      </c>
      <c r="T42" s="3">
        <v>5.0</v>
      </c>
      <c r="U42" s="3" t="s">
        <v>42</v>
      </c>
      <c r="V42" s="3" t="s">
        <v>44</v>
      </c>
      <c r="W42" s="3">
        <v>5.0</v>
      </c>
      <c r="X42" s="3" t="s">
        <v>42</v>
      </c>
      <c r="Y42" s="3" t="s">
        <v>43</v>
      </c>
      <c r="Z42" s="3">
        <v>7.0</v>
      </c>
      <c r="AA42" s="3" t="s">
        <v>46</v>
      </c>
      <c r="AB42" s="3" t="s">
        <v>46</v>
      </c>
      <c r="AC42" s="3">
        <v>3.0</v>
      </c>
      <c r="AD42" s="3" t="s">
        <v>42</v>
      </c>
      <c r="AE42" s="3" t="s">
        <v>46</v>
      </c>
      <c r="AF42" s="3">
        <v>7.0</v>
      </c>
      <c r="AG42" s="3" t="s">
        <v>46</v>
      </c>
      <c r="AH42" s="3" t="s">
        <v>46</v>
      </c>
      <c r="AI42" s="3">
        <v>5.0</v>
      </c>
      <c r="AJ42" s="3" t="s">
        <v>46</v>
      </c>
      <c r="AK42" s="3" t="s">
        <v>46</v>
      </c>
      <c r="AL42" s="3">
        <v>5.0</v>
      </c>
      <c r="AM42" s="3" t="s">
        <v>46</v>
      </c>
      <c r="AN42" s="3" t="s">
        <v>46</v>
      </c>
      <c r="AO42" s="3">
        <v>4.0</v>
      </c>
    </row>
    <row r="43">
      <c r="A43" s="2">
        <v>44213.779587268524</v>
      </c>
      <c r="B43" s="3" t="s">
        <v>87</v>
      </c>
      <c r="C43" s="3" t="s">
        <v>42</v>
      </c>
      <c r="D43" s="3" t="s">
        <v>46</v>
      </c>
      <c r="E43" s="3">
        <v>5.0</v>
      </c>
      <c r="F43" s="3" t="s">
        <v>44</v>
      </c>
      <c r="G43" s="3" t="s">
        <v>43</v>
      </c>
      <c r="H43" s="3">
        <v>9.0</v>
      </c>
      <c r="I43" s="3" t="s">
        <v>42</v>
      </c>
      <c r="J43" s="3" t="s">
        <v>46</v>
      </c>
      <c r="K43" s="3">
        <v>6.0</v>
      </c>
      <c r="L43" s="3" t="s">
        <v>46</v>
      </c>
      <c r="M43" s="3" t="s">
        <v>44</v>
      </c>
      <c r="N43" s="3">
        <v>3.0</v>
      </c>
      <c r="O43" s="3" t="s">
        <v>42</v>
      </c>
      <c r="P43" s="3" t="s">
        <v>45</v>
      </c>
      <c r="Q43" s="3">
        <v>7.0</v>
      </c>
      <c r="R43" s="3" t="s">
        <v>42</v>
      </c>
      <c r="S43" s="3" t="s">
        <v>43</v>
      </c>
      <c r="T43" s="3">
        <v>6.0</v>
      </c>
      <c r="U43" s="3" t="s">
        <v>42</v>
      </c>
      <c r="V43" s="3" t="s">
        <v>43</v>
      </c>
      <c r="W43" s="3">
        <v>7.0</v>
      </c>
      <c r="X43" s="3" t="s">
        <v>42</v>
      </c>
      <c r="Y43" s="3" t="s">
        <v>44</v>
      </c>
      <c r="Z43" s="3">
        <v>6.0</v>
      </c>
      <c r="AA43" s="3" t="s">
        <v>44</v>
      </c>
      <c r="AB43" s="3" t="s">
        <v>43</v>
      </c>
      <c r="AC43" s="3">
        <v>5.0</v>
      </c>
      <c r="AD43" s="3" t="s">
        <v>42</v>
      </c>
      <c r="AE43" s="3" t="s">
        <v>44</v>
      </c>
      <c r="AF43" s="3">
        <v>4.0</v>
      </c>
      <c r="AG43" s="3" t="s">
        <v>42</v>
      </c>
      <c r="AH43" s="3" t="s">
        <v>46</v>
      </c>
      <c r="AI43" s="3">
        <v>5.0</v>
      </c>
      <c r="AJ43" s="3" t="s">
        <v>42</v>
      </c>
      <c r="AK43" s="3" t="s">
        <v>44</v>
      </c>
      <c r="AL43" s="3">
        <v>3.0</v>
      </c>
      <c r="AM43" s="3" t="s">
        <v>42</v>
      </c>
      <c r="AN43" s="3" t="s">
        <v>43</v>
      </c>
      <c r="AO43" s="3">
        <v>7.0</v>
      </c>
    </row>
    <row r="44">
      <c r="A44" s="2">
        <v>44215.78817322917</v>
      </c>
      <c r="B44" s="3" t="s">
        <v>88</v>
      </c>
      <c r="C44" s="3" t="s">
        <v>44</v>
      </c>
      <c r="D44" s="3" t="s">
        <v>45</v>
      </c>
      <c r="E44" s="3">
        <v>9.0</v>
      </c>
      <c r="F44" s="3" t="s">
        <v>42</v>
      </c>
      <c r="G44" s="3" t="s">
        <v>45</v>
      </c>
      <c r="H44" s="3">
        <v>7.0</v>
      </c>
      <c r="I44" s="3" t="s">
        <v>46</v>
      </c>
      <c r="J44" s="3" t="s">
        <v>43</v>
      </c>
      <c r="K44" s="3">
        <v>5.0</v>
      </c>
      <c r="L44" s="3" t="s">
        <v>42</v>
      </c>
      <c r="M44" s="3" t="s">
        <v>43</v>
      </c>
      <c r="N44" s="3">
        <v>6.0</v>
      </c>
      <c r="O44" s="3" t="s">
        <v>42</v>
      </c>
      <c r="P44" s="3" t="s">
        <v>43</v>
      </c>
      <c r="Q44" s="3">
        <v>6.0</v>
      </c>
      <c r="R44" s="3" t="s">
        <v>42</v>
      </c>
      <c r="S44" s="3" t="s">
        <v>43</v>
      </c>
      <c r="T44" s="3">
        <v>4.0</v>
      </c>
      <c r="U44" s="3" t="s">
        <v>42</v>
      </c>
      <c r="V44" s="3" t="s">
        <v>45</v>
      </c>
      <c r="W44" s="3">
        <v>9.0</v>
      </c>
      <c r="X44" s="3" t="s">
        <v>42</v>
      </c>
      <c r="Y44" s="3" t="s">
        <v>43</v>
      </c>
      <c r="Z44" s="3">
        <v>6.0</v>
      </c>
      <c r="AA44" s="3" t="s">
        <v>46</v>
      </c>
      <c r="AB44" s="3" t="s">
        <v>46</v>
      </c>
      <c r="AC44" s="3">
        <v>5.0</v>
      </c>
      <c r="AD44" s="3" t="s">
        <v>46</v>
      </c>
      <c r="AE44" s="3" t="s">
        <v>46</v>
      </c>
      <c r="AF44" s="3">
        <v>5.0</v>
      </c>
      <c r="AG44" s="3" t="s">
        <v>46</v>
      </c>
      <c r="AH44" s="3" t="s">
        <v>46</v>
      </c>
      <c r="AI44" s="3">
        <v>1.0</v>
      </c>
      <c r="AJ44" s="3" t="s">
        <v>42</v>
      </c>
      <c r="AK44" s="3" t="s">
        <v>43</v>
      </c>
      <c r="AL44" s="3">
        <v>4.0</v>
      </c>
      <c r="AM44" s="3" t="s">
        <v>44</v>
      </c>
      <c r="AN44" s="3" t="s">
        <v>43</v>
      </c>
      <c r="AO44" s="3">
        <v>6.0</v>
      </c>
    </row>
    <row r="45">
      <c r="A45" s="2">
        <v>44215.86658673611</v>
      </c>
      <c r="B45" s="3" t="s">
        <v>89</v>
      </c>
      <c r="C45" s="3" t="s">
        <v>44</v>
      </c>
      <c r="D45" s="3" t="s">
        <v>43</v>
      </c>
      <c r="E45" s="3">
        <v>7.0</v>
      </c>
      <c r="F45" s="3" t="s">
        <v>44</v>
      </c>
      <c r="G45" s="3" t="s">
        <v>45</v>
      </c>
      <c r="H45" s="3">
        <v>9.0</v>
      </c>
      <c r="I45" s="3" t="s">
        <v>42</v>
      </c>
      <c r="J45" s="3" t="s">
        <v>46</v>
      </c>
      <c r="K45" s="3">
        <v>2.0</v>
      </c>
      <c r="L45" s="3" t="s">
        <v>42</v>
      </c>
      <c r="M45" s="3" t="s">
        <v>46</v>
      </c>
      <c r="N45" s="3">
        <v>2.0</v>
      </c>
      <c r="O45" s="3" t="s">
        <v>42</v>
      </c>
      <c r="P45" s="3" t="s">
        <v>43</v>
      </c>
      <c r="Q45" s="3">
        <v>5.0</v>
      </c>
      <c r="R45" s="3" t="s">
        <v>44</v>
      </c>
      <c r="S45" s="3" t="s">
        <v>45</v>
      </c>
      <c r="T45" s="3">
        <v>7.0</v>
      </c>
      <c r="U45" s="3" t="s">
        <v>44</v>
      </c>
      <c r="V45" s="3" t="s">
        <v>46</v>
      </c>
      <c r="W45" s="3">
        <v>5.0</v>
      </c>
      <c r="X45" s="3" t="s">
        <v>42</v>
      </c>
      <c r="Y45" s="3" t="s">
        <v>46</v>
      </c>
      <c r="Z45" s="3">
        <v>6.0</v>
      </c>
      <c r="AA45" s="3" t="s">
        <v>42</v>
      </c>
      <c r="AB45" s="3" t="s">
        <v>46</v>
      </c>
      <c r="AC45" s="3">
        <v>3.0</v>
      </c>
      <c r="AD45" s="3" t="s">
        <v>42</v>
      </c>
      <c r="AE45" s="3" t="s">
        <v>46</v>
      </c>
      <c r="AF45" s="3">
        <v>1.0</v>
      </c>
      <c r="AG45" s="3" t="s">
        <v>42</v>
      </c>
      <c r="AH45" s="3" t="s">
        <v>46</v>
      </c>
      <c r="AI45" s="3">
        <v>1.0</v>
      </c>
      <c r="AJ45" s="3" t="s">
        <v>42</v>
      </c>
      <c r="AK45" s="3" t="s">
        <v>46</v>
      </c>
      <c r="AL45" s="3">
        <v>1.0</v>
      </c>
      <c r="AM45" s="3" t="s">
        <v>44</v>
      </c>
      <c r="AN45" s="3" t="s">
        <v>45</v>
      </c>
      <c r="AO45" s="3">
        <v>8.0</v>
      </c>
    </row>
    <row r="46">
      <c r="A46" s="2">
        <v>44216.632707881945</v>
      </c>
      <c r="B46" s="3" t="s">
        <v>90</v>
      </c>
      <c r="C46" s="3" t="s">
        <v>42</v>
      </c>
      <c r="D46" s="3" t="s">
        <v>46</v>
      </c>
      <c r="E46" s="3">
        <v>4.0</v>
      </c>
      <c r="F46" s="3" t="s">
        <v>44</v>
      </c>
      <c r="G46" s="3" t="s">
        <v>45</v>
      </c>
      <c r="H46" s="3">
        <v>9.0</v>
      </c>
      <c r="I46" s="3" t="s">
        <v>46</v>
      </c>
      <c r="J46" s="3" t="s">
        <v>46</v>
      </c>
      <c r="K46" s="3">
        <v>1.0</v>
      </c>
      <c r="L46" s="3" t="s">
        <v>45</v>
      </c>
      <c r="M46" s="3" t="s">
        <v>45</v>
      </c>
      <c r="N46" s="3">
        <v>1.0</v>
      </c>
      <c r="O46" s="3" t="s">
        <v>42</v>
      </c>
      <c r="P46" s="3" t="s">
        <v>43</v>
      </c>
      <c r="Q46" s="3">
        <v>1.0</v>
      </c>
      <c r="R46" s="3" t="s">
        <v>42</v>
      </c>
      <c r="S46" s="3" t="s">
        <v>43</v>
      </c>
      <c r="T46" s="3">
        <v>2.0</v>
      </c>
      <c r="U46" s="3" t="s">
        <v>42</v>
      </c>
      <c r="V46" s="3" t="s">
        <v>46</v>
      </c>
      <c r="W46" s="3">
        <v>4.0</v>
      </c>
      <c r="X46" s="3" t="s">
        <v>45</v>
      </c>
      <c r="Y46" s="3" t="s">
        <v>42</v>
      </c>
      <c r="Z46" s="3">
        <v>1.0</v>
      </c>
      <c r="AA46" s="3" t="s">
        <v>42</v>
      </c>
      <c r="AB46" s="3" t="s">
        <v>46</v>
      </c>
      <c r="AC46" s="3">
        <v>5.0</v>
      </c>
      <c r="AD46" s="3" t="s">
        <v>44</v>
      </c>
      <c r="AE46" s="3" t="s">
        <v>43</v>
      </c>
      <c r="AF46" s="3">
        <v>9.0</v>
      </c>
      <c r="AG46" s="3" t="s">
        <v>45</v>
      </c>
      <c r="AH46" s="3" t="s">
        <v>42</v>
      </c>
      <c r="AI46" s="3">
        <v>1.0</v>
      </c>
      <c r="AJ46" s="3" t="s">
        <v>42</v>
      </c>
      <c r="AK46" s="3" t="s">
        <v>46</v>
      </c>
      <c r="AL46" s="3">
        <v>5.0</v>
      </c>
      <c r="AM46" s="3" t="s">
        <v>44</v>
      </c>
      <c r="AN46" s="3" t="s">
        <v>45</v>
      </c>
      <c r="AO46" s="3">
        <v>9.0</v>
      </c>
    </row>
    <row r="47">
      <c r="A47" s="2">
        <v>44216.75630842593</v>
      </c>
      <c r="B47" s="3" t="s">
        <v>91</v>
      </c>
      <c r="C47" s="3" t="s">
        <v>44</v>
      </c>
      <c r="D47" s="3" t="s">
        <v>45</v>
      </c>
      <c r="E47" s="3">
        <v>9.0</v>
      </c>
      <c r="F47" s="3" t="s">
        <v>44</v>
      </c>
      <c r="G47" s="3" t="s">
        <v>45</v>
      </c>
      <c r="H47" s="3">
        <v>8.0</v>
      </c>
      <c r="I47" s="3" t="s">
        <v>46</v>
      </c>
      <c r="J47" s="3" t="s">
        <v>46</v>
      </c>
      <c r="K47" s="3">
        <v>2.0</v>
      </c>
      <c r="L47" s="3" t="s">
        <v>43</v>
      </c>
      <c r="M47" s="3" t="s">
        <v>46</v>
      </c>
      <c r="N47" s="3">
        <v>2.0</v>
      </c>
      <c r="O47" s="3" t="s">
        <v>42</v>
      </c>
      <c r="P47" s="3" t="s">
        <v>43</v>
      </c>
      <c r="Q47" s="3">
        <v>5.0</v>
      </c>
      <c r="R47" s="3" t="s">
        <v>46</v>
      </c>
      <c r="S47" s="3" t="s">
        <v>46</v>
      </c>
      <c r="T47" s="3">
        <v>5.0</v>
      </c>
      <c r="U47" s="3" t="s">
        <v>44</v>
      </c>
      <c r="V47" s="3" t="s">
        <v>43</v>
      </c>
      <c r="W47" s="3">
        <v>7.0</v>
      </c>
      <c r="X47" s="3" t="s">
        <v>42</v>
      </c>
      <c r="Y47" s="3" t="s">
        <v>44</v>
      </c>
      <c r="Z47" s="3">
        <v>4.0</v>
      </c>
      <c r="AA47" s="3" t="s">
        <v>44</v>
      </c>
      <c r="AB47" s="3" t="s">
        <v>45</v>
      </c>
      <c r="AC47" s="3">
        <v>8.0</v>
      </c>
      <c r="AD47" s="3" t="s">
        <v>42</v>
      </c>
      <c r="AE47" s="3" t="s">
        <v>43</v>
      </c>
      <c r="AF47" s="3">
        <v>6.0</v>
      </c>
      <c r="AG47" s="3" t="s">
        <v>43</v>
      </c>
      <c r="AH47" s="3" t="s">
        <v>44</v>
      </c>
      <c r="AI47" s="3">
        <v>2.0</v>
      </c>
      <c r="AJ47" s="3" t="s">
        <v>43</v>
      </c>
      <c r="AK47" s="3" t="s">
        <v>44</v>
      </c>
      <c r="AL47" s="3">
        <v>3.0</v>
      </c>
      <c r="AM47" s="3" t="s">
        <v>44</v>
      </c>
      <c r="AN47" s="3" t="s">
        <v>45</v>
      </c>
      <c r="AO47" s="3">
        <v>7.0</v>
      </c>
    </row>
    <row r="48">
      <c r="A48" s="2">
        <v>44216.901868553236</v>
      </c>
      <c r="B48" s="3" t="s">
        <v>92</v>
      </c>
      <c r="C48" s="3" t="s">
        <v>44</v>
      </c>
      <c r="D48" s="3" t="s">
        <v>45</v>
      </c>
      <c r="E48" s="3">
        <v>8.0</v>
      </c>
      <c r="F48" s="3" t="s">
        <v>44</v>
      </c>
      <c r="G48" s="3" t="s">
        <v>43</v>
      </c>
      <c r="H48" s="3">
        <v>8.0</v>
      </c>
      <c r="I48" s="3" t="s">
        <v>42</v>
      </c>
      <c r="J48" s="3" t="s">
        <v>46</v>
      </c>
      <c r="K48" s="3">
        <v>5.0</v>
      </c>
      <c r="L48" s="3" t="s">
        <v>46</v>
      </c>
      <c r="M48" s="3" t="s">
        <v>46</v>
      </c>
      <c r="N48" s="3">
        <v>2.0</v>
      </c>
      <c r="O48" s="3" t="s">
        <v>46</v>
      </c>
      <c r="P48" s="3" t="s">
        <v>46</v>
      </c>
      <c r="Q48" s="3">
        <v>3.0</v>
      </c>
      <c r="R48" s="3" t="s">
        <v>42</v>
      </c>
      <c r="S48" s="3" t="s">
        <v>43</v>
      </c>
      <c r="T48" s="3">
        <v>6.0</v>
      </c>
      <c r="U48" s="3" t="s">
        <v>42</v>
      </c>
      <c r="V48" s="3" t="s">
        <v>43</v>
      </c>
      <c r="W48" s="3">
        <v>6.0</v>
      </c>
      <c r="X48" s="3" t="s">
        <v>42</v>
      </c>
      <c r="Y48" s="3" t="s">
        <v>43</v>
      </c>
      <c r="Z48" s="3">
        <v>6.0</v>
      </c>
      <c r="AA48" s="3" t="s">
        <v>46</v>
      </c>
      <c r="AB48" s="3" t="s">
        <v>46</v>
      </c>
      <c r="AC48" s="3">
        <v>2.0</v>
      </c>
      <c r="AD48" s="3" t="s">
        <v>42</v>
      </c>
      <c r="AE48" s="3" t="s">
        <v>43</v>
      </c>
      <c r="AF48" s="3">
        <v>7.0</v>
      </c>
      <c r="AG48" s="3" t="s">
        <v>46</v>
      </c>
      <c r="AH48" s="3" t="s">
        <v>43</v>
      </c>
      <c r="AI48" s="3">
        <v>2.0</v>
      </c>
      <c r="AJ48" s="3" t="s">
        <v>42</v>
      </c>
      <c r="AK48" s="3" t="s">
        <v>43</v>
      </c>
      <c r="AL48" s="3">
        <v>6.0</v>
      </c>
      <c r="AM48" s="3" t="s">
        <v>44</v>
      </c>
      <c r="AN48" s="3" t="s">
        <v>45</v>
      </c>
      <c r="AO48" s="3">
        <v>7.0</v>
      </c>
    </row>
    <row r="49">
      <c r="A49" s="2">
        <v>44216.99194787037</v>
      </c>
      <c r="B49" s="3" t="s">
        <v>93</v>
      </c>
      <c r="C49" s="3" t="s">
        <v>42</v>
      </c>
      <c r="D49" s="3" t="s">
        <v>46</v>
      </c>
      <c r="E49" s="3">
        <v>5.0</v>
      </c>
      <c r="F49" s="3" t="s">
        <v>44</v>
      </c>
      <c r="G49" s="3" t="s">
        <v>45</v>
      </c>
      <c r="H49" s="3">
        <v>8.0</v>
      </c>
      <c r="I49" s="3" t="s">
        <v>42</v>
      </c>
      <c r="J49" s="3" t="s">
        <v>46</v>
      </c>
      <c r="K49" s="3">
        <v>6.0</v>
      </c>
      <c r="L49" s="3" t="s">
        <v>46</v>
      </c>
      <c r="M49" s="3" t="s">
        <v>46</v>
      </c>
      <c r="N49" s="3">
        <v>4.0</v>
      </c>
      <c r="O49" s="3" t="s">
        <v>42</v>
      </c>
      <c r="P49" s="3" t="s">
        <v>42</v>
      </c>
      <c r="Q49" s="3">
        <v>7.0</v>
      </c>
      <c r="R49" s="3" t="s">
        <v>44</v>
      </c>
      <c r="S49" s="3" t="s">
        <v>43</v>
      </c>
      <c r="T49" s="3">
        <v>6.0</v>
      </c>
      <c r="U49" s="3" t="s">
        <v>44</v>
      </c>
      <c r="V49" s="3" t="s">
        <v>45</v>
      </c>
      <c r="W49" s="3">
        <v>7.0</v>
      </c>
      <c r="X49" s="3" t="s">
        <v>42</v>
      </c>
      <c r="Y49" s="3" t="s">
        <v>43</v>
      </c>
      <c r="Z49" s="3">
        <v>6.0</v>
      </c>
      <c r="AA49" s="3" t="s">
        <v>44</v>
      </c>
      <c r="AB49" s="3" t="s">
        <v>45</v>
      </c>
      <c r="AC49" s="3">
        <v>7.0</v>
      </c>
      <c r="AD49" s="3" t="s">
        <v>42</v>
      </c>
      <c r="AE49" s="3" t="s">
        <v>43</v>
      </c>
      <c r="AF49" s="3">
        <v>7.0</v>
      </c>
      <c r="AG49" s="3" t="s">
        <v>42</v>
      </c>
      <c r="AH49" s="3" t="s">
        <v>46</v>
      </c>
      <c r="AI49" s="3">
        <v>5.0</v>
      </c>
      <c r="AJ49" s="3" t="s">
        <v>42</v>
      </c>
      <c r="AK49" s="3" t="s">
        <v>46</v>
      </c>
      <c r="AL49" s="3">
        <v>3.0</v>
      </c>
      <c r="AM49" s="3" t="s">
        <v>44</v>
      </c>
      <c r="AN49" s="3" t="s">
        <v>43</v>
      </c>
      <c r="AO49" s="3">
        <v>6.0</v>
      </c>
    </row>
    <row r="50">
      <c r="A50" s="2">
        <v>44217.62125434028</v>
      </c>
      <c r="B50" s="3" t="s">
        <v>94</v>
      </c>
      <c r="C50" s="3" t="s">
        <v>42</v>
      </c>
      <c r="D50" s="3" t="s">
        <v>45</v>
      </c>
      <c r="E50" s="3">
        <v>9.0</v>
      </c>
      <c r="F50" s="3" t="s">
        <v>44</v>
      </c>
      <c r="G50" s="3" t="s">
        <v>45</v>
      </c>
      <c r="H50" s="3">
        <v>8.0</v>
      </c>
      <c r="I50" s="3" t="s">
        <v>42</v>
      </c>
      <c r="J50" s="3" t="s">
        <v>46</v>
      </c>
      <c r="K50" s="3">
        <v>4.0</v>
      </c>
      <c r="L50" s="3" t="s">
        <v>42</v>
      </c>
      <c r="M50" s="3" t="s">
        <v>46</v>
      </c>
      <c r="N50" s="3">
        <v>5.0</v>
      </c>
      <c r="O50" s="3" t="s">
        <v>44</v>
      </c>
      <c r="P50" s="3" t="s">
        <v>43</v>
      </c>
      <c r="Q50" s="3">
        <v>6.0</v>
      </c>
      <c r="R50" s="3" t="s">
        <v>46</v>
      </c>
      <c r="S50" s="3" t="s">
        <v>46</v>
      </c>
      <c r="T50" s="3">
        <v>2.0</v>
      </c>
      <c r="U50" s="3" t="s">
        <v>42</v>
      </c>
      <c r="V50" s="3" t="s">
        <v>43</v>
      </c>
      <c r="W50" s="3">
        <v>5.0</v>
      </c>
      <c r="X50" s="3" t="s">
        <v>42</v>
      </c>
      <c r="Y50" s="3" t="s">
        <v>43</v>
      </c>
      <c r="Z50" s="3">
        <v>6.0</v>
      </c>
      <c r="AA50" s="3" t="s">
        <v>46</v>
      </c>
      <c r="AB50" s="3" t="s">
        <v>46</v>
      </c>
      <c r="AC50" s="3">
        <v>2.0</v>
      </c>
      <c r="AD50" s="3" t="s">
        <v>42</v>
      </c>
      <c r="AE50" s="3" t="s">
        <v>46</v>
      </c>
      <c r="AF50" s="3">
        <v>2.0</v>
      </c>
      <c r="AG50" s="3" t="s">
        <v>46</v>
      </c>
      <c r="AH50" s="3" t="s">
        <v>46</v>
      </c>
      <c r="AI50" s="3">
        <v>1.0</v>
      </c>
      <c r="AJ50" s="3" t="s">
        <v>42</v>
      </c>
      <c r="AK50" s="3" t="s">
        <v>46</v>
      </c>
      <c r="AL50" s="3">
        <v>1.0</v>
      </c>
      <c r="AM50" s="3" t="s">
        <v>44</v>
      </c>
      <c r="AN50" s="3" t="s">
        <v>45</v>
      </c>
      <c r="AO50" s="3">
        <v>7.0</v>
      </c>
    </row>
    <row r="51">
      <c r="A51" s="2">
        <v>44217.723690451385</v>
      </c>
      <c r="B51" s="3" t="s">
        <v>95</v>
      </c>
      <c r="C51" s="3" t="s">
        <v>42</v>
      </c>
      <c r="D51" s="3" t="s">
        <v>45</v>
      </c>
      <c r="E51" s="3">
        <v>8.0</v>
      </c>
      <c r="F51" s="3" t="s">
        <v>42</v>
      </c>
      <c r="G51" s="3" t="s">
        <v>43</v>
      </c>
      <c r="H51" s="3">
        <v>8.0</v>
      </c>
      <c r="I51" s="3" t="s">
        <v>44</v>
      </c>
      <c r="J51" s="3" t="s">
        <v>43</v>
      </c>
      <c r="K51" s="3">
        <v>6.0</v>
      </c>
      <c r="L51" s="3" t="s">
        <v>43</v>
      </c>
      <c r="M51" s="3" t="s">
        <v>44</v>
      </c>
      <c r="N51" s="3">
        <v>2.0</v>
      </c>
      <c r="O51" s="3" t="s">
        <v>44</v>
      </c>
      <c r="P51" s="3" t="s">
        <v>46</v>
      </c>
      <c r="Q51" s="3">
        <v>4.0</v>
      </c>
      <c r="R51" s="3" t="s">
        <v>46</v>
      </c>
      <c r="S51" s="3" t="s">
        <v>46</v>
      </c>
      <c r="T51" s="3">
        <v>1.0</v>
      </c>
      <c r="U51" s="3" t="s">
        <v>44</v>
      </c>
      <c r="V51" s="3" t="s">
        <v>46</v>
      </c>
      <c r="W51" s="3">
        <v>3.0</v>
      </c>
      <c r="X51" s="3" t="s">
        <v>42</v>
      </c>
      <c r="Y51" s="3" t="s">
        <v>43</v>
      </c>
      <c r="Z51" s="3">
        <v>2.0</v>
      </c>
      <c r="AA51" s="3" t="s">
        <v>46</v>
      </c>
      <c r="AB51" s="3" t="s">
        <v>46</v>
      </c>
      <c r="AC51" s="3">
        <v>4.0</v>
      </c>
      <c r="AD51" s="3" t="s">
        <v>42</v>
      </c>
      <c r="AE51" s="3" t="s">
        <v>46</v>
      </c>
      <c r="AF51" s="3">
        <v>5.0</v>
      </c>
      <c r="AG51" s="3" t="s">
        <v>46</v>
      </c>
      <c r="AH51" s="3" t="s">
        <v>46</v>
      </c>
      <c r="AI51" s="3">
        <v>2.0</v>
      </c>
      <c r="AJ51" s="3" t="s">
        <v>42</v>
      </c>
      <c r="AK51" s="3" t="s">
        <v>43</v>
      </c>
      <c r="AL51" s="3">
        <v>5.0</v>
      </c>
      <c r="AM51" s="3" t="s">
        <v>42</v>
      </c>
      <c r="AN51" s="3" t="s">
        <v>43</v>
      </c>
      <c r="AO51" s="3">
        <v>7.0</v>
      </c>
    </row>
    <row r="52">
      <c r="A52" s="2">
        <v>44232.81945739583</v>
      </c>
      <c r="B52" s="3" t="s">
        <v>96</v>
      </c>
      <c r="C52" s="3" t="s">
        <v>44</v>
      </c>
      <c r="D52" s="3" t="s">
        <v>45</v>
      </c>
      <c r="E52" s="3">
        <v>7.0</v>
      </c>
      <c r="F52" s="3" t="s">
        <v>42</v>
      </c>
      <c r="G52" s="3" t="s">
        <v>43</v>
      </c>
      <c r="H52" s="3">
        <v>6.0</v>
      </c>
      <c r="I52" s="3" t="s">
        <v>42</v>
      </c>
      <c r="J52" s="3" t="s">
        <v>46</v>
      </c>
      <c r="K52" s="3">
        <v>3.0</v>
      </c>
      <c r="L52" s="3" t="s">
        <v>42</v>
      </c>
      <c r="M52" s="3" t="s">
        <v>46</v>
      </c>
      <c r="N52" s="3">
        <v>3.0</v>
      </c>
      <c r="O52" s="3" t="s">
        <v>42</v>
      </c>
      <c r="P52" s="3" t="s">
        <v>43</v>
      </c>
      <c r="Q52" s="3">
        <v>4.0</v>
      </c>
      <c r="R52" s="3" t="s">
        <v>42</v>
      </c>
      <c r="S52" s="3" t="s">
        <v>46</v>
      </c>
      <c r="T52" s="3">
        <v>4.0</v>
      </c>
      <c r="U52" s="3" t="s">
        <v>42</v>
      </c>
      <c r="V52" s="3" t="s">
        <v>43</v>
      </c>
      <c r="W52" s="3">
        <v>4.0</v>
      </c>
      <c r="X52" s="3" t="s">
        <v>42</v>
      </c>
      <c r="Y52" s="3" t="s">
        <v>46</v>
      </c>
      <c r="Z52" s="3">
        <v>6.0</v>
      </c>
      <c r="AA52" s="3" t="s">
        <v>44</v>
      </c>
      <c r="AB52" s="3" t="s">
        <v>45</v>
      </c>
      <c r="AC52" s="3">
        <v>7.0</v>
      </c>
      <c r="AD52" s="3" t="s">
        <v>42</v>
      </c>
      <c r="AE52" s="3" t="s">
        <v>43</v>
      </c>
      <c r="AF52" s="3">
        <v>6.0</v>
      </c>
      <c r="AG52" s="3" t="s">
        <v>44</v>
      </c>
      <c r="AH52" s="3" t="s">
        <v>43</v>
      </c>
      <c r="AI52" s="3">
        <v>6.0</v>
      </c>
      <c r="AJ52" s="3" t="s">
        <v>46</v>
      </c>
      <c r="AK52" s="3" t="s">
        <v>43</v>
      </c>
      <c r="AL52" s="3">
        <v>3.0</v>
      </c>
      <c r="AM52" s="3" t="s">
        <v>44</v>
      </c>
      <c r="AN52" s="3" t="s">
        <v>43</v>
      </c>
      <c r="AO52" s="3">
        <v>7.0</v>
      </c>
    </row>
    <row r="53">
      <c r="A53" s="2">
        <v>44238.076246689816</v>
      </c>
      <c r="B53" s="3" t="s">
        <v>97</v>
      </c>
      <c r="C53" s="3" t="s">
        <v>42</v>
      </c>
      <c r="D53" s="3" t="s">
        <v>46</v>
      </c>
      <c r="E53" s="3">
        <v>6.0</v>
      </c>
      <c r="F53" s="3" t="s">
        <v>42</v>
      </c>
      <c r="G53" s="3" t="s">
        <v>45</v>
      </c>
      <c r="H53" s="3">
        <v>9.0</v>
      </c>
      <c r="I53" s="3" t="s">
        <v>42</v>
      </c>
      <c r="J53" s="3" t="s">
        <v>46</v>
      </c>
      <c r="K53" s="3">
        <v>1.0</v>
      </c>
      <c r="L53" s="3" t="s">
        <v>46</v>
      </c>
      <c r="M53" s="3" t="s">
        <v>46</v>
      </c>
      <c r="N53" s="3">
        <v>1.0</v>
      </c>
      <c r="O53" s="3" t="s">
        <v>42</v>
      </c>
      <c r="P53" s="3" t="s">
        <v>43</v>
      </c>
      <c r="Q53" s="3">
        <v>7.0</v>
      </c>
      <c r="R53" s="3" t="s">
        <v>42</v>
      </c>
      <c r="S53" s="3" t="s">
        <v>44</v>
      </c>
      <c r="T53" s="3">
        <v>7.0</v>
      </c>
      <c r="U53" s="3" t="s">
        <v>42</v>
      </c>
      <c r="V53" s="3" t="s">
        <v>46</v>
      </c>
      <c r="W53" s="3">
        <v>1.0</v>
      </c>
      <c r="X53" s="3" t="s">
        <v>42</v>
      </c>
      <c r="Y53" s="3" t="s">
        <v>43</v>
      </c>
      <c r="Z53" s="3">
        <v>8.0</v>
      </c>
      <c r="AA53" s="3" t="s">
        <v>42</v>
      </c>
      <c r="AB53" s="3" t="s">
        <v>46</v>
      </c>
      <c r="AC53" s="3">
        <v>1.0</v>
      </c>
      <c r="AD53" s="3" t="s">
        <v>42</v>
      </c>
      <c r="AE53" s="3" t="s">
        <v>42</v>
      </c>
      <c r="AF53" s="3">
        <v>9.0</v>
      </c>
      <c r="AG53" s="3" t="s">
        <v>42</v>
      </c>
      <c r="AH53" s="3" t="s">
        <v>44</v>
      </c>
      <c r="AI53" s="3">
        <v>7.0</v>
      </c>
      <c r="AJ53" s="3" t="s">
        <v>42</v>
      </c>
      <c r="AK53" s="3" t="s">
        <v>42</v>
      </c>
      <c r="AL53" s="3">
        <v>9.0</v>
      </c>
      <c r="AM53" s="3" t="s">
        <v>42</v>
      </c>
      <c r="AN53" s="3" t="s">
        <v>45</v>
      </c>
      <c r="AO53" s="3">
        <v>9.0</v>
      </c>
    </row>
    <row r="54">
      <c r="A54" s="2">
        <v>44240.79133950231</v>
      </c>
      <c r="B54" s="3" t="s">
        <v>98</v>
      </c>
      <c r="C54" s="3" t="s">
        <v>44</v>
      </c>
      <c r="D54" s="3" t="s">
        <v>45</v>
      </c>
      <c r="E54" s="3">
        <v>9.0</v>
      </c>
      <c r="F54" s="3" t="s">
        <v>44</v>
      </c>
      <c r="G54" s="3" t="s">
        <v>45</v>
      </c>
      <c r="H54" s="3">
        <v>8.0</v>
      </c>
      <c r="I54" s="3" t="s">
        <v>46</v>
      </c>
      <c r="J54" s="3" t="s">
        <v>46</v>
      </c>
      <c r="K54" s="3">
        <v>1.0</v>
      </c>
      <c r="L54" s="3" t="s">
        <v>42</v>
      </c>
      <c r="M54" s="3" t="s">
        <v>46</v>
      </c>
      <c r="N54" s="3">
        <v>5.0</v>
      </c>
      <c r="O54" s="3" t="s">
        <v>44</v>
      </c>
      <c r="P54" s="3" t="s">
        <v>45</v>
      </c>
      <c r="Q54" s="3">
        <v>7.0</v>
      </c>
      <c r="R54" s="3" t="s">
        <v>44</v>
      </c>
      <c r="S54" s="3" t="s">
        <v>45</v>
      </c>
      <c r="T54" s="3">
        <v>9.0</v>
      </c>
      <c r="U54" s="3" t="s">
        <v>42</v>
      </c>
      <c r="V54" s="3" t="s">
        <v>43</v>
      </c>
      <c r="W54" s="3">
        <v>6.0</v>
      </c>
      <c r="X54" s="3" t="s">
        <v>42</v>
      </c>
      <c r="Y54" s="3" t="s">
        <v>43</v>
      </c>
      <c r="Z54" s="3">
        <v>4.0</v>
      </c>
      <c r="AA54" s="3" t="s">
        <v>46</v>
      </c>
      <c r="AB54" s="3" t="s">
        <v>46</v>
      </c>
      <c r="AC54" s="3">
        <v>2.0</v>
      </c>
      <c r="AD54" s="3" t="s">
        <v>46</v>
      </c>
      <c r="AE54" s="3" t="s">
        <v>46</v>
      </c>
      <c r="AF54" s="3">
        <v>2.0</v>
      </c>
      <c r="AG54" s="3" t="s">
        <v>45</v>
      </c>
      <c r="AH54" s="3" t="s">
        <v>42</v>
      </c>
      <c r="AI54" s="3">
        <v>1.0</v>
      </c>
      <c r="AJ54" s="3" t="s">
        <v>46</v>
      </c>
      <c r="AK54" s="3" t="s">
        <v>46</v>
      </c>
      <c r="AL54" s="3">
        <v>1.0</v>
      </c>
      <c r="AM54" s="3" t="s">
        <v>44</v>
      </c>
      <c r="AN54" s="3" t="s">
        <v>45</v>
      </c>
      <c r="AO54" s="3">
        <v>7.0</v>
      </c>
    </row>
    <row r="55">
      <c r="A55" s="2">
        <v>44241.60801568287</v>
      </c>
      <c r="B55" s="3" t="s">
        <v>99</v>
      </c>
      <c r="C55" s="3" t="s">
        <v>42</v>
      </c>
      <c r="D55" s="3" t="s">
        <v>43</v>
      </c>
      <c r="E55" s="3">
        <v>7.0</v>
      </c>
      <c r="F55" s="3" t="s">
        <v>44</v>
      </c>
      <c r="G55" s="3" t="s">
        <v>45</v>
      </c>
      <c r="H55" s="3">
        <v>9.0</v>
      </c>
      <c r="I55" s="3" t="s">
        <v>42</v>
      </c>
      <c r="J55" s="3" t="s">
        <v>46</v>
      </c>
      <c r="K55" s="3">
        <v>4.0</v>
      </c>
      <c r="L55" s="3" t="s">
        <v>42</v>
      </c>
      <c r="M55" s="3" t="s">
        <v>43</v>
      </c>
      <c r="N55" s="3">
        <v>8.0</v>
      </c>
      <c r="O55" s="3" t="s">
        <v>44</v>
      </c>
      <c r="P55" s="3" t="s">
        <v>45</v>
      </c>
      <c r="Q55" s="3">
        <v>9.0</v>
      </c>
      <c r="R55" s="3" t="s">
        <v>44</v>
      </c>
      <c r="S55" s="3" t="s">
        <v>45</v>
      </c>
      <c r="T55" s="3">
        <v>9.0</v>
      </c>
      <c r="U55" s="3" t="s">
        <v>44</v>
      </c>
      <c r="V55" s="3" t="s">
        <v>45</v>
      </c>
      <c r="W55" s="3">
        <v>9.0</v>
      </c>
      <c r="X55" s="3" t="s">
        <v>42</v>
      </c>
      <c r="Y55" s="3" t="s">
        <v>46</v>
      </c>
      <c r="Z55" s="3">
        <v>6.0</v>
      </c>
      <c r="AA55" s="3" t="s">
        <v>42</v>
      </c>
      <c r="AB55" s="3" t="s">
        <v>46</v>
      </c>
      <c r="AC55" s="3">
        <v>5.0</v>
      </c>
      <c r="AD55" s="3" t="s">
        <v>42</v>
      </c>
      <c r="AE55" s="3" t="s">
        <v>46</v>
      </c>
      <c r="AF55" s="3">
        <v>7.0</v>
      </c>
      <c r="AG55" s="3" t="s">
        <v>44</v>
      </c>
      <c r="AH55" s="3" t="s">
        <v>45</v>
      </c>
      <c r="AI55" s="3">
        <v>9.0</v>
      </c>
      <c r="AJ55" s="3" t="s">
        <v>46</v>
      </c>
      <c r="AK55" s="3" t="s">
        <v>46</v>
      </c>
      <c r="AL55" s="3">
        <v>2.0</v>
      </c>
      <c r="AM55" s="3" t="s">
        <v>44</v>
      </c>
      <c r="AN55" s="3" t="s">
        <v>45</v>
      </c>
      <c r="AO55" s="3">
        <v>9.0</v>
      </c>
    </row>
    <row r="56">
      <c r="A56" s="2">
        <v>44241.922819687505</v>
      </c>
      <c r="B56" s="3" t="s">
        <v>100</v>
      </c>
      <c r="C56" s="3" t="s">
        <v>42</v>
      </c>
      <c r="D56" s="3" t="s">
        <v>46</v>
      </c>
      <c r="E56" s="3">
        <v>1.0</v>
      </c>
      <c r="F56" s="3" t="s">
        <v>42</v>
      </c>
      <c r="G56" s="3" t="s">
        <v>45</v>
      </c>
      <c r="H56" s="3">
        <v>7.0</v>
      </c>
      <c r="I56" s="3" t="s">
        <v>42</v>
      </c>
      <c r="J56" s="3" t="s">
        <v>46</v>
      </c>
      <c r="K56" s="3">
        <v>5.0</v>
      </c>
      <c r="L56" s="3" t="s">
        <v>42</v>
      </c>
      <c r="M56" s="3" t="s">
        <v>46</v>
      </c>
      <c r="N56" s="3">
        <v>3.0</v>
      </c>
      <c r="O56" s="3" t="s">
        <v>44</v>
      </c>
      <c r="P56" s="3" t="s">
        <v>43</v>
      </c>
      <c r="Q56" s="3">
        <v>3.0</v>
      </c>
      <c r="R56" s="3" t="s">
        <v>42</v>
      </c>
      <c r="S56" s="3" t="s">
        <v>45</v>
      </c>
      <c r="T56" s="3">
        <v>8.0</v>
      </c>
      <c r="U56" s="3" t="s">
        <v>42</v>
      </c>
      <c r="V56" s="3" t="s">
        <v>43</v>
      </c>
      <c r="W56" s="3">
        <v>4.0</v>
      </c>
      <c r="X56" s="3" t="s">
        <v>42</v>
      </c>
      <c r="Y56" s="3" t="s">
        <v>46</v>
      </c>
      <c r="Z56" s="3">
        <v>5.0</v>
      </c>
      <c r="AA56" s="3" t="s">
        <v>42</v>
      </c>
      <c r="AB56" s="3" t="s">
        <v>43</v>
      </c>
      <c r="AC56" s="3">
        <v>6.0</v>
      </c>
      <c r="AD56" s="3" t="s">
        <v>42</v>
      </c>
      <c r="AE56" s="3" t="s">
        <v>45</v>
      </c>
      <c r="AF56" s="3">
        <v>7.0</v>
      </c>
      <c r="AG56" s="3" t="s">
        <v>44</v>
      </c>
      <c r="AH56" s="3" t="s">
        <v>43</v>
      </c>
      <c r="AI56" s="3">
        <v>6.0</v>
      </c>
      <c r="AJ56" s="3" t="s">
        <v>42</v>
      </c>
      <c r="AK56" s="3" t="s">
        <v>46</v>
      </c>
      <c r="AL56" s="3">
        <v>3.0</v>
      </c>
      <c r="AM56" s="3" t="s">
        <v>44</v>
      </c>
      <c r="AN56" s="3" t="s">
        <v>45</v>
      </c>
      <c r="AO56" s="3">
        <v>8.0</v>
      </c>
    </row>
    <row r="57">
      <c r="A57" s="2">
        <v>44243.75423106481</v>
      </c>
      <c r="B57" s="3" t="s">
        <v>101</v>
      </c>
      <c r="C57" s="3" t="s">
        <v>44</v>
      </c>
      <c r="D57" s="3" t="s">
        <v>45</v>
      </c>
      <c r="E57" s="3">
        <v>9.0</v>
      </c>
      <c r="F57" s="3" t="s">
        <v>44</v>
      </c>
      <c r="G57" s="3" t="s">
        <v>45</v>
      </c>
      <c r="H57" s="3">
        <v>9.0</v>
      </c>
      <c r="I57" s="3" t="s">
        <v>44</v>
      </c>
      <c r="J57" s="3" t="s">
        <v>45</v>
      </c>
      <c r="K57" s="3">
        <v>9.0</v>
      </c>
      <c r="L57" s="3" t="s">
        <v>42</v>
      </c>
      <c r="M57" s="3" t="s">
        <v>43</v>
      </c>
      <c r="N57" s="3">
        <v>5.0</v>
      </c>
      <c r="O57" s="3" t="s">
        <v>44</v>
      </c>
      <c r="P57" s="3" t="s">
        <v>45</v>
      </c>
      <c r="Q57" s="3">
        <v>8.0</v>
      </c>
      <c r="R57" s="3" t="s">
        <v>42</v>
      </c>
      <c r="S57" s="3" t="s">
        <v>45</v>
      </c>
      <c r="T57" s="3">
        <v>8.0</v>
      </c>
      <c r="U57" s="3" t="s">
        <v>42</v>
      </c>
      <c r="V57" s="3" t="s">
        <v>45</v>
      </c>
      <c r="W57" s="3">
        <v>8.0</v>
      </c>
      <c r="X57" s="3" t="s">
        <v>44</v>
      </c>
      <c r="Y57" s="3" t="s">
        <v>45</v>
      </c>
      <c r="Z57" s="3">
        <v>6.0</v>
      </c>
      <c r="AA57" s="3" t="s">
        <v>42</v>
      </c>
      <c r="AB57" s="3" t="s">
        <v>45</v>
      </c>
      <c r="AC57" s="3">
        <v>7.0</v>
      </c>
      <c r="AD57" s="3" t="s">
        <v>46</v>
      </c>
      <c r="AE57" s="3" t="s">
        <v>46</v>
      </c>
      <c r="AF57" s="3">
        <v>5.0</v>
      </c>
      <c r="AG57" s="3" t="s">
        <v>46</v>
      </c>
      <c r="AH57" s="3" t="s">
        <v>46</v>
      </c>
      <c r="AI57" s="3">
        <v>5.0</v>
      </c>
      <c r="AJ57" s="3" t="s">
        <v>42</v>
      </c>
      <c r="AK57" s="3" t="s">
        <v>45</v>
      </c>
      <c r="AL57" s="3">
        <v>7.0</v>
      </c>
      <c r="AM57" s="3" t="s">
        <v>44</v>
      </c>
      <c r="AN57" s="3" t="s">
        <v>45</v>
      </c>
      <c r="AO57" s="3">
        <v>7.0</v>
      </c>
    </row>
    <row r="58">
      <c r="A58" s="2">
        <v>44244.79897733797</v>
      </c>
      <c r="B58" s="3" t="s">
        <v>102</v>
      </c>
      <c r="C58" s="3" t="s">
        <v>42</v>
      </c>
      <c r="D58" s="3" t="s">
        <v>43</v>
      </c>
      <c r="E58" s="3">
        <v>7.0</v>
      </c>
      <c r="F58" s="3" t="s">
        <v>44</v>
      </c>
      <c r="G58" s="3" t="s">
        <v>45</v>
      </c>
      <c r="H58" s="3">
        <v>8.0</v>
      </c>
      <c r="I58" s="3" t="s">
        <v>46</v>
      </c>
      <c r="J58" s="3" t="s">
        <v>46</v>
      </c>
      <c r="K58" s="3">
        <v>3.0</v>
      </c>
      <c r="L58" s="3" t="s">
        <v>42</v>
      </c>
      <c r="M58" s="3" t="s">
        <v>43</v>
      </c>
      <c r="N58" s="3">
        <v>5.0</v>
      </c>
      <c r="O58" s="3" t="s">
        <v>44</v>
      </c>
      <c r="P58" s="3" t="s">
        <v>45</v>
      </c>
      <c r="Q58" s="3">
        <v>8.0</v>
      </c>
      <c r="R58" s="3" t="s">
        <v>44</v>
      </c>
      <c r="S58" s="3" t="s">
        <v>45</v>
      </c>
      <c r="T58" s="3">
        <v>9.0</v>
      </c>
      <c r="U58" s="3" t="s">
        <v>42</v>
      </c>
      <c r="V58" s="3" t="s">
        <v>43</v>
      </c>
      <c r="W58" s="3">
        <v>7.0</v>
      </c>
      <c r="X58" s="3" t="s">
        <v>42</v>
      </c>
      <c r="Y58" s="3" t="s">
        <v>43</v>
      </c>
      <c r="Z58" s="3">
        <v>7.0</v>
      </c>
      <c r="AA58" s="3" t="s">
        <v>42</v>
      </c>
      <c r="AB58" s="3" t="s">
        <v>43</v>
      </c>
      <c r="AC58" s="3">
        <v>5.0</v>
      </c>
      <c r="AD58" s="3" t="s">
        <v>42</v>
      </c>
      <c r="AE58" s="3" t="s">
        <v>43</v>
      </c>
      <c r="AF58" s="3">
        <v>6.0</v>
      </c>
      <c r="AG58" s="3" t="s">
        <v>44</v>
      </c>
      <c r="AH58" s="3" t="s">
        <v>43</v>
      </c>
      <c r="AI58" s="3">
        <v>6.0</v>
      </c>
      <c r="AJ58" s="3" t="s">
        <v>42</v>
      </c>
      <c r="AK58" s="3" t="s">
        <v>43</v>
      </c>
      <c r="AL58" s="3">
        <v>7.0</v>
      </c>
      <c r="AM58" s="3" t="s">
        <v>44</v>
      </c>
      <c r="AN58" s="3" t="s">
        <v>45</v>
      </c>
      <c r="AO58" s="3">
        <v>9.0</v>
      </c>
    </row>
    <row r="59">
      <c r="A59" s="2">
        <v>44245.8611571875</v>
      </c>
      <c r="B59" s="3" t="s">
        <v>103</v>
      </c>
      <c r="C59" s="3" t="s">
        <v>42</v>
      </c>
      <c r="D59" s="3" t="s">
        <v>43</v>
      </c>
      <c r="E59" s="3">
        <v>7.0</v>
      </c>
      <c r="F59" s="3" t="s">
        <v>44</v>
      </c>
      <c r="G59" s="3" t="s">
        <v>45</v>
      </c>
      <c r="H59" s="3">
        <v>8.0</v>
      </c>
      <c r="I59" s="3" t="s">
        <v>42</v>
      </c>
      <c r="J59" s="3" t="s">
        <v>46</v>
      </c>
      <c r="K59" s="3">
        <v>5.0</v>
      </c>
      <c r="L59" s="3" t="s">
        <v>46</v>
      </c>
      <c r="M59" s="3" t="s">
        <v>46</v>
      </c>
      <c r="N59" s="3">
        <v>3.0</v>
      </c>
      <c r="O59" s="3" t="s">
        <v>42</v>
      </c>
      <c r="P59" s="3" t="s">
        <v>43</v>
      </c>
      <c r="Q59" s="3">
        <v>6.0</v>
      </c>
      <c r="R59" s="3" t="s">
        <v>44</v>
      </c>
      <c r="S59" s="3" t="s">
        <v>46</v>
      </c>
      <c r="T59" s="3">
        <v>5.0</v>
      </c>
      <c r="U59" s="3" t="s">
        <v>42</v>
      </c>
      <c r="V59" s="3" t="s">
        <v>43</v>
      </c>
      <c r="W59" s="3">
        <v>5.0</v>
      </c>
      <c r="X59" s="3" t="s">
        <v>42</v>
      </c>
      <c r="Y59" s="3" t="s">
        <v>46</v>
      </c>
      <c r="Z59" s="3">
        <v>3.0</v>
      </c>
      <c r="AA59" s="3" t="s">
        <v>44</v>
      </c>
      <c r="AB59" s="3" t="s">
        <v>43</v>
      </c>
      <c r="AC59" s="3">
        <v>4.0</v>
      </c>
      <c r="AD59" s="3" t="s">
        <v>42</v>
      </c>
      <c r="AE59" s="3" t="s">
        <v>45</v>
      </c>
      <c r="AF59" s="3">
        <v>6.0</v>
      </c>
      <c r="AG59" s="3" t="s">
        <v>44</v>
      </c>
      <c r="AH59" s="3" t="s">
        <v>43</v>
      </c>
      <c r="AI59" s="3">
        <v>4.0</v>
      </c>
      <c r="AJ59" s="3" t="s">
        <v>42</v>
      </c>
      <c r="AK59" s="3" t="s">
        <v>46</v>
      </c>
      <c r="AL59" s="3">
        <v>2.0</v>
      </c>
      <c r="AM59" s="3" t="s">
        <v>44</v>
      </c>
      <c r="AN59" s="3" t="s">
        <v>43</v>
      </c>
      <c r="AO59" s="3">
        <v>6.0</v>
      </c>
    </row>
    <row r="60">
      <c r="A60" s="2">
        <v>44245.884541666666</v>
      </c>
      <c r="B60" s="3" t="s">
        <v>104</v>
      </c>
      <c r="C60" s="3" t="s">
        <v>42</v>
      </c>
      <c r="D60" s="3" t="s">
        <v>43</v>
      </c>
      <c r="E60" s="3">
        <v>4.0</v>
      </c>
      <c r="F60" s="3" t="s">
        <v>42</v>
      </c>
      <c r="G60" s="3" t="s">
        <v>45</v>
      </c>
      <c r="H60" s="3">
        <v>9.0</v>
      </c>
      <c r="I60" s="3" t="s">
        <v>46</v>
      </c>
      <c r="J60" s="3" t="s">
        <v>46</v>
      </c>
      <c r="K60" s="3">
        <v>5.0</v>
      </c>
      <c r="L60" s="3" t="s">
        <v>46</v>
      </c>
      <c r="M60" s="3" t="s">
        <v>46</v>
      </c>
      <c r="N60" s="3">
        <v>5.0</v>
      </c>
      <c r="O60" s="3" t="s">
        <v>42</v>
      </c>
      <c r="P60" s="3" t="s">
        <v>43</v>
      </c>
      <c r="Q60" s="3">
        <v>9.0</v>
      </c>
      <c r="R60" s="3" t="s">
        <v>42</v>
      </c>
      <c r="S60" s="3" t="s">
        <v>45</v>
      </c>
      <c r="T60" s="3">
        <v>8.0</v>
      </c>
      <c r="U60" s="3" t="s">
        <v>44</v>
      </c>
      <c r="V60" s="3" t="s">
        <v>45</v>
      </c>
      <c r="W60" s="3">
        <v>8.0</v>
      </c>
      <c r="X60" s="3" t="s">
        <v>42</v>
      </c>
      <c r="Y60" s="3" t="s">
        <v>43</v>
      </c>
      <c r="Z60" s="3">
        <v>8.0</v>
      </c>
      <c r="AA60" s="3" t="s">
        <v>44</v>
      </c>
      <c r="AB60" s="3" t="s">
        <v>45</v>
      </c>
      <c r="AC60" s="3">
        <v>9.0</v>
      </c>
      <c r="AD60" s="3" t="s">
        <v>42</v>
      </c>
      <c r="AE60" s="3" t="s">
        <v>45</v>
      </c>
      <c r="AF60" s="3">
        <v>8.0</v>
      </c>
      <c r="AG60" s="3" t="s">
        <v>42</v>
      </c>
      <c r="AH60" s="3" t="s">
        <v>43</v>
      </c>
      <c r="AI60" s="3">
        <v>7.0</v>
      </c>
      <c r="AJ60" s="3" t="s">
        <v>46</v>
      </c>
      <c r="AK60" s="3" t="s">
        <v>46</v>
      </c>
      <c r="AL60" s="3">
        <v>5.0</v>
      </c>
      <c r="AM60" s="3" t="s">
        <v>44</v>
      </c>
      <c r="AN60" s="3" t="s">
        <v>45</v>
      </c>
      <c r="AO60" s="3">
        <v>8.0</v>
      </c>
    </row>
    <row r="61">
      <c r="A61" s="2">
        <v>44245.9015750463</v>
      </c>
      <c r="B61" s="3" t="s">
        <v>105</v>
      </c>
      <c r="C61" s="3" t="s">
        <v>44</v>
      </c>
      <c r="D61" s="3" t="s">
        <v>43</v>
      </c>
      <c r="E61" s="3">
        <v>7.0</v>
      </c>
      <c r="F61" s="3" t="s">
        <v>42</v>
      </c>
      <c r="G61" s="3" t="s">
        <v>45</v>
      </c>
      <c r="H61" s="3">
        <v>8.0</v>
      </c>
      <c r="I61" s="3" t="s">
        <v>46</v>
      </c>
      <c r="J61" s="3" t="s">
        <v>46</v>
      </c>
      <c r="K61" s="3">
        <v>5.0</v>
      </c>
      <c r="L61" s="3" t="s">
        <v>42</v>
      </c>
      <c r="M61" s="3" t="s">
        <v>43</v>
      </c>
      <c r="N61" s="3">
        <v>3.0</v>
      </c>
      <c r="O61" s="3" t="s">
        <v>43</v>
      </c>
      <c r="P61" s="3" t="s">
        <v>43</v>
      </c>
      <c r="Q61" s="3">
        <v>2.0</v>
      </c>
      <c r="R61" s="3" t="s">
        <v>46</v>
      </c>
      <c r="S61" s="3" t="s">
        <v>43</v>
      </c>
      <c r="T61" s="3">
        <v>5.0</v>
      </c>
      <c r="U61" s="3" t="s">
        <v>44</v>
      </c>
      <c r="V61" s="3" t="s">
        <v>45</v>
      </c>
      <c r="W61" s="3">
        <v>8.0</v>
      </c>
      <c r="X61" s="3" t="s">
        <v>42</v>
      </c>
      <c r="Y61" s="3" t="s">
        <v>44</v>
      </c>
      <c r="Z61" s="3">
        <v>8.0</v>
      </c>
      <c r="AA61" s="3" t="s">
        <v>44</v>
      </c>
      <c r="AB61" s="3" t="s">
        <v>45</v>
      </c>
      <c r="AC61" s="3">
        <v>8.0</v>
      </c>
      <c r="AD61" s="3" t="s">
        <v>44</v>
      </c>
      <c r="AE61" s="3" t="s">
        <v>45</v>
      </c>
      <c r="AF61" s="3">
        <v>7.0</v>
      </c>
      <c r="AG61" s="3" t="s">
        <v>45</v>
      </c>
      <c r="AH61" s="3" t="s">
        <v>42</v>
      </c>
      <c r="AI61" s="3">
        <v>1.0</v>
      </c>
      <c r="AJ61" s="3" t="s">
        <v>42</v>
      </c>
      <c r="AK61" s="3" t="s">
        <v>45</v>
      </c>
      <c r="AL61" s="3">
        <v>8.0</v>
      </c>
      <c r="AM61" s="3" t="s">
        <v>44</v>
      </c>
      <c r="AN61" s="3" t="s">
        <v>45</v>
      </c>
      <c r="AO61" s="3">
        <v>7.0</v>
      </c>
    </row>
    <row r="62">
      <c r="A62" s="2">
        <v>44287.96656458333</v>
      </c>
      <c r="B62" s="3" t="s">
        <v>106</v>
      </c>
      <c r="C62" s="3" t="s">
        <v>42</v>
      </c>
      <c r="D62" s="3" t="s">
        <v>44</v>
      </c>
      <c r="E62" s="3">
        <v>3.0</v>
      </c>
      <c r="F62" s="3" t="s">
        <v>42</v>
      </c>
      <c r="G62" s="3" t="s">
        <v>45</v>
      </c>
      <c r="H62" s="3">
        <v>8.0</v>
      </c>
      <c r="I62" s="3" t="s">
        <v>42</v>
      </c>
      <c r="J62" s="3" t="s">
        <v>46</v>
      </c>
      <c r="K62" s="3">
        <v>5.0</v>
      </c>
      <c r="L62" s="3" t="s">
        <v>46</v>
      </c>
      <c r="M62" s="3" t="s">
        <v>46</v>
      </c>
      <c r="N62" s="3">
        <v>2.0</v>
      </c>
      <c r="O62" s="3" t="s">
        <v>44</v>
      </c>
      <c r="P62" s="3" t="s">
        <v>46</v>
      </c>
      <c r="Q62" s="3">
        <v>4.0</v>
      </c>
      <c r="R62" s="3" t="s">
        <v>44</v>
      </c>
      <c r="S62" s="3" t="s">
        <v>44</v>
      </c>
      <c r="T62" s="3">
        <v>9.0</v>
      </c>
      <c r="U62" s="3" t="s">
        <v>42</v>
      </c>
      <c r="V62" s="3" t="s">
        <v>46</v>
      </c>
      <c r="W62" s="3">
        <v>5.0</v>
      </c>
      <c r="X62" s="3" t="s">
        <v>42</v>
      </c>
      <c r="Y62" s="3" t="s">
        <v>43</v>
      </c>
      <c r="Z62" s="3">
        <v>8.0</v>
      </c>
      <c r="AA62" s="3" t="s">
        <v>42</v>
      </c>
      <c r="AB62" s="3" t="s">
        <v>43</v>
      </c>
      <c r="AC62" s="3">
        <v>8.0</v>
      </c>
      <c r="AD62" s="3" t="s">
        <v>42</v>
      </c>
      <c r="AE62" s="3" t="s">
        <v>45</v>
      </c>
      <c r="AF62" s="3">
        <v>8.0</v>
      </c>
      <c r="AG62" s="3" t="s">
        <v>42</v>
      </c>
      <c r="AH62" s="3" t="s">
        <v>45</v>
      </c>
      <c r="AI62" s="3">
        <v>8.0</v>
      </c>
      <c r="AJ62" s="3" t="s">
        <v>46</v>
      </c>
      <c r="AK62" s="3" t="s">
        <v>44</v>
      </c>
      <c r="AL62" s="3">
        <v>1.0</v>
      </c>
      <c r="AM62" s="3" t="s">
        <v>42</v>
      </c>
      <c r="AN62" s="3" t="s">
        <v>44</v>
      </c>
      <c r="AO62" s="3">
        <v>9.0</v>
      </c>
    </row>
    <row r="63">
      <c r="A63" s="2">
        <v>44296.92057361111</v>
      </c>
      <c r="B63" s="3" t="s">
        <v>107</v>
      </c>
      <c r="C63" s="3" t="s">
        <v>42</v>
      </c>
      <c r="D63" s="3" t="s">
        <v>43</v>
      </c>
      <c r="E63" s="3">
        <v>7.0</v>
      </c>
      <c r="F63" s="3" t="s">
        <v>42</v>
      </c>
      <c r="G63" s="3" t="s">
        <v>45</v>
      </c>
      <c r="H63" s="3">
        <v>8.0</v>
      </c>
      <c r="I63" s="3" t="s">
        <v>42</v>
      </c>
      <c r="J63" s="3" t="s">
        <v>43</v>
      </c>
      <c r="K63" s="3">
        <v>6.0</v>
      </c>
      <c r="L63" s="3" t="s">
        <v>42</v>
      </c>
      <c r="M63" s="3" t="s">
        <v>45</v>
      </c>
      <c r="N63" s="3">
        <v>9.0</v>
      </c>
      <c r="O63" s="3" t="s">
        <v>43</v>
      </c>
      <c r="P63" s="3" t="s">
        <v>43</v>
      </c>
      <c r="Q63" s="3">
        <v>5.0</v>
      </c>
      <c r="R63" s="3" t="s">
        <v>46</v>
      </c>
      <c r="S63" s="3" t="s">
        <v>46</v>
      </c>
      <c r="T63" s="3">
        <v>5.0</v>
      </c>
      <c r="U63" s="3" t="s">
        <v>42</v>
      </c>
      <c r="V63" s="3" t="s">
        <v>43</v>
      </c>
      <c r="W63" s="3">
        <v>6.0</v>
      </c>
      <c r="X63" s="3" t="s">
        <v>44</v>
      </c>
      <c r="Y63" s="3" t="s">
        <v>45</v>
      </c>
      <c r="Z63" s="3">
        <v>9.0</v>
      </c>
      <c r="AA63" s="3" t="s">
        <v>42</v>
      </c>
      <c r="AB63" s="3" t="s">
        <v>43</v>
      </c>
      <c r="AC63" s="3">
        <v>4.0</v>
      </c>
      <c r="AD63" s="3" t="s">
        <v>42</v>
      </c>
      <c r="AE63" s="3" t="s">
        <v>43</v>
      </c>
      <c r="AF63" s="3">
        <v>4.0</v>
      </c>
      <c r="AG63" s="3" t="s">
        <v>46</v>
      </c>
      <c r="AH63" s="3" t="s">
        <v>46</v>
      </c>
      <c r="AI63" s="3">
        <v>5.0</v>
      </c>
      <c r="AJ63" s="3" t="s">
        <v>42</v>
      </c>
      <c r="AK63" s="3" t="s">
        <v>46</v>
      </c>
      <c r="AL63" s="3">
        <v>4.0</v>
      </c>
      <c r="AM63" s="3" t="s">
        <v>42</v>
      </c>
      <c r="AN63" s="3" t="s">
        <v>43</v>
      </c>
      <c r="AO63" s="3">
        <v>7.0</v>
      </c>
    </row>
    <row r="64">
      <c r="A64" s="2">
        <v>44298.686901099536</v>
      </c>
      <c r="B64" s="3" t="s">
        <v>108</v>
      </c>
      <c r="C64" s="3" t="s">
        <v>44</v>
      </c>
      <c r="D64" s="3" t="s">
        <v>43</v>
      </c>
      <c r="E64" s="3">
        <v>5.0</v>
      </c>
      <c r="F64" s="3" t="s">
        <v>44</v>
      </c>
      <c r="G64" s="3" t="s">
        <v>45</v>
      </c>
      <c r="H64" s="3">
        <v>8.0</v>
      </c>
      <c r="I64" s="3" t="s">
        <v>46</v>
      </c>
      <c r="J64" s="3" t="s">
        <v>46</v>
      </c>
      <c r="K64" s="3">
        <v>3.0</v>
      </c>
      <c r="L64" s="3" t="s">
        <v>42</v>
      </c>
      <c r="M64" s="3" t="s">
        <v>43</v>
      </c>
      <c r="N64" s="3">
        <v>4.0</v>
      </c>
      <c r="O64" s="3" t="s">
        <v>46</v>
      </c>
      <c r="P64" s="3" t="s">
        <v>46</v>
      </c>
      <c r="Q64" s="3">
        <v>5.0</v>
      </c>
      <c r="R64" s="3" t="s">
        <v>42</v>
      </c>
      <c r="S64" s="3" t="s">
        <v>45</v>
      </c>
      <c r="T64" s="3">
        <v>7.0</v>
      </c>
      <c r="U64" s="3" t="s">
        <v>44</v>
      </c>
      <c r="V64" s="3" t="s">
        <v>45</v>
      </c>
      <c r="W64" s="3">
        <v>9.0</v>
      </c>
      <c r="X64" s="3" t="s">
        <v>46</v>
      </c>
      <c r="Y64" s="3" t="s">
        <v>46</v>
      </c>
      <c r="Z64" s="3">
        <v>2.0</v>
      </c>
      <c r="AA64" s="3" t="s">
        <v>42</v>
      </c>
      <c r="AB64" s="3" t="s">
        <v>44</v>
      </c>
      <c r="AC64" s="3">
        <v>1.0</v>
      </c>
      <c r="AD64" s="3" t="s">
        <v>42</v>
      </c>
      <c r="AE64" s="3" t="s">
        <v>44</v>
      </c>
      <c r="AF64" s="3">
        <v>1.0</v>
      </c>
      <c r="AG64" s="3" t="s">
        <v>42</v>
      </c>
      <c r="AH64" s="3" t="s">
        <v>44</v>
      </c>
      <c r="AI64" s="3">
        <v>2.0</v>
      </c>
      <c r="AJ64" s="3" t="s">
        <v>42</v>
      </c>
      <c r="AK64" s="3" t="s">
        <v>44</v>
      </c>
      <c r="AL64" s="3">
        <v>1.0</v>
      </c>
      <c r="AM64" s="3" t="s">
        <v>44</v>
      </c>
      <c r="AN64" s="3" t="s">
        <v>45</v>
      </c>
      <c r="AO64" s="3">
        <v>8.0</v>
      </c>
    </row>
    <row r="65">
      <c r="A65" s="2">
        <v>44302.47840736111</v>
      </c>
      <c r="B65" s="3" t="s">
        <v>109</v>
      </c>
      <c r="C65" s="3" t="s">
        <v>42</v>
      </c>
      <c r="D65" s="3" t="s">
        <v>43</v>
      </c>
      <c r="E65" s="3">
        <v>4.0</v>
      </c>
      <c r="F65" s="3" t="s">
        <v>44</v>
      </c>
      <c r="G65" s="3" t="s">
        <v>46</v>
      </c>
      <c r="H65" s="3">
        <v>7.0</v>
      </c>
      <c r="I65" s="3" t="s">
        <v>42</v>
      </c>
      <c r="J65" s="3" t="s">
        <v>43</v>
      </c>
      <c r="K65" s="3">
        <v>4.0</v>
      </c>
      <c r="L65" s="3" t="s">
        <v>42</v>
      </c>
      <c r="M65" s="3" t="s">
        <v>43</v>
      </c>
      <c r="N65" s="3">
        <v>3.0</v>
      </c>
      <c r="O65" s="3" t="s">
        <v>42</v>
      </c>
      <c r="P65" s="3" t="s">
        <v>43</v>
      </c>
      <c r="Q65" s="3">
        <v>6.0</v>
      </c>
      <c r="R65" s="3" t="s">
        <v>42</v>
      </c>
      <c r="S65" s="3" t="s">
        <v>45</v>
      </c>
      <c r="T65" s="3">
        <v>7.0</v>
      </c>
      <c r="U65" s="3" t="s">
        <v>44</v>
      </c>
      <c r="V65" s="3" t="s">
        <v>45</v>
      </c>
      <c r="W65" s="3">
        <v>8.0</v>
      </c>
      <c r="X65" s="3" t="s">
        <v>42</v>
      </c>
      <c r="Y65" s="3" t="s">
        <v>45</v>
      </c>
      <c r="Z65" s="3">
        <v>6.0</v>
      </c>
      <c r="AA65" s="3" t="s">
        <v>42</v>
      </c>
      <c r="AB65" s="3" t="s">
        <v>46</v>
      </c>
      <c r="AC65" s="3">
        <v>5.0</v>
      </c>
      <c r="AD65" s="3" t="s">
        <v>44</v>
      </c>
      <c r="AE65" s="3" t="s">
        <v>45</v>
      </c>
      <c r="AF65" s="3">
        <v>9.0</v>
      </c>
      <c r="AG65" s="3" t="s">
        <v>46</v>
      </c>
      <c r="AH65" s="3" t="s">
        <v>46</v>
      </c>
      <c r="AI65" s="3">
        <v>1.0</v>
      </c>
      <c r="AJ65" s="3" t="s">
        <v>42</v>
      </c>
      <c r="AK65" s="3" t="s">
        <v>46</v>
      </c>
      <c r="AL65" s="3">
        <v>2.0</v>
      </c>
      <c r="AM65" s="3" t="s">
        <v>44</v>
      </c>
      <c r="AN65" s="3" t="s">
        <v>45</v>
      </c>
      <c r="AO65" s="3">
        <v>8.0</v>
      </c>
    </row>
    <row r="66">
      <c r="A66" s="2">
        <v>44303.60946496528</v>
      </c>
      <c r="B66" s="3" t="s">
        <v>110</v>
      </c>
      <c r="C66" s="3" t="s">
        <v>44</v>
      </c>
      <c r="D66" s="3" t="s">
        <v>45</v>
      </c>
      <c r="E66" s="3">
        <v>9.0</v>
      </c>
      <c r="F66" s="3" t="s">
        <v>44</v>
      </c>
      <c r="G66" s="3" t="s">
        <v>45</v>
      </c>
      <c r="H66" s="3">
        <v>9.0</v>
      </c>
      <c r="I66" s="3" t="s">
        <v>42</v>
      </c>
      <c r="J66" s="3" t="s">
        <v>43</v>
      </c>
      <c r="K66" s="3">
        <v>7.0</v>
      </c>
      <c r="L66" s="3" t="s">
        <v>46</v>
      </c>
      <c r="M66" s="3" t="s">
        <v>44</v>
      </c>
      <c r="N66" s="3">
        <v>7.0</v>
      </c>
      <c r="O66" s="3" t="s">
        <v>42</v>
      </c>
      <c r="P66" s="3" t="s">
        <v>45</v>
      </c>
      <c r="Q66" s="3">
        <v>8.0</v>
      </c>
      <c r="R66" s="3" t="s">
        <v>42</v>
      </c>
      <c r="S66" s="3" t="s">
        <v>43</v>
      </c>
      <c r="T66" s="3">
        <v>7.0</v>
      </c>
      <c r="U66" s="3" t="s">
        <v>44</v>
      </c>
      <c r="V66" s="3" t="s">
        <v>45</v>
      </c>
      <c r="W66" s="3">
        <v>8.0</v>
      </c>
      <c r="X66" s="3" t="s">
        <v>44</v>
      </c>
      <c r="Y66" s="3" t="s">
        <v>43</v>
      </c>
      <c r="Z66" s="3">
        <v>7.0</v>
      </c>
      <c r="AA66" s="3" t="s">
        <v>42</v>
      </c>
      <c r="AB66" s="3" t="s">
        <v>45</v>
      </c>
      <c r="AC66" s="3">
        <v>9.0</v>
      </c>
      <c r="AD66" s="3" t="s">
        <v>42</v>
      </c>
      <c r="AE66" s="3" t="s">
        <v>43</v>
      </c>
      <c r="AF66" s="3">
        <v>8.0</v>
      </c>
      <c r="AG66" s="3" t="s">
        <v>46</v>
      </c>
      <c r="AH66" s="3" t="s">
        <v>46</v>
      </c>
      <c r="AI66" s="3">
        <v>5.0</v>
      </c>
      <c r="AJ66" s="3" t="s">
        <v>46</v>
      </c>
      <c r="AK66" s="3" t="s">
        <v>46</v>
      </c>
      <c r="AL66" s="3">
        <v>4.0</v>
      </c>
      <c r="AM66" s="3" t="s">
        <v>42</v>
      </c>
      <c r="AN66" s="3" t="s">
        <v>45</v>
      </c>
      <c r="AO66" s="3">
        <v>9.0</v>
      </c>
    </row>
    <row r="67">
      <c r="A67" s="2">
        <v>44306.0427068287</v>
      </c>
      <c r="B67" s="3" t="s">
        <v>111</v>
      </c>
      <c r="C67" s="3" t="s">
        <v>44</v>
      </c>
      <c r="D67" s="3" t="s">
        <v>45</v>
      </c>
      <c r="E67" s="3">
        <v>9.0</v>
      </c>
      <c r="F67" s="3" t="s">
        <v>44</v>
      </c>
      <c r="G67" s="3" t="s">
        <v>45</v>
      </c>
      <c r="H67" s="3">
        <v>9.0</v>
      </c>
      <c r="I67" s="3" t="s">
        <v>42</v>
      </c>
      <c r="J67" s="3" t="s">
        <v>43</v>
      </c>
      <c r="K67" s="3">
        <v>5.0</v>
      </c>
      <c r="L67" s="3" t="s">
        <v>42</v>
      </c>
      <c r="M67" s="3" t="s">
        <v>43</v>
      </c>
      <c r="N67" s="3">
        <v>5.0</v>
      </c>
      <c r="O67" s="3" t="s">
        <v>42</v>
      </c>
      <c r="P67" s="3" t="s">
        <v>44</v>
      </c>
      <c r="Q67" s="3">
        <v>9.0</v>
      </c>
      <c r="R67" s="3" t="s">
        <v>44</v>
      </c>
      <c r="S67" s="3" t="s">
        <v>44</v>
      </c>
      <c r="T67" s="3">
        <v>8.0</v>
      </c>
      <c r="U67" s="3" t="s">
        <v>44</v>
      </c>
      <c r="V67" s="3" t="s">
        <v>44</v>
      </c>
      <c r="W67" s="3">
        <v>8.0</v>
      </c>
      <c r="X67" s="3" t="s">
        <v>42</v>
      </c>
      <c r="Y67" s="3" t="s">
        <v>43</v>
      </c>
      <c r="Z67" s="3">
        <v>6.0</v>
      </c>
      <c r="AA67" s="3" t="s">
        <v>44</v>
      </c>
      <c r="AB67" s="3" t="s">
        <v>45</v>
      </c>
      <c r="AC67" s="3">
        <v>9.0</v>
      </c>
      <c r="AD67" s="3" t="s">
        <v>44</v>
      </c>
      <c r="AE67" s="3" t="s">
        <v>45</v>
      </c>
      <c r="AF67" s="3">
        <v>9.0</v>
      </c>
      <c r="AG67" s="3" t="s">
        <v>44</v>
      </c>
      <c r="AH67" s="3" t="s">
        <v>43</v>
      </c>
      <c r="AI67" s="3">
        <v>7.0</v>
      </c>
      <c r="AJ67" s="3" t="s">
        <v>44</v>
      </c>
      <c r="AK67" s="3" t="s">
        <v>43</v>
      </c>
      <c r="AL67" s="3">
        <v>7.0</v>
      </c>
      <c r="AM67" s="3" t="s">
        <v>42</v>
      </c>
      <c r="AN67" s="3" t="s">
        <v>43</v>
      </c>
      <c r="AO67" s="3">
        <v>8.0</v>
      </c>
    </row>
    <row r="68">
      <c r="A68" s="2">
        <v>44306.68389605324</v>
      </c>
      <c r="B68" s="3" t="s">
        <v>112</v>
      </c>
      <c r="C68" s="3" t="s">
        <v>42</v>
      </c>
      <c r="D68" s="3" t="s">
        <v>46</v>
      </c>
      <c r="E68" s="3">
        <v>7.0</v>
      </c>
      <c r="F68" s="3" t="s">
        <v>44</v>
      </c>
      <c r="G68" s="3" t="s">
        <v>45</v>
      </c>
      <c r="H68" s="3">
        <v>8.0</v>
      </c>
      <c r="I68" s="3" t="s">
        <v>46</v>
      </c>
      <c r="J68" s="3" t="s">
        <v>46</v>
      </c>
      <c r="K68" s="3">
        <v>5.0</v>
      </c>
      <c r="L68" s="3" t="s">
        <v>42</v>
      </c>
      <c r="M68" s="3" t="s">
        <v>43</v>
      </c>
      <c r="N68" s="3">
        <v>6.0</v>
      </c>
      <c r="O68" s="3" t="s">
        <v>42</v>
      </c>
      <c r="P68" s="3" t="s">
        <v>43</v>
      </c>
      <c r="Q68" s="3">
        <v>7.0</v>
      </c>
      <c r="R68" s="3" t="s">
        <v>46</v>
      </c>
      <c r="S68" s="3" t="s">
        <v>46</v>
      </c>
      <c r="T68" s="3">
        <v>5.0</v>
      </c>
      <c r="U68" s="3" t="s">
        <v>42</v>
      </c>
      <c r="V68" s="3" t="s">
        <v>43</v>
      </c>
      <c r="W68" s="3">
        <v>7.0</v>
      </c>
      <c r="X68" s="3" t="s">
        <v>42</v>
      </c>
      <c r="Y68" s="3" t="s">
        <v>43</v>
      </c>
      <c r="Z68" s="3">
        <v>6.0</v>
      </c>
      <c r="AA68" s="3" t="s">
        <v>42</v>
      </c>
      <c r="AB68" s="3" t="s">
        <v>43</v>
      </c>
      <c r="AC68" s="3">
        <v>7.0</v>
      </c>
      <c r="AD68" s="3" t="s">
        <v>44</v>
      </c>
      <c r="AE68" s="3" t="s">
        <v>45</v>
      </c>
      <c r="AF68" s="3">
        <v>8.0</v>
      </c>
      <c r="AG68" s="3" t="s">
        <v>46</v>
      </c>
      <c r="AH68" s="3" t="s">
        <v>46</v>
      </c>
      <c r="AI68" s="3">
        <v>5.0</v>
      </c>
      <c r="AJ68" s="3" t="s">
        <v>42</v>
      </c>
      <c r="AK68" s="3" t="s">
        <v>43</v>
      </c>
      <c r="AL68" s="3">
        <v>6.0</v>
      </c>
      <c r="AM68" s="3" t="s">
        <v>44</v>
      </c>
      <c r="AN68" s="3" t="s">
        <v>45</v>
      </c>
      <c r="AO68" s="3">
        <v>8.0</v>
      </c>
    </row>
    <row r="69">
      <c r="A69" s="2">
        <v>44306.92926075232</v>
      </c>
      <c r="B69" s="3" t="s">
        <v>113</v>
      </c>
      <c r="C69" s="3" t="s">
        <v>44</v>
      </c>
      <c r="D69" s="3" t="s">
        <v>45</v>
      </c>
      <c r="E69" s="3">
        <v>9.0</v>
      </c>
      <c r="F69" s="3" t="s">
        <v>44</v>
      </c>
      <c r="G69" s="3" t="s">
        <v>45</v>
      </c>
      <c r="H69" s="3">
        <v>9.0</v>
      </c>
      <c r="I69" s="3" t="s">
        <v>44</v>
      </c>
      <c r="J69" s="3" t="s">
        <v>46</v>
      </c>
      <c r="K69" s="3">
        <v>7.0</v>
      </c>
      <c r="L69" s="3" t="s">
        <v>42</v>
      </c>
      <c r="M69" s="3" t="s">
        <v>46</v>
      </c>
      <c r="N69" s="3">
        <v>7.0</v>
      </c>
      <c r="O69" s="3" t="s">
        <v>42</v>
      </c>
      <c r="P69" s="3" t="s">
        <v>42</v>
      </c>
      <c r="Q69" s="3">
        <v>9.0</v>
      </c>
      <c r="R69" s="3" t="s">
        <v>42</v>
      </c>
      <c r="S69" s="3" t="s">
        <v>43</v>
      </c>
      <c r="T69" s="3">
        <v>6.0</v>
      </c>
      <c r="U69" s="3" t="s">
        <v>44</v>
      </c>
      <c r="V69" s="3" t="s">
        <v>45</v>
      </c>
      <c r="W69" s="3">
        <v>9.0</v>
      </c>
      <c r="X69" s="3" t="s">
        <v>42</v>
      </c>
      <c r="Y69" s="3" t="s">
        <v>45</v>
      </c>
      <c r="Z69" s="3">
        <v>9.0</v>
      </c>
      <c r="AA69" s="3" t="s">
        <v>44</v>
      </c>
      <c r="AB69" s="3" t="s">
        <v>45</v>
      </c>
      <c r="AC69" s="3">
        <v>9.0</v>
      </c>
      <c r="AD69" s="3" t="s">
        <v>44</v>
      </c>
      <c r="AE69" s="3" t="s">
        <v>45</v>
      </c>
      <c r="AF69" s="3">
        <v>9.0</v>
      </c>
      <c r="AG69" s="3" t="s">
        <v>42</v>
      </c>
      <c r="AH69" s="3" t="s">
        <v>43</v>
      </c>
      <c r="AI69" s="3">
        <v>6.0</v>
      </c>
      <c r="AJ69" s="3" t="s">
        <v>42</v>
      </c>
      <c r="AK69" s="3" t="s">
        <v>46</v>
      </c>
      <c r="AL69" s="3">
        <v>7.0</v>
      </c>
      <c r="AM69" s="3" t="s">
        <v>44</v>
      </c>
      <c r="AN69" s="3" t="s">
        <v>45</v>
      </c>
      <c r="AO69" s="3">
        <v>9.0</v>
      </c>
    </row>
    <row r="70">
      <c r="A70" s="2">
        <v>44306.976125393514</v>
      </c>
      <c r="B70" s="3" t="s">
        <v>114</v>
      </c>
      <c r="C70" s="3" t="s">
        <v>44</v>
      </c>
      <c r="D70" s="3" t="s">
        <v>45</v>
      </c>
      <c r="E70" s="3">
        <v>9.0</v>
      </c>
      <c r="F70" s="3" t="s">
        <v>42</v>
      </c>
      <c r="G70" s="3" t="s">
        <v>43</v>
      </c>
      <c r="H70" s="3">
        <v>7.0</v>
      </c>
      <c r="I70" s="3" t="s">
        <v>42</v>
      </c>
      <c r="J70" s="3" t="s">
        <v>43</v>
      </c>
      <c r="K70" s="3">
        <v>5.0</v>
      </c>
      <c r="L70" s="3" t="s">
        <v>46</v>
      </c>
      <c r="M70" s="3" t="s">
        <v>46</v>
      </c>
      <c r="N70" s="3">
        <v>3.0</v>
      </c>
      <c r="O70" s="3" t="s">
        <v>44</v>
      </c>
      <c r="P70" s="3" t="s">
        <v>43</v>
      </c>
      <c r="Q70" s="3">
        <v>6.0</v>
      </c>
      <c r="R70" s="3" t="s">
        <v>44</v>
      </c>
      <c r="S70" s="3" t="s">
        <v>44</v>
      </c>
      <c r="T70" s="3">
        <v>7.0</v>
      </c>
      <c r="U70" s="3" t="s">
        <v>46</v>
      </c>
      <c r="V70" s="3" t="s">
        <v>46</v>
      </c>
      <c r="W70" s="3">
        <v>5.0</v>
      </c>
      <c r="X70" s="3" t="s">
        <v>43</v>
      </c>
      <c r="Y70" s="3" t="s">
        <v>43</v>
      </c>
      <c r="Z70" s="3">
        <v>6.0</v>
      </c>
      <c r="AA70" s="3" t="s">
        <v>46</v>
      </c>
      <c r="AB70" s="3" t="s">
        <v>46</v>
      </c>
      <c r="AC70" s="3">
        <v>3.0</v>
      </c>
      <c r="AD70" s="3" t="s">
        <v>42</v>
      </c>
      <c r="AE70" s="3" t="s">
        <v>46</v>
      </c>
      <c r="AF70" s="3">
        <v>6.0</v>
      </c>
      <c r="AG70" s="3" t="s">
        <v>42</v>
      </c>
      <c r="AH70" s="3" t="s">
        <v>46</v>
      </c>
      <c r="AI70" s="3">
        <v>5.0</v>
      </c>
      <c r="AJ70" s="3" t="s">
        <v>46</v>
      </c>
      <c r="AK70" s="3" t="s">
        <v>46</v>
      </c>
      <c r="AL70" s="3">
        <v>3.0</v>
      </c>
      <c r="AM70" s="3" t="s">
        <v>44</v>
      </c>
      <c r="AN70" s="3" t="s">
        <v>45</v>
      </c>
      <c r="AO70" s="3">
        <v>8.0</v>
      </c>
    </row>
    <row r="71">
      <c r="A71" s="2">
        <v>44307.44269940972</v>
      </c>
      <c r="B71" s="3" t="s">
        <v>115</v>
      </c>
      <c r="C71" s="3" t="s">
        <v>42</v>
      </c>
      <c r="D71" s="3" t="s">
        <v>44</v>
      </c>
      <c r="E71" s="3">
        <v>5.0</v>
      </c>
      <c r="F71" s="3" t="s">
        <v>42</v>
      </c>
      <c r="G71" s="3" t="s">
        <v>45</v>
      </c>
      <c r="H71" s="3">
        <v>7.0</v>
      </c>
      <c r="I71" s="3" t="s">
        <v>42</v>
      </c>
      <c r="J71" s="3" t="s">
        <v>46</v>
      </c>
      <c r="K71" s="3">
        <v>3.0</v>
      </c>
      <c r="L71" s="3" t="s">
        <v>42</v>
      </c>
      <c r="M71" s="3" t="s">
        <v>44</v>
      </c>
      <c r="N71" s="3">
        <v>6.0</v>
      </c>
      <c r="O71" s="3" t="s">
        <v>44</v>
      </c>
      <c r="P71" s="3" t="s">
        <v>46</v>
      </c>
      <c r="Q71" s="3">
        <v>5.0</v>
      </c>
      <c r="R71" s="3" t="s">
        <v>42</v>
      </c>
      <c r="S71" s="3" t="s">
        <v>46</v>
      </c>
      <c r="T71" s="3">
        <v>5.0</v>
      </c>
      <c r="U71" s="3" t="s">
        <v>42</v>
      </c>
      <c r="V71" s="3" t="s">
        <v>43</v>
      </c>
      <c r="W71" s="3">
        <v>7.0</v>
      </c>
      <c r="X71" s="3" t="s">
        <v>42</v>
      </c>
      <c r="Y71" s="3" t="s">
        <v>44</v>
      </c>
      <c r="Z71" s="3">
        <v>8.0</v>
      </c>
      <c r="AA71" s="3" t="s">
        <v>42</v>
      </c>
      <c r="AB71" s="3" t="s">
        <v>46</v>
      </c>
      <c r="AC71" s="3">
        <v>6.0</v>
      </c>
      <c r="AD71" s="3" t="s">
        <v>42</v>
      </c>
      <c r="AE71" s="3" t="s">
        <v>45</v>
      </c>
      <c r="AF71" s="3">
        <v>7.0</v>
      </c>
      <c r="AG71" s="3" t="s">
        <v>46</v>
      </c>
      <c r="AH71" s="3" t="s">
        <v>46</v>
      </c>
      <c r="AI71" s="3">
        <v>2.0</v>
      </c>
      <c r="AJ71" s="3" t="s">
        <v>42</v>
      </c>
      <c r="AK71" s="3" t="s">
        <v>46</v>
      </c>
      <c r="AL71" s="3">
        <v>5.0</v>
      </c>
      <c r="AM71" s="3" t="s">
        <v>42</v>
      </c>
      <c r="AN71" s="3" t="s">
        <v>43</v>
      </c>
      <c r="AO71" s="3">
        <v>4.0</v>
      </c>
    </row>
    <row r="72">
      <c r="A72" s="2">
        <v>44307.54613795139</v>
      </c>
      <c r="B72" s="3" t="s">
        <v>116</v>
      </c>
      <c r="C72" s="3" t="s">
        <v>44</v>
      </c>
      <c r="D72" s="3" t="s">
        <v>43</v>
      </c>
      <c r="E72" s="3">
        <v>6.0</v>
      </c>
      <c r="F72" s="3" t="s">
        <v>42</v>
      </c>
      <c r="G72" s="3" t="s">
        <v>45</v>
      </c>
      <c r="H72" s="3">
        <v>8.0</v>
      </c>
      <c r="I72" s="3" t="s">
        <v>44</v>
      </c>
      <c r="J72" s="3" t="s">
        <v>43</v>
      </c>
      <c r="K72" s="3">
        <v>6.0</v>
      </c>
      <c r="L72" s="3" t="s">
        <v>44</v>
      </c>
      <c r="M72" s="3" t="s">
        <v>43</v>
      </c>
      <c r="N72" s="3">
        <v>5.0</v>
      </c>
      <c r="O72" s="3" t="s">
        <v>42</v>
      </c>
      <c r="P72" s="3" t="s">
        <v>43</v>
      </c>
      <c r="Q72" s="3">
        <v>7.0</v>
      </c>
      <c r="R72" s="3" t="s">
        <v>44</v>
      </c>
      <c r="S72" s="3" t="s">
        <v>43</v>
      </c>
      <c r="T72" s="3">
        <v>6.0</v>
      </c>
      <c r="U72" s="3" t="s">
        <v>42</v>
      </c>
      <c r="V72" s="3" t="s">
        <v>45</v>
      </c>
      <c r="W72" s="3">
        <v>9.0</v>
      </c>
      <c r="X72" s="3" t="s">
        <v>42</v>
      </c>
      <c r="Y72" s="3" t="s">
        <v>45</v>
      </c>
      <c r="Z72" s="3">
        <v>9.0</v>
      </c>
      <c r="AA72" s="3" t="s">
        <v>44</v>
      </c>
      <c r="AB72" s="3" t="s">
        <v>43</v>
      </c>
      <c r="AC72" s="3">
        <v>7.0</v>
      </c>
      <c r="AD72" s="3" t="s">
        <v>42</v>
      </c>
      <c r="AE72" s="3" t="s">
        <v>45</v>
      </c>
      <c r="AF72" s="3">
        <v>9.0</v>
      </c>
      <c r="AG72" s="3" t="s">
        <v>46</v>
      </c>
      <c r="AH72" s="3" t="s">
        <v>43</v>
      </c>
      <c r="AI72" s="3">
        <v>3.0</v>
      </c>
      <c r="AJ72" s="3" t="s">
        <v>44</v>
      </c>
      <c r="AK72" s="3" t="s">
        <v>43</v>
      </c>
      <c r="AL72" s="3">
        <v>7.0</v>
      </c>
      <c r="AM72" s="3" t="s">
        <v>42</v>
      </c>
      <c r="AN72" s="3" t="s">
        <v>43</v>
      </c>
      <c r="AO72" s="3">
        <v>8.0</v>
      </c>
    </row>
    <row r="73">
      <c r="A73" s="2">
        <v>44307.68482322917</v>
      </c>
      <c r="B73" s="3" t="s">
        <v>117</v>
      </c>
      <c r="C73" s="3" t="s">
        <v>44</v>
      </c>
      <c r="D73" s="3" t="s">
        <v>45</v>
      </c>
      <c r="E73" s="3">
        <v>9.0</v>
      </c>
      <c r="F73" s="3" t="s">
        <v>44</v>
      </c>
      <c r="G73" s="3" t="s">
        <v>45</v>
      </c>
      <c r="H73" s="3">
        <v>9.0</v>
      </c>
      <c r="I73" s="3" t="s">
        <v>42</v>
      </c>
      <c r="J73" s="3" t="s">
        <v>43</v>
      </c>
      <c r="K73" s="3">
        <v>6.0</v>
      </c>
      <c r="L73" s="3" t="s">
        <v>42</v>
      </c>
      <c r="M73" s="3" t="s">
        <v>43</v>
      </c>
      <c r="N73" s="3">
        <v>4.0</v>
      </c>
      <c r="O73" s="3" t="s">
        <v>42</v>
      </c>
      <c r="P73" s="3" t="s">
        <v>46</v>
      </c>
      <c r="Q73" s="3">
        <v>5.0</v>
      </c>
      <c r="R73" s="3" t="s">
        <v>42</v>
      </c>
      <c r="S73" s="3" t="s">
        <v>46</v>
      </c>
      <c r="T73" s="3">
        <v>5.0</v>
      </c>
      <c r="U73" s="3" t="s">
        <v>44</v>
      </c>
      <c r="V73" s="3" t="s">
        <v>45</v>
      </c>
      <c r="W73" s="3">
        <v>8.0</v>
      </c>
      <c r="X73" s="3" t="s">
        <v>44</v>
      </c>
      <c r="Y73" s="3" t="s">
        <v>43</v>
      </c>
      <c r="Z73" s="3">
        <v>8.0</v>
      </c>
      <c r="AA73" s="3" t="s">
        <v>44</v>
      </c>
      <c r="AB73" s="3" t="s">
        <v>45</v>
      </c>
      <c r="AC73" s="3">
        <v>9.0</v>
      </c>
      <c r="AD73" s="3" t="s">
        <v>42</v>
      </c>
      <c r="AE73" s="3" t="s">
        <v>43</v>
      </c>
      <c r="AF73" s="3">
        <v>6.0</v>
      </c>
      <c r="AG73" s="3" t="s">
        <v>44</v>
      </c>
      <c r="AH73" s="3" t="s">
        <v>45</v>
      </c>
      <c r="AI73" s="3">
        <v>8.0</v>
      </c>
      <c r="AJ73" s="3" t="s">
        <v>42</v>
      </c>
      <c r="AK73" s="3" t="s">
        <v>43</v>
      </c>
      <c r="AL73" s="3">
        <v>7.0</v>
      </c>
      <c r="AM73" s="3" t="s">
        <v>44</v>
      </c>
      <c r="AN73" s="3" t="s">
        <v>45</v>
      </c>
      <c r="AO73" s="3">
        <v>9.0</v>
      </c>
    </row>
    <row r="74">
      <c r="A74" s="2">
        <v>44309.78429040509</v>
      </c>
      <c r="B74" s="3" t="s">
        <v>118</v>
      </c>
      <c r="C74" s="3" t="s">
        <v>44</v>
      </c>
      <c r="D74" s="3" t="s">
        <v>45</v>
      </c>
      <c r="E74" s="3">
        <v>9.0</v>
      </c>
      <c r="F74" s="3" t="s">
        <v>44</v>
      </c>
      <c r="G74" s="3" t="s">
        <v>46</v>
      </c>
      <c r="H74" s="3">
        <v>7.0</v>
      </c>
      <c r="I74" s="3" t="s">
        <v>44</v>
      </c>
      <c r="J74" s="3" t="s">
        <v>46</v>
      </c>
      <c r="K74" s="3">
        <v>6.0</v>
      </c>
      <c r="L74" s="3" t="s">
        <v>46</v>
      </c>
      <c r="M74" s="3" t="s">
        <v>42</v>
      </c>
      <c r="N74" s="3">
        <v>5.0</v>
      </c>
      <c r="O74" s="3" t="s">
        <v>44</v>
      </c>
      <c r="P74" s="3" t="s">
        <v>45</v>
      </c>
      <c r="Q74" s="3">
        <v>7.0</v>
      </c>
      <c r="R74" s="3" t="s">
        <v>46</v>
      </c>
      <c r="S74" s="3" t="s">
        <v>43</v>
      </c>
      <c r="T74" s="3">
        <v>5.0</v>
      </c>
      <c r="U74" s="3" t="s">
        <v>44</v>
      </c>
      <c r="V74" s="3" t="s">
        <v>45</v>
      </c>
      <c r="W74" s="3">
        <v>7.0</v>
      </c>
      <c r="X74" s="3" t="s">
        <v>42</v>
      </c>
      <c r="Y74" s="3" t="s">
        <v>46</v>
      </c>
      <c r="Z74" s="3">
        <v>4.0</v>
      </c>
      <c r="AA74" s="3" t="s">
        <v>44</v>
      </c>
      <c r="AB74" s="3" t="s">
        <v>45</v>
      </c>
      <c r="AC74" s="3">
        <v>7.0</v>
      </c>
      <c r="AD74" s="3" t="s">
        <v>42</v>
      </c>
      <c r="AE74" s="3" t="s">
        <v>46</v>
      </c>
      <c r="AF74" s="3">
        <v>5.0</v>
      </c>
      <c r="AG74" s="3" t="s">
        <v>46</v>
      </c>
      <c r="AH74" s="3" t="s">
        <v>46</v>
      </c>
      <c r="AI74" s="3">
        <v>3.0</v>
      </c>
      <c r="AJ74" s="3" t="s">
        <v>42</v>
      </c>
      <c r="AK74" s="3" t="s">
        <v>46</v>
      </c>
      <c r="AL74" s="3">
        <v>3.0</v>
      </c>
      <c r="AM74" s="3" t="s">
        <v>42</v>
      </c>
      <c r="AN74" s="3" t="s">
        <v>45</v>
      </c>
      <c r="AO74" s="3">
        <v>8.0</v>
      </c>
    </row>
    <row r="75">
      <c r="A75" s="2">
        <v>44309.81020222222</v>
      </c>
      <c r="B75" s="3" t="s">
        <v>119</v>
      </c>
      <c r="C75" s="3" t="s">
        <v>42</v>
      </c>
      <c r="D75" s="3" t="s">
        <v>46</v>
      </c>
      <c r="E75" s="3">
        <v>7.0</v>
      </c>
      <c r="F75" s="3" t="s">
        <v>42</v>
      </c>
      <c r="G75" s="3" t="s">
        <v>45</v>
      </c>
      <c r="H75" s="3">
        <v>9.0</v>
      </c>
      <c r="I75" s="3" t="s">
        <v>44</v>
      </c>
      <c r="J75" s="3" t="s">
        <v>45</v>
      </c>
      <c r="K75" s="3">
        <v>8.0</v>
      </c>
      <c r="L75" s="3" t="s">
        <v>42</v>
      </c>
      <c r="M75" s="3" t="s">
        <v>46</v>
      </c>
      <c r="N75" s="3">
        <v>6.0</v>
      </c>
      <c r="O75" s="3" t="s">
        <v>44</v>
      </c>
      <c r="P75" s="3" t="s">
        <v>43</v>
      </c>
      <c r="Q75" s="3">
        <v>6.0</v>
      </c>
      <c r="R75" s="3" t="s">
        <v>42</v>
      </c>
      <c r="S75" s="3" t="s">
        <v>43</v>
      </c>
      <c r="T75" s="3">
        <v>6.0</v>
      </c>
      <c r="U75" s="3" t="s">
        <v>44</v>
      </c>
      <c r="V75" s="3" t="s">
        <v>45</v>
      </c>
      <c r="W75" s="3">
        <v>9.0</v>
      </c>
      <c r="X75" s="3" t="s">
        <v>42</v>
      </c>
      <c r="Y75" s="3" t="s">
        <v>46</v>
      </c>
      <c r="Z75" s="3">
        <v>7.0</v>
      </c>
      <c r="AA75" s="3" t="s">
        <v>42</v>
      </c>
      <c r="AB75" s="3" t="s">
        <v>44</v>
      </c>
      <c r="AC75" s="3">
        <v>6.0</v>
      </c>
      <c r="AD75" s="3" t="s">
        <v>42</v>
      </c>
      <c r="AE75" s="3" t="s">
        <v>46</v>
      </c>
      <c r="AF75" s="3">
        <v>6.0</v>
      </c>
      <c r="AG75" s="3" t="s">
        <v>42</v>
      </c>
      <c r="AH75" s="3" t="s">
        <v>46</v>
      </c>
      <c r="AI75" s="3">
        <v>5.0</v>
      </c>
      <c r="AJ75" s="3" t="s">
        <v>42</v>
      </c>
      <c r="AK75" s="3" t="s">
        <v>43</v>
      </c>
      <c r="AL75" s="3">
        <v>6.0</v>
      </c>
      <c r="AM75" s="3" t="s">
        <v>44</v>
      </c>
      <c r="AN75" s="3" t="s">
        <v>45</v>
      </c>
      <c r="AO75" s="3">
        <v>8.0</v>
      </c>
    </row>
    <row r="76">
      <c r="A76" s="2">
        <v>44323.75859758102</v>
      </c>
      <c r="B76" s="3" t="s">
        <v>120</v>
      </c>
      <c r="C76" s="3" t="s">
        <v>44</v>
      </c>
      <c r="D76" s="3" t="s">
        <v>45</v>
      </c>
      <c r="E76" s="3">
        <v>9.0</v>
      </c>
      <c r="F76" s="3" t="s">
        <v>44</v>
      </c>
      <c r="G76" s="3" t="s">
        <v>45</v>
      </c>
      <c r="H76" s="3">
        <v>9.0</v>
      </c>
      <c r="I76" s="3" t="s">
        <v>42</v>
      </c>
      <c r="J76" s="3" t="s">
        <v>46</v>
      </c>
      <c r="K76" s="3">
        <v>6.0</v>
      </c>
      <c r="L76" s="3" t="s">
        <v>46</v>
      </c>
      <c r="M76" s="3" t="s">
        <v>46</v>
      </c>
      <c r="N76" s="3">
        <v>5.0</v>
      </c>
      <c r="O76" s="3" t="s">
        <v>42</v>
      </c>
      <c r="P76" s="3" t="s">
        <v>43</v>
      </c>
      <c r="Q76" s="3">
        <v>6.0</v>
      </c>
      <c r="R76" s="3" t="s">
        <v>42</v>
      </c>
      <c r="S76" s="3" t="s">
        <v>43</v>
      </c>
      <c r="T76" s="3">
        <v>5.0</v>
      </c>
      <c r="U76" s="3" t="s">
        <v>44</v>
      </c>
      <c r="V76" s="3" t="s">
        <v>45</v>
      </c>
      <c r="W76" s="3">
        <v>8.0</v>
      </c>
      <c r="X76" s="3" t="s">
        <v>42</v>
      </c>
      <c r="Y76" s="3" t="s">
        <v>45</v>
      </c>
      <c r="Z76" s="3">
        <v>9.0</v>
      </c>
      <c r="AA76" s="3" t="s">
        <v>44</v>
      </c>
      <c r="AB76" s="3" t="s">
        <v>45</v>
      </c>
      <c r="AC76" s="3">
        <v>9.0</v>
      </c>
      <c r="AD76" s="3" t="s">
        <v>44</v>
      </c>
      <c r="AE76" s="3" t="s">
        <v>45</v>
      </c>
      <c r="AF76" s="3">
        <v>9.0</v>
      </c>
      <c r="AG76" s="3" t="s">
        <v>42</v>
      </c>
      <c r="AH76" s="3" t="s">
        <v>46</v>
      </c>
      <c r="AI76" s="3">
        <v>5.0</v>
      </c>
      <c r="AJ76" s="3" t="s">
        <v>42</v>
      </c>
      <c r="AK76" s="3" t="s">
        <v>43</v>
      </c>
      <c r="AL76" s="3">
        <v>6.0</v>
      </c>
      <c r="AM76" s="3" t="s">
        <v>44</v>
      </c>
      <c r="AN76" s="3" t="s">
        <v>45</v>
      </c>
      <c r="AO76" s="3">
        <v>9.0</v>
      </c>
    </row>
    <row r="77">
      <c r="A77" s="2">
        <v>44329.04691189815</v>
      </c>
      <c r="B77" s="3" t="s">
        <v>121</v>
      </c>
      <c r="C77" s="3" t="s">
        <v>42</v>
      </c>
      <c r="D77" s="3" t="s">
        <v>45</v>
      </c>
      <c r="E77" s="3">
        <v>8.0</v>
      </c>
      <c r="F77" s="3" t="s">
        <v>42</v>
      </c>
      <c r="G77" s="3" t="s">
        <v>45</v>
      </c>
      <c r="H77" s="3">
        <v>6.0</v>
      </c>
      <c r="I77" s="3" t="s">
        <v>46</v>
      </c>
      <c r="J77" s="3" t="s">
        <v>46</v>
      </c>
      <c r="K77" s="3">
        <v>1.0</v>
      </c>
      <c r="L77" s="3" t="s">
        <v>46</v>
      </c>
      <c r="M77" s="3" t="s">
        <v>46</v>
      </c>
      <c r="N77" s="3">
        <v>3.0</v>
      </c>
      <c r="O77" s="3" t="s">
        <v>42</v>
      </c>
      <c r="P77" s="3" t="s">
        <v>43</v>
      </c>
      <c r="Q77" s="3">
        <v>7.0</v>
      </c>
      <c r="R77" s="3" t="s">
        <v>42</v>
      </c>
      <c r="S77" s="3" t="s">
        <v>46</v>
      </c>
      <c r="T77" s="3">
        <v>5.0</v>
      </c>
      <c r="U77" s="3" t="s">
        <v>42</v>
      </c>
      <c r="V77" s="3" t="s">
        <v>43</v>
      </c>
      <c r="W77" s="3">
        <v>6.0</v>
      </c>
      <c r="X77" s="3" t="s">
        <v>42</v>
      </c>
      <c r="Y77" s="3" t="s">
        <v>43</v>
      </c>
      <c r="Z77" s="3">
        <v>5.0</v>
      </c>
      <c r="AA77" s="3" t="s">
        <v>46</v>
      </c>
      <c r="AB77" s="3" t="s">
        <v>46</v>
      </c>
      <c r="AC77" s="3">
        <v>2.0</v>
      </c>
      <c r="AD77" s="3" t="s">
        <v>42</v>
      </c>
      <c r="AE77" s="3" t="s">
        <v>43</v>
      </c>
      <c r="AF77" s="3">
        <v>4.0</v>
      </c>
      <c r="AG77" s="3" t="s">
        <v>46</v>
      </c>
      <c r="AH77" s="3" t="s">
        <v>46</v>
      </c>
      <c r="AI77" s="3">
        <v>1.0</v>
      </c>
      <c r="AJ77" s="3" t="s">
        <v>46</v>
      </c>
      <c r="AK77" s="3" t="s">
        <v>46</v>
      </c>
      <c r="AL77" s="3">
        <v>1.0</v>
      </c>
      <c r="AM77" s="3" t="s">
        <v>44</v>
      </c>
      <c r="AN77" s="3" t="s">
        <v>45</v>
      </c>
      <c r="AO77" s="3">
        <v>9.0</v>
      </c>
    </row>
    <row r="78">
      <c r="A78" s="2">
        <v>44332.658900497685</v>
      </c>
      <c r="B78" s="3" t="s">
        <v>122</v>
      </c>
      <c r="C78" s="3" t="s">
        <v>42</v>
      </c>
      <c r="D78" s="3" t="s">
        <v>46</v>
      </c>
      <c r="E78" s="3">
        <v>7.0</v>
      </c>
      <c r="F78" s="3" t="s">
        <v>44</v>
      </c>
      <c r="G78" s="3" t="s">
        <v>43</v>
      </c>
      <c r="H78" s="3">
        <v>8.0</v>
      </c>
      <c r="I78" s="3" t="s">
        <v>42</v>
      </c>
      <c r="J78" s="3" t="s">
        <v>43</v>
      </c>
      <c r="K78" s="3">
        <v>5.0</v>
      </c>
      <c r="L78" s="3" t="s">
        <v>46</v>
      </c>
      <c r="M78" s="3" t="s">
        <v>42</v>
      </c>
      <c r="N78" s="3">
        <v>7.0</v>
      </c>
      <c r="O78" s="3" t="s">
        <v>44</v>
      </c>
      <c r="P78" s="3" t="s">
        <v>45</v>
      </c>
      <c r="Q78" s="3">
        <v>8.0</v>
      </c>
      <c r="R78" s="3" t="s">
        <v>42</v>
      </c>
      <c r="S78" s="3" t="s">
        <v>45</v>
      </c>
      <c r="T78" s="3">
        <v>6.0</v>
      </c>
      <c r="U78" s="3" t="s">
        <v>46</v>
      </c>
      <c r="V78" s="3" t="s">
        <v>46</v>
      </c>
      <c r="W78" s="3">
        <v>3.0</v>
      </c>
      <c r="X78" s="3" t="s">
        <v>42</v>
      </c>
      <c r="Y78" s="3" t="s">
        <v>43</v>
      </c>
      <c r="Z78" s="3">
        <v>4.0</v>
      </c>
      <c r="AA78" s="3" t="s">
        <v>46</v>
      </c>
      <c r="AB78" s="3" t="s">
        <v>46</v>
      </c>
      <c r="AC78" s="3">
        <v>1.0</v>
      </c>
      <c r="AD78" s="3" t="s">
        <v>44</v>
      </c>
      <c r="AE78" s="3" t="s">
        <v>45</v>
      </c>
      <c r="AF78" s="3">
        <v>7.0</v>
      </c>
      <c r="AG78" s="3" t="s">
        <v>46</v>
      </c>
      <c r="AH78" s="3" t="s">
        <v>46</v>
      </c>
      <c r="AI78" s="3">
        <v>1.0</v>
      </c>
      <c r="AJ78" s="3" t="s">
        <v>42</v>
      </c>
      <c r="AK78" s="3" t="s">
        <v>43</v>
      </c>
      <c r="AL78" s="3">
        <v>4.0</v>
      </c>
      <c r="AM78" s="3" t="s">
        <v>44</v>
      </c>
      <c r="AN78" s="3" t="s">
        <v>45</v>
      </c>
      <c r="AO78" s="3">
        <v>8.0</v>
      </c>
    </row>
    <row r="79">
      <c r="A79" s="2">
        <v>44333.01576767361</v>
      </c>
      <c r="B79" s="3" t="s">
        <v>123</v>
      </c>
      <c r="C79" s="3" t="s">
        <v>42</v>
      </c>
      <c r="D79" s="3" t="s">
        <v>45</v>
      </c>
      <c r="E79" s="3">
        <v>9.0</v>
      </c>
      <c r="F79" s="3" t="s">
        <v>42</v>
      </c>
      <c r="G79" s="3" t="s">
        <v>45</v>
      </c>
      <c r="H79" s="3">
        <v>7.0</v>
      </c>
      <c r="I79" s="3" t="s">
        <v>42</v>
      </c>
      <c r="J79" s="3" t="s">
        <v>46</v>
      </c>
      <c r="K79" s="3">
        <v>7.0</v>
      </c>
      <c r="L79" s="3" t="s">
        <v>42</v>
      </c>
      <c r="M79" s="3" t="s">
        <v>46</v>
      </c>
      <c r="N79" s="3">
        <v>5.0</v>
      </c>
      <c r="O79" s="3" t="s">
        <v>42</v>
      </c>
      <c r="P79" s="3" t="s">
        <v>45</v>
      </c>
      <c r="Q79" s="3">
        <v>9.0</v>
      </c>
      <c r="R79" s="3" t="s">
        <v>42</v>
      </c>
      <c r="S79" s="3" t="s">
        <v>45</v>
      </c>
      <c r="T79" s="3">
        <v>9.0</v>
      </c>
      <c r="U79" s="3" t="s">
        <v>42</v>
      </c>
      <c r="V79" s="3" t="s">
        <v>46</v>
      </c>
      <c r="W79" s="3">
        <v>5.0</v>
      </c>
      <c r="X79" s="3" t="s">
        <v>42</v>
      </c>
      <c r="Y79" s="3" t="s">
        <v>46</v>
      </c>
      <c r="Z79" s="3">
        <v>6.0</v>
      </c>
      <c r="AA79" s="3" t="s">
        <v>42</v>
      </c>
      <c r="AB79" s="3" t="s">
        <v>46</v>
      </c>
      <c r="AC79" s="3">
        <v>5.0</v>
      </c>
      <c r="AD79" s="3" t="s">
        <v>42</v>
      </c>
      <c r="AE79" s="3" t="s">
        <v>46</v>
      </c>
      <c r="AF79" s="3">
        <v>5.0</v>
      </c>
      <c r="AG79" s="3" t="s">
        <v>42</v>
      </c>
      <c r="AH79" s="3" t="s">
        <v>46</v>
      </c>
      <c r="AI79" s="3">
        <v>5.0</v>
      </c>
      <c r="AJ79" s="3" t="s">
        <v>42</v>
      </c>
      <c r="AK79" s="3" t="s">
        <v>45</v>
      </c>
      <c r="AL79" s="3">
        <v>8.0</v>
      </c>
      <c r="AM79" s="3" t="s">
        <v>44</v>
      </c>
      <c r="AN79" s="3" t="s">
        <v>45</v>
      </c>
      <c r="AO79" s="3">
        <v>8.0</v>
      </c>
    </row>
    <row r="80">
      <c r="A80" s="2">
        <v>44333.943706770835</v>
      </c>
      <c r="B80" s="3" t="s">
        <v>124</v>
      </c>
      <c r="C80" s="3" t="s">
        <v>42</v>
      </c>
      <c r="D80" s="3" t="s">
        <v>43</v>
      </c>
      <c r="E80" s="3">
        <v>7.0</v>
      </c>
      <c r="F80" s="3" t="s">
        <v>44</v>
      </c>
      <c r="G80" s="3" t="s">
        <v>45</v>
      </c>
      <c r="H80" s="3">
        <v>7.0</v>
      </c>
      <c r="I80" s="3" t="s">
        <v>44</v>
      </c>
      <c r="J80" s="3" t="s">
        <v>45</v>
      </c>
      <c r="K80" s="3">
        <v>7.0</v>
      </c>
      <c r="L80" s="3" t="s">
        <v>42</v>
      </c>
      <c r="M80" s="3" t="s">
        <v>46</v>
      </c>
      <c r="N80" s="3">
        <v>5.0</v>
      </c>
      <c r="O80" s="3" t="s">
        <v>44</v>
      </c>
      <c r="P80" s="3" t="s">
        <v>43</v>
      </c>
      <c r="Q80" s="3">
        <v>6.0</v>
      </c>
      <c r="R80" s="3" t="s">
        <v>42</v>
      </c>
      <c r="S80" s="3" t="s">
        <v>46</v>
      </c>
      <c r="T80" s="3">
        <v>6.0</v>
      </c>
      <c r="U80" s="3" t="s">
        <v>42</v>
      </c>
      <c r="V80" s="3" t="s">
        <v>45</v>
      </c>
      <c r="W80" s="3">
        <v>7.0</v>
      </c>
      <c r="X80" s="3" t="s">
        <v>42</v>
      </c>
      <c r="Y80" s="3" t="s">
        <v>43</v>
      </c>
      <c r="Z80" s="3">
        <v>7.0</v>
      </c>
      <c r="AA80" s="3" t="s">
        <v>46</v>
      </c>
      <c r="AB80" s="3" t="s">
        <v>46</v>
      </c>
      <c r="AC80" s="3">
        <v>5.0</v>
      </c>
      <c r="AD80" s="3" t="s">
        <v>46</v>
      </c>
      <c r="AE80" s="3" t="s">
        <v>46</v>
      </c>
      <c r="AF80" s="3">
        <v>5.0</v>
      </c>
      <c r="AG80" s="3" t="s">
        <v>46</v>
      </c>
      <c r="AH80" s="3" t="s">
        <v>46</v>
      </c>
      <c r="AI80" s="3">
        <v>5.0</v>
      </c>
      <c r="AJ80" s="3" t="s">
        <v>42</v>
      </c>
      <c r="AK80" s="3" t="s">
        <v>43</v>
      </c>
      <c r="AL80" s="3">
        <v>6.0</v>
      </c>
      <c r="AM80" s="3" t="s">
        <v>44</v>
      </c>
      <c r="AN80" s="3" t="s">
        <v>45</v>
      </c>
      <c r="AO80" s="3">
        <v>7.0</v>
      </c>
    </row>
    <row r="81">
      <c r="A81" s="2">
        <v>44334.006789872685</v>
      </c>
      <c r="B81" s="3" t="s">
        <v>125</v>
      </c>
      <c r="C81" s="3" t="s">
        <v>42</v>
      </c>
      <c r="D81" s="3" t="s">
        <v>45</v>
      </c>
      <c r="E81" s="3">
        <v>8.0</v>
      </c>
      <c r="F81" s="3" t="s">
        <v>44</v>
      </c>
      <c r="G81" s="3" t="s">
        <v>45</v>
      </c>
      <c r="H81" s="3">
        <v>9.0</v>
      </c>
      <c r="I81" s="3" t="s">
        <v>42</v>
      </c>
      <c r="J81" s="3" t="s">
        <v>43</v>
      </c>
      <c r="K81" s="3">
        <v>7.0</v>
      </c>
      <c r="L81" s="3" t="s">
        <v>46</v>
      </c>
      <c r="M81" s="3" t="s">
        <v>46</v>
      </c>
      <c r="N81" s="3">
        <v>5.0</v>
      </c>
      <c r="O81" s="3" t="s">
        <v>44</v>
      </c>
      <c r="P81" s="3" t="s">
        <v>45</v>
      </c>
      <c r="Q81" s="3">
        <v>8.0</v>
      </c>
      <c r="R81" s="3" t="s">
        <v>44</v>
      </c>
      <c r="S81" s="3" t="s">
        <v>45</v>
      </c>
      <c r="T81" s="3">
        <v>8.0</v>
      </c>
      <c r="U81" s="3" t="s">
        <v>46</v>
      </c>
      <c r="V81" s="3" t="s">
        <v>46</v>
      </c>
      <c r="W81" s="3">
        <v>5.0</v>
      </c>
      <c r="X81" s="3" t="s">
        <v>42</v>
      </c>
      <c r="Y81" s="3" t="s">
        <v>46</v>
      </c>
      <c r="Z81" s="3">
        <v>6.0</v>
      </c>
      <c r="AA81" s="3" t="s">
        <v>42</v>
      </c>
      <c r="AB81" s="3" t="s">
        <v>43</v>
      </c>
      <c r="AC81" s="3">
        <v>5.0</v>
      </c>
      <c r="AD81" s="3" t="s">
        <v>46</v>
      </c>
      <c r="AE81" s="3" t="s">
        <v>46</v>
      </c>
      <c r="AF81" s="3">
        <v>3.0</v>
      </c>
      <c r="AG81" s="3" t="s">
        <v>43</v>
      </c>
      <c r="AH81" s="3" t="s">
        <v>46</v>
      </c>
      <c r="AI81" s="3">
        <v>3.0</v>
      </c>
      <c r="AJ81" s="3" t="s">
        <v>46</v>
      </c>
      <c r="AK81" s="3" t="s">
        <v>46</v>
      </c>
      <c r="AL81" s="3">
        <v>4.0</v>
      </c>
      <c r="AM81" s="3" t="s">
        <v>44</v>
      </c>
      <c r="AN81" s="3" t="s">
        <v>45</v>
      </c>
      <c r="AO81" s="3">
        <v>9.0</v>
      </c>
    </row>
    <row r="82">
      <c r="A82" s="2">
        <v>44335.048934652776</v>
      </c>
      <c r="B82" s="3" t="s">
        <v>126</v>
      </c>
      <c r="C82" s="3" t="s">
        <v>42</v>
      </c>
      <c r="D82" s="3" t="s">
        <v>45</v>
      </c>
      <c r="E82" s="3">
        <v>9.0</v>
      </c>
      <c r="F82" s="3" t="s">
        <v>42</v>
      </c>
      <c r="G82" s="3" t="s">
        <v>45</v>
      </c>
      <c r="H82" s="3">
        <v>9.0</v>
      </c>
      <c r="I82" s="3" t="s">
        <v>42</v>
      </c>
      <c r="J82" s="3" t="s">
        <v>45</v>
      </c>
      <c r="K82" s="3">
        <v>9.0</v>
      </c>
      <c r="L82" s="3" t="s">
        <v>42</v>
      </c>
      <c r="M82" s="3" t="s">
        <v>43</v>
      </c>
      <c r="N82" s="3">
        <v>6.0</v>
      </c>
      <c r="O82" s="3" t="s">
        <v>42</v>
      </c>
      <c r="P82" s="3" t="s">
        <v>45</v>
      </c>
      <c r="Q82" s="3">
        <v>9.0</v>
      </c>
      <c r="R82" s="3" t="s">
        <v>42</v>
      </c>
      <c r="S82" s="3" t="s">
        <v>46</v>
      </c>
      <c r="T82" s="3">
        <v>7.0</v>
      </c>
      <c r="U82" s="3" t="s">
        <v>42</v>
      </c>
      <c r="V82" s="3" t="s">
        <v>45</v>
      </c>
      <c r="W82" s="3">
        <v>9.0</v>
      </c>
      <c r="X82" s="3" t="s">
        <v>42</v>
      </c>
      <c r="Y82" s="3" t="s">
        <v>43</v>
      </c>
      <c r="Z82" s="3">
        <v>7.0</v>
      </c>
      <c r="AA82" s="3" t="s">
        <v>44</v>
      </c>
      <c r="AB82" s="3" t="s">
        <v>46</v>
      </c>
      <c r="AC82" s="3">
        <v>5.0</v>
      </c>
      <c r="AD82" s="3" t="s">
        <v>42</v>
      </c>
      <c r="AE82" s="3" t="s">
        <v>45</v>
      </c>
      <c r="AF82" s="3">
        <v>7.0</v>
      </c>
      <c r="AG82" s="3" t="s">
        <v>46</v>
      </c>
      <c r="AH82" s="3" t="s">
        <v>46</v>
      </c>
      <c r="AI82" s="3">
        <v>3.0</v>
      </c>
      <c r="AJ82" s="3" t="s">
        <v>42</v>
      </c>
      <c r="AK82" s="3" t="s">
        <v>45</v>
      </c>
      <c r="AL82" s="3">
        <v>9.0</v>
      </c>
      <c r="AM82" s="3" t="s">
        <v>42</v>
      </c>
      <c r="AN82" s="3" t="s">
        <v>46</v>
      </c>
      <c r="AO82" s="3">
        <v>5.0</v>
      </c>
    </row>
    <row r="83">
      <c r="A83" s="2">
        <v>44335.644257824075</v>
      </c>
      <c r="B83" s="3" t="s">
        <v>127</v>
      </c>
      <c r="C83" s="3" t="s">
        <v>44</v>
      </c>
      <c r="D83" s="3" t="s">
        <v>45</v>
      </c>
      <c r="E83" s="3">
        <v>9.0</v>
      </c>
      <c r="F83" s="3" t="s">
        <v>42</v>
      </c>
      <c r="G83" s="3" t="s">
        <v>46</v>
      </c>
      <c r="H83" s="3">
        <v>5.0</v>
      </c>
      <c r="I83" s="3" t="s">
        <v>42</v>
      </c>
      <c r="J83" s="3" t="s">
        <v>43</v>
      </c>
      <c r="K83" s="3">
        <v>3.0</v>
      </c>
      <c r="L83" s="3" t="s">
        <v>46</v>
      </c>
      <c r="M83" s="3" t="s">
        <v>46</v>
      </c>
      <c r="N83" s="3">
        <v>1.0</v>
      </c>
      <c r="O83" s="3" t="s">
        <v>44</v>
      </c>
      <c r="P83" s="3" t="s">
        <v>45</v>
      </c>
      <c r="Q83" s="3">
        <v>8.0</v>
      </c>
      <c r="R83" s="3" t="s">
        <v>42</v>
      </c>
      <c r="S83" s="3" t="s">
        <v>43</v>
      </c>
      <c r="T83" s="3">
        <v>3.0</v>
      </c>
      <c r="U83" s="3" t="s">
        <v>42</v>
      </c>
      <c r="V83" s="3" t="s">
        <v>43</v>
      </c>
      <c r="W83" s="3">
        <v>3.0</v>
      </c>
      <c r="X83" s="3" t="s">
        <v>42</v>
      </c>
      <c r="Y83" s="3" t="s">
        <v>45</v>
      </c>
      <c r="Z83" s="3">
        <v>7.0</v>
      </c>
      <c r="AA83" s="3" t="s">
        <v>42</v>
      </c>
      <c r="AB83" s="3" t="s">
        <v>43</v>
      </c>
      <c r="AC83" s="3">
        <v>3.0</v>
      </c>
      <c r="AD83" s="3" t="s">
        <v>44</v>
      </c>
      <c r="AE83" s="3" t="s">
        <v>45</v>
      </c>
      <c r="AF83" s="3">
        <v>7.0</v>
      </c>
      <c r="AG83" s="3" t="s">
        <v>46</v>
      </c>
      <c r="AH83" s="3" t="s">
        <v>46</v>
      </c>
      <c r="AI83" s="3">
        <v>1.0</v>
      </c>
      <c r="AJ83" s="3" t="s">
        <v>42</v>
      </c>
      <c r="AK83" s="3" t="s">
        <v>46</v>
      </c>
      <c r="AL83" s="3">
        <v>2.0</v>
      </c>
      <c r="AM83" s="3" t="s">
        <v>44</v>
      </c>
      <c r="AN83" s="3" t="s">
        <v>45</v>
      </c>
      <c r="AO83" s="3">
        <v>7.0</v>
      </c>
    </row>
    <row r="84">
      <c r="A84" s="2">
        <v>44335.73893212963</v>
      </c>
      <c r="B84" s="3" t="s">
        <v>128</v>
      </c>
      <c r="C84" s="3" t="s">
        <v>42</v>
      </c>
      <c r="D84" s="3" t="s">
        <v>46</v>
      </c>
      <c r="E84" s="3">
        <v>5.0</v>
      </c>
      <c r="F84" s="3" t="s">
        <v>42</v>
      </c>
      <c r="G84" s="3" t="s">
        <v>45</v>
      </c>
      <c r="H84" s="3">
        <v>9.0</v>
      </c>
      <c r="I84" s="3" t="s">
        <v>42</v>
      </c>
      <c r="J84" s="3" t="s">
        <v>46</v>
      </c>
      <c r="K84" s="3">
        <v>5.0</v>
      </c>
      <c r="L84" s="3" t="s">
        <v>45</v>
      </c>
      <c r="M84" s="3" t="s">
        <v>42</v>
      </c>
      <c r="N84" s="3">
        <v>1.0</v>
      </c>
      <c r="O84" s="3" t="s">
        <v>42</v>
      </c>
      <c r="P84" s="3" t="s">
        <v>46</v>
      </c>
      <c r="Q84" s="3">
        <v>5.0</v>
      </c>
      <c r="R84" s="3" t="s">
        <v>42</v>
      </c>
      <c r="S84" s="3" t="s">
        <v>44</v>
      </c>
      <c r="T84" s="3">
        <v>9.0</v>
      </c>
      <c r="U84" s="3" t="s">
        <v>42</v>
      </c>
      <c r="V84" s="3" t="s">
        <v>45</v>
      </c>
      <c r="W84" s="3">
        <v>9.0</v>
      </c>
      <c r="X84" s="3" t="s">
        <v>42</v>
      </c>
      <c r="Y84" s="3" t="s">
        <v>46</v>
      </c>
      <c r="Z84" s="3">
        <v>5.0</v>
      </c>
      <c r="AA84" s="3" t="s">
        <v>42</v>
      </c>
      <c r="AB84" s="3" t="s">
        <v>46</v>
      </c>
      <c r="AC84" s="3">
        <v>5.0</v>
      </c>
      <c r="AD84" s="3" t="s">
        <v>42</v>
      </c>
      <c r="AE84" s="3" t="s">
        <v>44</v>
      </c>
      <c r="AF84" s="3">
        <v>9.0</v>
      </c>
      <c r="AG84" s="3" t="s">
        <v>46</v>
      </c>
      <c r="AH84" s="3" t="s">
        <v>46</v>
      </c>
      <c r="AI84" s="3">
        <v>5.0</v>
      </c>
      <c r="AJ84" s="3" t="s">
        <v>42</v>
      </c>
      <c r="AK84" s="3" t="s">
        <v>46</v>
      </c>
      <c r="AL84" s="3">
        <v>5.0</v>
      </c>
      <c r="AM84" s="3" t="s">
        <v>42</v>
      </c>
      <c r="AN84" s="3" t="s">
        <v>44</v>
      </c>
      <c r="AO84" s="3">
        <v>9.0</v>
      </c>
    </row>
    <row r="85">
      <c r="A85" s="2">
        <v>44335.87472203704</v>
      </c>
      <c r="B85" s="3" t="s">
        <v>129</v>
      </c>
      <c r="C85" s="3" t="s">
        <v>44</v>
      </c>
      <c r="D85" s="3" t="s">
        <v>45</v>
      </c>
      <c r="E85" s="3">
        <v>7.0</v>
      </c>
      <c r="F85" s="3" t="s">
        <v>44</v>
      </c>
      <c r="G85" s="3" t="s">
        <v>45</v>
      </c>
      <c r="H85" s="3">
        <v>9.0</v>
      </c>
      <c r="I85" s="3" t="s">
        <v>46</v>
      </c>
      <c r="J85" s="3" t="s">
        <v>46</v>
      </c>
      <c r="K85" s="3">
        <v>5.0</v>
      </c>
      <c r="L85" s="3" t="s">
        <v>42</v>
      </c>
      <c r="M85" s="3" t="s">
        <v>45</v>
      </c>
      <c r="N85" s="3">
        <v>7.0</v>
      </c>
      <c r="O85" s="3" t="s">
        <v>42</v>
      </c>
      <c r="P85" s="3" t="s">
        <v>45</v>
      </c>
      <c r="Q85" s="3">
        <v>8.0</v>
      </c>
      <c r="R85" s="3" t="s">
        <v>42</v>
      </c>
      <c r="S85" s="3" t="s">
        <v>45</v>
      </c>
      <c r="T85" s="3">
        <v>7.0</v>
      </c>
      <c r="U85" s="3" t="s">
        <v>44</v>
      </c>
      <c r="V85" s="3" t="s">
        <v>45</v>
      </c>
      <c r="W85" s="3">
        <v>9.0</v>
      </c>
      <c r="X85" s="3" t="s">
        <v>42</v>
      </c>
      <c r="Y85" s="3" t="s">
        <v>45</v>
      </c>
      <c r="Z85" s="3">
        <v>9.0</v>
      </c>
      <c r="AA85" s="3" t="s">
        <v>42</v>
      </c>
      <c r="AB85" s="3" t="s">
        <v>46</v>
      </c>
      <c r="AC85" s="3">
        <v>6.0</v>
      </c>
      <c r="AD85" s="3" t="s">
        <v>42</v>
      </c>
      <c r="AE85" s="3" t="s">
        <v>45</v>
      </c>
      <c r="AF85" s="3">
        <v>7.0</v>
      </c>
      <c r="AG85" s="3" t="s">
        <v>46</v>
      </c>
      <c r="AH85" s="3" t="s">
        <v>46</v>
      </c>
      <c r="AI85" s="3">
        <v>5.0</v>
      </c>
      <c r="AJ85" s="3" t="s">
        <v>42</v>
      </c>
      <c r="AK85" s="3" t="s">
        <v>43</v>
      </c>
      <c r="AL85" s="3">
        <v>8.0</v>
      </c>
      <c r="AM85" s="3" t="s">
        <v>44</v>
      </c>
      <c r="AN85" s="3" t="s">
        <v>45</v>
      </c>
      <c r="AO85" s="3">
        <v>9.0</v>
      </c>
    </row>
    <row r="86">
      <c r="A86" s="2">
        <v>44340.02505096065</v>
      </c>
      <c r="B86" s="3" t="s">
        <v>130</v>
      </c>
      <c r="C86" s="3" t="s">
        <v>46</v>
      </c>
      <c r="D86" s="3" t="s">
        <v>42</v>
      </c>
      <c r="E86" s="3">
        <v>1.0</v>
      </c>
      <c r="F86" s="3" t="s">
        <v>42</v>
      </c>
      <c r="G86" s="3" t="s">
        <v>43</v>
      </c>
      <c r="H86" s="3">
        <v>5.0</v>
      </c>
      <c r="I86" s="3" t="s">
        <v>46</v>
      </c>
      <c r="J86" s="3" t="s">
        <v>46</v>
      </c>
      <c r="K86" s="3">
        <v>5.0</v>
      </c>
      <c r="L86" s="3" t="s">
        <v>45</v>
      </c>
      <c r="M86" s="3" t="s">
        <v>42</v>
      </c>
      <c r="N86" s="3">
        <v>1.0</v>
      </c>
      <c r="O86" s="3" t="s">
        <v>42</v>
      </c>
      <c r="P86" s="3" t="s">
        <v>45</v>
      </c>
      <c r="Q86" s="3">
        <v>9.0</v>
      </c>
      <c r="R86" s="3" t="s">
        <v>42</v>
      </c>
      <c r="S86" s="3" t="s">
        <v>46</v>
      </c>
      <c r="T86" s="3">
        <v>5.0</v>
      </c>
      <c r="U86" s="3" t="s">
        <v>42</v>
      </c>
      <c r="V86" s="3" t="s">
        <v>45</v>
      </c>
      <c r="W86" s="3">
        <v>9.0</v>
      </c>
      <c r="X86" s="3" t="s">
        <v>42</v>
      </c>
      <c r="Y86" s="3" t="s">
        <v>45</v>
      </c>
      <c r="Z86" s="3">
        <v>9.0</v>
      </c>
      <c r="AA86" s="3" t="s">
        <v>42</v>
      </c>
      <c r="AB86" s="3" t="s">
        <v>45</v>
      </c>
      <c r="AC86" s="3">
        <v>9.0</v>
      </c>
      <c r="AD86" s="3" t="s">
        <v>42</v>
      </c>
      <c r="AE86" s="3" t="s">
        <v>45</v>
      </c>
      <c r="AF86" s="3">
        <v>9.0</v>
      </c>
      <c r="AG86" s="3" t="s">
        <v>46</v>
      </c>
      <c r="AH86" s="3" t="s">
        <v>46</v>
      </c>
      <c r="AI86" s="3">
        <v>5.0</v>
      </c>
      <c r="AJ86" s="3" t="s">
        <v>42</v>
      </c>
      <c r="AK86" s="3" t="s">
        <v>45</v>
      </c>
      <c r="AL86" s="3">
        <v>9.0</v>
      </c>
      <c r="AM86" s="3" t="s">
        <v>42</v>
      </c>
      <c r="AN86" s="3" t="s">
        <v>45</v>
      </c>
      <c r="AO86" s="3">
        <v>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5"/>
    <col customWidth="1" min="3" max="5" width="20.88"/>
    <col customWidth="1" min="6" max="7" width="21.13"/>
  </cols>
  <sheetData>
    <row r="1" ht="41.25" customHeight="1">
      <c r="A1" s="4"/>
      <c r="B1" s="4"/>
      <c r="C1" s="4"/>
      <c r="D1" s="4"/>
      <c r="E1" s="4"/>
      <c r="F1" s="4"/>
      <c r="G1" s="4"/>
      <c r="H1" s="4"/>
    </row>
    <row r="2" ht="41.25" customHeight="1">
      <c r="A2" s="4"/>
      <c r="B2" s="5" t="s">
        <v>131</v>
      </c>
      <c r="C2" s="5" t="s">
        <v>132</v>
      </c>
      <c r="D2" s="5" t="s">
        <v>133</v>
      </c>
      <c r="E2" s="5" t="s">
        <v>134</v>
      </c>
      <c r="F2" s="6" t="s">
        <v>135</v>
      </c>
    </row>
    <row r="3">
      <c r="A3" s="4"/>
      <c r="B3" s="7" t="s">
        <v>136</v>
      </c>
      <c r="C3" s="8">
        <v>2.44</v>
      </c>
      <c r="D3" s="8">
        <v>3.76</v>
      </c>
      <c r="E3" s="8">
        <v>6.87</v>
      </c>
      <c r="F3" s="9" t="s">
        <v>137</v>
      </c>
      <c r="H3" s="10" t="s">
        <v>138</v>
      </c>
    </row>
    <row r="4">
      <c r="A4" s="4"/>
      <c r="B4" s="7" t="s">
        <v>139</v>
      </c>
      <c r="C4" s="8">
        <v>1.24</v>
      </c>
      <c r="D4" s="8">
        <v>3.87</v>
      </c>
      <c r="E4" s="8">
        <v>7.89</v>
      </c>
      <c r="F4" s="11" t="s">
        <v>140</v>
      </c>
      <c r="H4" s="12" t="s">
        <v>140</v>
      </c>
    </row>
    <row r="5">
      <c r="A5" s="4"/>
      <c r="B5" s="7" t="s">
        <v>141</v>
      </c>
      <c r="C5" s="8">
        <v>2.92</v>
      </c>
      <c r="D5" s="8">
        <v>2.58</v>
      </c>
      <c r="E5" s="8">
        <v>5.14</v>
      </c>
      <c r="F5" s="9" t="s">
        <v>137</v>
      </c>
      <c r="H5" s="13" t="s">
        <v>137</v>
      </c>
    </row>
    <row r="6">
      <c r="A6" s="4"/>
      <c r="B6" s="7" t="s">
        <v>142</v>
      </c>
      <c r="C6" s="8">
        <v>3.16</v>
      </c>
      <c r="D6" s="14">
        <v>2.52</v>
      </c>
      <c r="E6" s="8">
        <v>4.05</v>
      </c>
      <c r="F6" s="9" t="s">
        <v>137</v>
      </c>
      <c r="H6" s="15" t="s">
        <v>143</v>
      </c>
    </row>
    <row r="7">
      <c r="A7" s="4"/>
      <c r="B7" s="7" t="s">
        <v>144</v>
      </c>
      <c r="C7" s="8">
        <v>2.55</v>
      </c>
      <c r="D7" s="8">
        <v>3.16</v>
      </c>
      <c r="E7" s="8">
        <v>6.05</v>
      </c>
      <c r="F7" s="9" t="s">
        <v>137</v>
      </c>
      <c r="H7" s="16" t="s">
        <v>145</v>
      </c>
    </row>
    <row r="8">
      <c r="A8" s="4"/>
      <c r="B8" s="7" t="s">
        <v>146</v>
      </c>
      <c r="C8" s="8">
        <v>2.49</v>
      </c>
      <c r="D8" s="8">
        <v>3.11</v>
      </c>
      <c r="E8" s="8">
        <v>6.0</v>
      </c>
      <c r="F8" s="9" t="s">
        <v>137</v>
      </c>
      <c r="H8" s="17" t="s">
        <v>147</v>
      </c>
    </row>
    <row r="9">
      <c r="A9" s="4"/>
      <c r="B9" s="7" t="s">
        <v>148</v>
      </c>
      <c r="C9" s="8">
        <v>2.07</v>
      </c>
      <c r="D9" s="8">
        <v>3.5</v>
      </c>
      <c r="E9" s="8">
        <v>6.64</v>
      </c>
      <c r="F9" s="9" t="s">
        <v>137</v>
      </c>
    </row>
    <row r="10">
      <c r="A10" s="4"/>
      <c r="B10" s="7" t="s">
        <v>149</v>
      </c>
      <c r="C10" s="8">
        <v>2.23</v>
      </c>
      <c r="D10" s="8">
        <v>3.89</v>
      </c>
      <c r="E10" s="8">
        <v>6.47</v>
      </c>
      <c r="F10" s="9" t="s">
        <v>137</v>
      </c>
    </row>
    <row r="11">
      <c r="A11" s="4"/>
      <c r="B11" s="7" t="s">
        <v>150</v>
      </c>
      <c r="C11" s="14">
        <v>3.06</v>
      </c>
      <c r="D11" s="8">
        <v>2.35</v>
      </c>
      <c r="E11" s="8">
        <v>5.12</v>
      </c>
      <c r="F11" s="9" t="s">
        <v>137</v>
      </c>
    </row>
    <row r="12">
      <c r="A12" s="4"/>
      <c r="B12" s="7" t="s">
        <v>151</v>
      </c>
      <c r="C12" s="8">
        <v>2.49</v>
      </c>
      <c r="D12" s="8">
        <v>3.45</v>
      </c>
      <c r="E12" s="8">
        <v>6.09</v>
      </c>
      <c r="F12" s="9" t="s">
        <v>137</v>
      </c>
    </row>
    <row r="13">
      <c r="A13" s="4"/>
      <c r="B13" s="7" t="s">
        <v>152</v>
      </c>
      <c r="C13" s="8">
        <v>3.82</v>
      </c>
      <c r="D13" s="8">
        <v>2.0</v>
      </c>
      <c r="E13" s="8">
        <v>3.67</v>
      </c>
      <c r="F13" s="9" t="s">
        <v>137</v>
      </c>
    </row>
    <row r="14">
      <c r="A14" s="4"/>
      <c r="B14" s="7" t="s">
        <v>153</v>
      </c>
      <c r="C14" s="14">
        <v>3.0</v>
      </c>
      <c r="D14" s="8">
        <v>3.06</v>
      </c>
      <c r="E14" s="8">
        <v>4.61</v>
      </c>
      <c r="F14" s="9" t="s">
        <v>137</v>
      </c>
    </row>
    <row r="15">
      <c r="A15" s="4"/>
      <c r="B15" s="7" t="s">
        <v>154</v>
      </c>
      <c r="C15" s="8">
        <v>1.21</v>
      </c>
      <c r="D15" s="8">
        <v>3.82</v>
      </c>
      <c r="E15" s="8">
        <v>7.68</v>
      </c>
      <c r="F15" s="9" t="s">
        <v>137</v>
      </c>
    </row>
    <row r="16">
      <c r="A16" s="18"/>
      <c r="B16" s="18"/>
    </row>
    <row r="17">
      <c r="A17" s="18"/>
      <c r="B17" s="18"/>
    </row>
    <row r="18">
      <c r="A18" s="18"/>
      <c r="B18" s="18"/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  <row r="1001">
      <c r="A1001" s="18"/>
      <c r="B1001" s="18"/>
    </row>
    <row r="1002">
      <c r="A1002" s="18"/>
      <c r="B1002" s="18"/>
    </row>
    <row r="1003">
      <c r="A1003" s="18"/>
      <c r="B1003" s="18"/>
    </row>
    <row r="1004">
      <c r="A1004" s="18"/>
      <c r="B1004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13" max="13" width="8.75"/>
    <col customWidth="1" min="14" max="15" width="23.88"/>
    <col customWidth="1" min="16" max="16" width="18.38"/>
  </cols>
  <sheetData>
    <row r="1">
      <c r="A1" s="19" t="s">
        <v>155</v>
      </c>
      <c r="B1" s="15"/>
      <c r="C1" s="20" t="s">
        <v>156</v>
      </c>
      <c r="L1" s="21"/>
      <c r="M1" s="22"/>
      <c r="N1" s="22"/>
      <c r="O1" s="22"/>
    </row>
    <row r="2">
      <c r="A2" s="15"/>
      <c r="B2" s="15"/>
      <c r="E2" s="3">
        <v>0.0</v>
      </c>
      <c r="F2" s="3">
        <v>2.0</v>
      </c>
      <c r="G2" s="3">
        <v>4.0</v>
      </c>
      <c r="L2" s="22"/>
      <c r="M2" s="22"/>
      <c r="N2" s="22"/>
      <c r="O2" s="22"/>
    </row>
    <row r="3">
      <c r="A3" s="15"/>
      <c r="B3" s="15"/>
      <c r="C3" s="23" t="s">
        <v>157</v>
      </c>
      <c r="D3" s="23" t="s">
        <v>158</v>
      </c>
      <c r="E3" s="23" t="s">
        <v>159</v>
      </c>
      <c r="F3" s="23" t="s">
        <v>160</v>
      </c>
      <c r="G3" s="23" t="s">
        <v>161</v>
      </c>
      <c r="J3" s="10" t="s">
        <v>138</v>
      </c>
      <c r="K3" s="24">
        <f>sum(G5:G7)</f>
        <v>0</v>
      </c>
      <c r="L3" s="25"/>
      <c r="M3" s="5" t="s">
        <v>131</v>
      </c>
      <c r="N3" s="5" t="s">
        <v>132</v>
      </c>
      <c r="O3" s="5" t="s">
        <v>133</v>
      </c>
      <c r="P3" s="5" t="s">
        <v>134</v>
      </c>
      <c r="Q3" s="6" t="s">
        <v>135</v>
      </c>
    </row>
    <row r="4">
      <c r="A4" s="26" t="s">
        <v>162</v>
      </c>
      <c r="B4" s="23" t="s">
        <v>157</v>
      </c>
      <c r="C4" s="27">
        <f>countifs(RealTimeMap_Functional, "i like it", RealTimeMap_Dysfunctional, "i like it")</f>
        <v>0</v>
      </c>
      <c r="D4" s="28">
        <f>countifs(RealTimeMap_Functional, "i like it", RealTimeMap_Dysfunctional, "i expect it")</f>
        <v>5</v>
      </c>
      <c r="E4" s="28">
        <f>COUNTIFS(RealTimeMap_Functional, "i like it", RealTimeMap_Dysfunctional, "i am neutral")</f>
        <v>19</v>
      </c>
      <c r="F4" s="28">
        <f>countifs(RealTimeMap_Functional, "i like it", RealTimeMap_Dysfunctional, "i can tolerate it")</f>
        <v>15</v>
      </c>
      <c r="G4" s="29">
        <f>COUNTIFS(RealTimeMap_Functional, "i like it", RealTimeMap_Dysfunctional, "i dislike it")</f>
        <v>12</v>
      </c>
      <c r="J4" s="12" t="s">
        <v>140</v>
      </c>
      <c r="K4" s="24">
        <f>G4</f>
        <v>12</v>
      </c>
      <c r="M4" s="7" t="s">
        <v>136</v>
      </c>
      <c r="N4" s="8">
        <v>2.44</v>
      </c>
      <c r="O4" s="8">
        <v>3.76</v>
      </c>
      <c r="P4" s="8">
        <v>6.87</v>
      </c>
      <c r="Q4" s="9" t="s">
        <v>137</v>
      </c>
      <c r="S4" s="10" t="s">
        <v>138</v>
      </c>
    </row>
    <row r="5">
      <c r="B5" s="23" t="s">
        <v>158</v>
      </c>
      <c r="C5" s="30">
        <f>CountIfs(RealTimeMap_Functional, "I expect it",RealTimeMap_Dysfunctional, "I like it")</f>
        <v>0</v>
      </c>
      <c r="D5" s="27">
        <f>CountIfs(RealTimeMap_Functional, "I expect it",RealTimeMap_Dysfunctional, "I am neutral")</f>
        <v>2</v>
      </c>
      <c r="E5" s="31">
        <f>CountIfs(RealTimeMap_Functional, "I expect it",RealTimeMap_Dysfunctional, "I am neutral")</f>
        <v>2</v>
      </c>
      <c r="F5" s="31">
        <f>CountIfs(RealTimeMap_Functional, "I can tolerate it",RealTimeMap_Dysfunctional, "I dislike it")</f>
        <v>0</v>
      </c>
      <c r="G5" s="32">
        <f>CountIfs(RealTimeMap_Functional, "I can tolerate it",RealTimeMap_Dysfunctional, "I dislike it")</f>
        <v>0</v>
      </c>
      <c r="J5" s="13" t="s">
        <v>137</v>
      </c>
      <c r="K5" s="24">
        <f>sum(D4:F4)</f>
        <v>39</v>
      </c>
      <c r="M5" s="7" t="s">
        <v>139</v>
      </c>
      <c r="N5" s="8">
        <v>1.24</v>
      </c>
      <c r="O5" s="8">
        <v>3.87</v>
      </c>
      <c r="P5" s="8">
        <v>7.89</v>
      </c>
      <c r="Q5" s="11" t="s">
        <v>140</v>
      </c>
      <c r="S5" s="12" t="s">
        <v>140</v>
      </c>
    </row>
    <row r="6">
      <c r="B6" s="23" t="s">
        <v>159</v>
      </c>
      <c r="C6" s="30">
        <f>COUNTIFS(RealTimeMap_Functional,"I am neutral",RealTimeMap_Dysfunctional,"I like it")</f>
        <v>1</v>
      </c>
      <c r="D6" s="30">
        <f>COUNTIFS(RealTimeMap_Functional,"I expect it",RealTimeMap_Dysfunctional,"I expect it")</f>
        <v>0</v>
      </c>
      <c r="E6" s="31">
        <f>COUNTIFS(RealTimeMap_Functional,"I am neutral",RealTimeMap_Dysfunctional,"I am neutral")</f>
        <v>2</v>
      </c>
      <c r="F6" s="31">
        <f>COUNTIFS(RealTimeMap_Functional,"I am Neutral",RealTimeMap_Dysfunctional,"I can tolerate it")</f>
        <v>0</v>
      </c>
      <c r="G6" s="32">
        <f>CountIfs(RealTimeMap_Functional, "I am Neutral",RealTimeMap_Dysfunctional, "I dislike it")</f>
        <v>0</v>
      </c>
      <c r="J6" s="15" t="s">
        <v>143</v>
      </c>
      <c r="K6" s="24">
        <f>sum(C5:F6,D7:E7)</f>
        <v>8</v>
      </c>
      <c r="M6" s="7" t="s">
        <v>141</v>
      </c>
      <c r="N6" s="8">
        <v>2.92</v>
      </c>
      <c r="O6" s="8">
        <v>2.58</v>
      </c>
      <c r="P6" s="8">
        <v>5.14</v>
      </c>
      <c r="Q6" s="9" t="s">
        <v>137</v>
      </c>
      <c r="S6" s="13" t="s">
        <v>137</v>
      </c>
    </row>
    <row r="7">
      <c r="B7" s="23" t="s">
        <v>160</v>
      </c>
      <c r="C7" s="30">
        <f>COUNTIFS( RealTimeMap_Functional,"I Can Tolerate It",RealTimeMap_Dysfunctional, "I Like it")</f>
        <v>0</v>
      </c>
      <c r="D7" s="30">
        <f>COUNTIFS(RealTimeMap_Functional,"I Can Tolerate It",RealTimeMap_Dysfunctional, "I Expect It")</f>
        <v>0</v>
      </c>
      <c r="E7" s="30">
        <f>COUNTIFS(RealTimeMap_Functional,"I Can Tolerate It",RealTimeMap_Dysfunctional, "I am Neutral")</f>
        <v>1</v>
      </c>
      <c r="F7" s="30">
        <f>COUNTIFS(RealTimeMap_Functional,"I Can Tolerate It",RealTimeMap_Dysfunctional, "I Can Tolerate It")</f>
        <v>0</v>
      </c>
      <c r="G7" s="32">
        <f>COUNTIFS(RealTimeMap_Functional,"I Can Tolerate It",RealTimeMap_Dysfunctional, "I Dislike It")</f>
        <v>0</v>
      </c>
      <c r="J7" s="16" t="s">
        <v>145</v>
      </c>
      <c r="K7" s="3">
        <v>0.0</v>
      </c>
      <c r="M7" s="7" t="s">
        <v>142</v>
      </c>
      <c r="N7" s="8">
        <v>3.16</v>
      </c>
      <c r="O7" s="14">
        <v>2.52</v>
      </c>
      <c r="P7" s="8">
        <v>4.05</v>
      </c>
      <c r="Q7" s="9" t="s">
        <v>137</v>
      </c>
      <c r="S7" s="15" t="s">
        <v>143</v>
      </c>
    </row>
    <row r="8">
      <c r="B8" s="23" t="s">
        <v>161</v>
      </c>
      <c r="C8" s="30">
        <f>countifs(RealTimeMap_Functional,"I dislike it",RealTimeMap_Dysfunctional,"I like it")</f>
        <v>0</v>
      </c>
      <c r="D8" s="30">
        <f>countifs(RealTimeMap_Functional,"I dislike it",RealTimeMap_Dysfunctional,"I expect it")</f>
        <v>0</v>
      </c>
      <c r="E8" s="30">
        <f>countifs(RealTimeMap_Functional,"I dislike it",RealTimeMap_Dysfunctional,"I am neutral")</f>
        <v>0</v>
      </c>
      <c r="F8" s="30">
        <f>countifs(RealTimeMap_Functional,"I dislike it",RealTimeMap_Dysfunctional,"I can tolerate it")</f>
        <v>0</v>
      </c>
      <c r="G8" s="27">
        <f>countifs(RealTimeMap_Functional,"I dislike it",RealTimeMap_Dysfunctional,"I dislike it")</f>
        <v>0</v>
      </c>
      <c r="J8" s="17" t="s">
        <v>147</v>
      </c>
      <c r="K8" s="3">
        <v>0.0</v>
      </c>
      <c r="M8" s="7" t="s">
        <v>144</v>
      </c>
      <c r="N8" s="8">
        <v>2.55</v>
      </c>
      <c r="O8" s="8">
        <v>3.16</v>
      </c>
      <c r="P8" s="8">
        <v>6.05</v>
      </c>
      <c r="Q8" s="9" t="s">
        <v>137</v>
      </c>
      <c r="S8" s="16" t="s">
        <v>145</v>
      </c>
    </row>
    <row r="9">
      <c r="M9" s="7" t="s">
        <v>146</v>
      </c>
      <c r="N9" s="8">
        <v>2.49</v>
      </c>
      <c r="O9" s="8">
        <v>3.11</v>
      </c>
      <c r="P9" s="8">
        <v>6.0</v>
      </c>
      <c r="Q9" s="9" t="s">
        <v>137</v>
      </c>
      <c r="S9" s="17" t="s">
        <v>147</v>
      </c>
    </row>
    <row r="10">
      <c r="A10" s="33" t="s">
        <v>163</v>
      </c>
      <c r="M10" s="7" t="s">
        <v>148</v>
      </c>
      <c r="N10" s="8">
        <v>2.07</v>
      </c>
      <c r="O10" s="8">
        <v>3.5</v>
      </c>
      <c r="P10" s="8">
        <v>6.64</v>
      </c>
      <c r="Q10" s="9" t="s">
        <v>137</v>
      </c>
    </row>
    <row r="11">
      <c r="C11" s="20" t="s">
        <v>156</v>
      </c>
      <c r="M11" s="7" t="s">
        <v>149</v>
      </c>
      <c r="N11" s="8">
        <v>2.23</v>
      </c>
      <c r="O11" s="8">
        <v>3.89</v>
      </c>
      <c r="P11" s="8">
        <v>6.47</v>
      </c>
      <c r="Q11" s="9" t="s">
        <v>137</v>
      </c>
    </row>
    <row r="12">
      <c r="A12" s="15"/>
      <c r="B12" s="15"/>
      <c r="C12" s="23" t="s">
        <v>157</v>
      </c>
      <c r="D12" s="23" t="s">
        <v>158</v>
      </c>
      <c r="E12" s="23" t="s">
        <v>159</v>
      </c>
      <c r="F12" s="23" t="s">
        <v>160</v>
      </c>
      <c r="G12" s="23" t="s">
        <v>161</v>
      </c>
      <c r="J12" s="10" t="s">
        <v>138</v>
      </c>
      <c r="K12" s="24">
        <f>sum(G14:G16)</f>
        <v>0</v>
      </c>
      <c r="M12" s="7" t="s">
        <v>150</v>
      </c>
      <c r="N12" s="14">
        <v>3.06</v>
      </c>
      <c r="O12" s="8">
        <v>2.35</v>
      </c>
      <c r="P12" s="8">
        <v>5.12</v>
      </c>
      <c r="Q12" s="9" t="s">
        <v>137</v>
      </c>
    </row>
    <row r="13">
      <c r="A13" s="26" t="s">
        <v>162</v>
      </c>
      <c r="B13" s="23" t="s">
        <v>157</v>
      </c>
      <c r="C13" s="27">
        <f>countifs(MapAvailableTrails_Functional, "i like it", MapAvailableTrails_Dysfunctional, "i like it")</f>
        <v>1</v>
      </c>
      <c r="D13" s="28">
        <f>countifs(MapAvailableTrails_Functional, "i like it", MapAvailableTrails_Dysfunctional, "i expect it")</f>
        <v>2</v>
      </c>
      <c r="E13" s="28">
        <f>COUNTIFS(MapAvailableTrails_Functional, "i like it", MapAvailableTrails_Dysfunctional, "i am neutral")</f>
        <v>6</v>
      </c>
      <c r="F13" s="28">
        <f>countifs(MapAvailableTrails_Functional, "i like it", MapAvailableTrails_Dysfunctional, "i can tolerate it")</f>
        <v>10</v>
      </c>
      <c r="G13" s="29">
        <f>COUNTIFS(MapAvailableTrails_Functional, "i like it", MapAvailableTrails_Dysfunctional, "i dislike it")</f>
        <v>26</v>
      </c>
      <c r="J13" s="12" t="s">
        <v>140</v>
      </c>
      <c r="K13" s="24">
        <f>G13</f>
        <v>26</v>
      </c>
      <c r="M13" s="7" t="s">
        <v>151</v>
      </c>
      <c r="N13" s="8">
        <v>2.49</v>
      </c>
      <c r="O13" s="8">
        <v>3.45</v>
      </c>
      <c r="P13" s="8">
        <v>6.09</v>
      </c>
      <c r="Q13" s="9" t="s">
        <v>137</v>
      </c>
    </row>
    <row r="14">
      <c r="B14" s="23" t="s">
        <v>158</v>
      </c>
      <c r="C14" s="30">
        <f>CountIfs(MapAvailableTrails_Functional, "I expect it",MapAvailableTrails_Dysfunctional, "I like it")</f>
        <v>0</v>
      </c>
      <c r="D14" s="27">
        <f>CountIfs(MapAvailableTrails_Functional, "I expect it",MapAvailableTrails_Dysfunctional, "I am neutral")</f>
        <v>3</v>
      </c>
      <c r="E14" s="31">
        <f>CountIfs(MapAvailableTrails_Functional, "I expect it",MapAvailableTrails_Dysfunctional, "I am neutral")</f>
        <v>3</v>
      </c>
      <c r="F14" s="31">
        <f>CountIfs(MapAvailableTrails_Functional, "I can tolerate it",MapAvailableTrails_Dysfunctional, "I dislike it")</f>
        <v>0</v>
      </c>
      <c r="G14" s="32">
        <f>CountIfs(MapAvailableTrails_Functional, "I can tolerate it",MapAvailableTrails_Dysfunctional, "I dislike it")</f>
        <v>0</v>
      </c>
      <c r="J14" s="13" t="s">
        <v>137</v>
      </c>
      <c r="K14" s="24">
        <f>sum(D13:F13)</f>
        <v>18</v>
      </c>
      <c r="M14" s="7" t="s">
        <v>152</v>
      </c>
      <c r="N14" s="8">
        <v>3.82</v>
      </c>
      <c r="O14" s="8">
        <v>2.0</v>
      </c>
      <c r="P14" s="8">
        <v>3.67</v>
      </c>
      <c r="Q14" s="9" t="s">
        <v>137</v>
      </c>
    </row>
    <row r="15">
      <c r="B15" s="23" t="s">
        <v>159</v>
      </c>
      <c r="C15" s="30">
        <f>COUNTIFS(MapAvailableTrails_Functional,"I am neutral",MapAvailableTrails_Dysfunctional,"I like it")</f>
        <v>0</v>
      </c>
      <c r="D15" s="30">
        <f>COUNTIFS(MapAvailableTrails_Functional,"I expect it",MapAvailableTrails_Dysfunctional,"I expect it")</f>
        <v>0</v>
      </c>
      <c r="E15" s="31">
        <f>COUNTIFS(MapAvailableTrails_Functional,"I am neutral",MapAvailableTrails_Dysfunctional,"I am neutral")</f>
        <v>0</v>
      </c>
      <c r="F15" s="31">
        <f>COUNTIFS(MapAvailableTrails_Functional,"I am Neutral",MapAvailableTrails_Dysfunctional,"I can tolerate it")</f>
        <v>0</v>
      </c>
      <c r="G15" s="32">
        <f>CountIfs(MapAvailableTrails_Functional, "I am Neutral",MapAvailableTrails_Dysfunctional, "I dislike it")</f>
        <v>0</v>
      </c>
      <c r="J15" s="15" t="s">
        <v>143</v>
      </c>
      <c r="K15" s="24">
        <f>sum(C14:F15,D16:E16)</f>
        <v>6</v>
      </c>
      <c r="M15" s="7" t="s">
        <v>153</v>
      </c>
      <c r="N15" s="14">
        <v>3.0</v>
      </c>
      <c r="O15" s="8">
        <v>3.06</v>
      </c>
      <c r="P15" s="8">
        <v>4.61</v>
      </c>
      <c r="Q15" s="9" t="s">
        <v>137</v>
      </c>
    </row>
    <row r="16">
      <c r="B16" s="23" t="s">
        <v>160</v>
      </c>
      <c r="C16" s="30">
        <f>COUNTIFS(MapAvailableTrails_Functional,"I Can Tolerate It",MapAvailableTrails_Dysfunctional, "I Like it")</f>
        <v>0</v>
      </c>
      <c r="D16" s="30">
        <f>COUNTIFS(MapAvailableTrails_Functional,"I Can Tolerate It",MapAvailableTrails_Dysfunctional, "I Expect It")</f>
        <v>0</v>
      </c>
      <c r="E16" s="30">
        <f>COUNTIFS(MapAvailableTrails_Functional,"I Can Tolerate It",MapAvailableTrails_Dysfunctional, "I am Neutral")</f>
        <v>0</v>
      </c>
      <c r="F16" s="30">
        <f>COUNTIFS(MapAvailableTrails_Functional,"I Can Tolerate It",MapAvailableTrails_Dysfunctional, "I Can Tolerate It")</f>
        <v>0</v>
      </c>
      <c r="G16" s="32">
        <f>COUNTIFS(MapAvailableTrails_Functional,"I Can Tolerate It",MapAvailableTrails_Dysfunctional, "I Dislike It")</f>
        <v>0</v>
      </c>
      <c r="J16" s="16" t="s">
        <v>145</v>
      </c>
      <c r="K16" s="3">
        <v>0.0</v>
      </c>
      <c r="M16" s="7" t="s">
        <v>154</v>
      </c>
      <c r="N16" s="8">
        <v>1.21</v>
      </c>
      <c r="O16" s="8">
        <v>3.82</v>
      </c>
      <c r="P16" s="8">
        <v>7.68</v>
      </c>
      <c r="Q16" s="9" t="s">
        <v>137</v>
      </c>
    </row>
    <row r="17">
      <c r="B17" s="23" t="s">
        <v>161</v>
      </c>
      <c r="C17" s="30">
        <f>countifs(MapAvailableTrails_Functional,"I dislike it",MapAvailableTrails_Dysfunctional,"I like it")</f>
        <v>0</v>
      </c>
      <c r="D17" s="30">
        <f>countifs(MapAvailableTrails_Functional,"I dislike it",MapAvailableTrails_Dysfunctional,"I expect it")</f>
        <v>0</v>
      </c>
      <c r="E17" s="30">
        <f>countifs(MapAvailableTrails_Functional,"I dislike it",MapAvailableTrails_Dysfunctional,"I am neutral")</f>
        <v>0</v>
      </c>
      <c r="F17" s="30">
        <f>countifs(MapAvailableTrails_Functional,"I dislike it",MapAvailableTrails_Dysfunctional,"I can tolerate it")</f>
        <v>0</v>
      </c>
      <c r="G17" s="27">
        <f>countifs(MapAvailableTrails_Functional,"I dislike it",MapAvailableTrails_Dysfunctional,"I dislike it")</f>
        <v>0</v>
      </c>
      <c r="J17" s="17" t="s">
        <v>147</v>
      </c>
      <c r="K17" s="3">
        <v>0.0</v>
      </c>
      <c r="M17" s="15"/>
      <c r="N17" s="15"/>
      <c r="O17" s="15"/>
    </row>
    <row r="18">
      <c r="M18" s="15"/>
      <c r="N18" s="15"/>
      <c r="O18" s="15"/>
    </row>
    <row r="19">
      <c r="A19" s="33" t="s">
        <v>164</v>
      </c>
      <c r="M19" s="15"/>
      <c r="N19" s="15"/>
      <c r="O19" s="15"/>
    </row>
    <row r="20">
      <c r="C20" s="20" t="s">
        <v>156</v>
      </c>
      <c r="M20" s="15"/>
      <c r="N20" s="22"/>
      <c r="O20" s="22"/>
    </row>
    <row r="21">
      <c r="A21" s="15"/>
      <c r="B21" s="15"/>
      <c r="C21" s="23" t="s">
        <v>157</v>
      </c>
      <c r="D21" s="23" t="s">
        <v>158</v>
      </c>
      <c r="E21" s="23" t="s">
        <v>159</v>
      </c>
      <c r="F21" s="23" t="s">
        <v>160</v>
      </c>
      <c r="G21" s="23" t="s">
        <v>161</v>
      </c>
      <c r="J21" s="10" t="s">
        <v>138</v>
      </c>
      <c r="K21" s="24">
        <f>sum(G23:G25)</f>
        <v>0</v>
      </c>
      <c r="M21" s="15"/>
      <c r="N21" s="15"/>
      <c r="O21" s="15"/>
    </row>
    <row r="22">
      <c r="A22" s="26" t="s">
        <v>162</v>
      </c>
      <c r="B22" s="23" t="s">
        <v>157</v>
      </c>
      <c r="C22" s="27">
        <f>countifs(Elevation_Functional, "i like it", Elevation_Dysfunctional, "i like it")</f>
        <v>1</v>
      </c>
      <c r="D22" s="28">
        <f>countifs(Elevation_Functional, "i like it", Elevation_Dysfunctional, "i expect it")</f>
        <v>1</v>
      </c>
      <c r="E22" s="28">
        <f>COUNTIFS(Elevation_Functional, "i like it", Elevation_Dysfunctional, "i am neutral")</f>
        <v>22</v>
      </c>
      <c r="F22" s="28">
        <f>countifs(Elevation_Functional, "i like it", Elevation_Dysfunctional, "i can tolerate it")</f>
        <v>22</v>
      </c>
      <c r="G22" s="29">
        <f>COUNTIFS(Elevation_Functional, "i like it", Elevation_Dysfunctional, "i dislike it")</f>
        <v>2</v>
      </c>
      <c r="J22" s="12" t="s">
        <v>140</v>
      </c>
      <c r="K22" s="24">
        <f>G22</f>
        <v>2</v>
      </c>
      <c r="M22" s="15"/>
      <c r="N22" s="15"/>
      <c r="O22" s="15"/>
    </row>
    <row r="23">
      <c r="B23" s="23" t="s">
        <v>158</v>
      </c>
      <c r="C23" s="30">
        <f>CountIfs(Elevation_Functional, "I expect it",Elevation_Dysfunctional, "I like it")</f>
        <v>0</v>
      </c>
      <c r="D23" s="27">
        <f>CountIfs(Elevation_Functional, "I expect it",Elevation_Dysfunctional, "I am neutral")</f>
        <v>2</v>
      </c>
      <c r="E23" s="31">
        <f>CountIfs(Elevation_Functional, "I expect it",Elevation_Dysfunctional, "I am neutral")</f>
        <v>2</v>
      </c>
      <c r="F23" s="31">
        <f>CountIfs(Elevation_Functional, "I can tolerate it",Elevation_Dysfunctional, "I dislike it")</f>
        <v>0</v>
      </c>
      <c r="G23" s="32">
        <f>CountIfs(Elevation_Functional, "I can tolerate it",Elevation_Dysfunctional, "I dislike it")</f>
        <v>0</v>
      </c>
      <c r="J23" s="13" t="s">
        <v>137</v>
      </c>
      <c r="K23" s="24">
        <f>sum(D22:F22)</f>
        <v>45</v>
      </c>
      <c r="M23" s="15"/>
      <c r="N23" s="15"/>
      <c r="O23" s="15"/>
    </row>
    <row r="24">
      <c r="B24" s="23" t="s">
        <v>159</v>
      </c>
      <c r="C24" s="30">
        <f>COUNTIFS(Elevation_Functional,"I am neutral",Elevation_Dysfunctional,"I like it")</f>
        <v>0</v>
      </c>
      <c r="D24" s="30">
        <f>COUNTIFS(Elevation_Functional,"I expect it",Elevation_Dysfunctional,"I expect it")</f>
        <v>0</v>
      </c>
      <c r="E24" s="31">
        <f>COUNTIFS(Elevation_Functional,"I am neutral",Elevation_Dysfunctional,"I am neutral")</f>
        <v>20</v>
      </c>
      <c r="F24" s="31">
        <f>COUNTIFS(Elevation_Functional,"I am Neutral",Elevation_Dysfunctional,"I can tolerate it")</f>
        <v>5</v>
      </c>
      <c r="G24" s="32">
        <f>CountIfs(Elevation_Functional, "I am Neutral",Elevation_Dysfunctional, "I dislike it")</f>
        <v>0</v>
      </c>
      <c r="J24" s="15" t="s">
        <v>143</v>
      </c>
      <c r="K24" s="24">
        <f>sum(C23:F24,D25:E25)</f>
        <v>29</v>
      </c>
      <c r="M24" s="15"/>
      <c r="N24" s="15"/>
      <c r="O24" s="15"/>
    </row>
    <row r="25">
      <c r="B25" s="23" t="s">
        <v>160</v>
      </c>
      <c r="C25" s="30">
        <f>COUNTIFS(Elevation_Functional,"I Can Tolerate It",Elevation_Dysfunctional, "I Like it")</f>
        <v>0</v>
      </c>
      <c r="D25" s="30">
        <f>COUNTIFS(Elevation_Functional,"I Can Tolerate It",Elevation_Dysfunctional, "I Expect It")</f>
        <v>0</v>
      </c>
      <c r="E25" s="30">
        <f>COUNTIFS(Elevation_Functional,"I Can Tolerate It",Elevation_Dysfunctional, "I am Neutral")</f>
        <v>0</v>
      </c>
      <c r="F25" s="30">
        <f>COUNTIFS(Elevation_Functional,"I Can Tolerate It",Elevation_Dysfunctional, "I Can Tolerate It")</f>
        <v>1</v>
      </c>
      <c r="G25" s="32">
        <f>COUNTIFS(Elevation_Functional,"I Can Tolerate It",Elevation_Dysfunctional, "I Dislike It")</f>
        <v>0</v>
      </c>
      <c r="J25" s="16" t="s">
        <v>145</v>
      </c>
      <c r="K25" s="3">
        <v>0.0</v>
      </c>
      <c r="M25" s="15"/>
      <c r="N25" s="15"/>
      <c r="O25" s="15"/>
    </row>
    <row r="26">
      <c r="B26" s="23" t="s">
        <v>161</v>
      </c>
      <c r="C26" s="30">
        <f>countifs(Elevation_Functional,"I dislike it",Elevation_Dysfunctional,"I like it")</f>
        <v>0</v>
      </c>
      <c r="D26" s="30">
        <f>countifs(Elevation_Functional,"I dislike it",Elevation_Dysfunctional,"I expect it")</f>
        <v>0</v>
      </c>
      <c r="E26" s="30">
        <f>countifs(Elevation_Functional,"I dislike it",Elevation_Dysfunctional,"I am neutral")</f>
        <v>0</v>
      </c>
      <c r="F26" s="30">
        <f>countifs(Elevation_Functional,"I dislike it",Elevation_Dysfunctional,"I can tolerate it")</f>
        <v>0</v>
      </c>
      <c r="G26" s="27">
        <f>countifs(Elevation_Functional,"I dislike it",Elevation_Dysfunctional,"I dislike it")</f>
        <v>0</v>
      </c>
      <c r="J26" s="17" t="s">
        <v>147</v>
      </c>
      <c r="K26" s="3">
        <v>0.0</v>
      </c>
      <c r="M26" s="15"/>
      <c r="N26" s="15"/>
      <c r="O26" s="15"/>
    </row>
    <row r="27">
      <c r="M27" s="15"/>
      <c r="N27" s="15"/>
      <c r="O27" s="15"/>
    </row>
    <row r="28">
      <c r="A28" s="33" t="s">
        <v>165</v>
      </c>
      <c r="M28" s="15"/>
      <c r="N28" s="15"/>
      <c r="O28" s="15"/>
    </row>
    <row r="29">
      <c r="C29" s="20" t="s">
        <v>156</v>
      </c>
      <c r="M29" s="15"/>
      <c r="N29" s="22"/>
      <c r="O29" s="22"/>
    </row>
    <row r="30">
      <c r="A30" s="15"/>
      <c r="B30" s="15"/>
      <c r="C30" s="23" t="s">
        <v>157</v>
      </c>
      <c r="D30" s="23" t="s">
        <v>158</v>
      </c>
      <c r="E30" s="23" t="s">
        <v>159</v>
      </c>
      <c r="F30" s="23" t="s">
        <v>160</v>
      </c>
      <c r="G30" s="23" t="s">
        <v>161</v>
      </c>
      <c r="J30" s="10" t="s">
        <v>138</v>
      </c>
      <c r="K30" s="24">
        <f>sum(G32:G34)</f>
        <v>0</v>
      </c>
      <c r="M30" s="15"/>
      <c r="N30" s="15"/>
      <c r="O30" s="15"/>
    </row>
    <row r="31">
      <c r="A31" s="26" t="s">
        <v>162</v>
      </c>
      <c r="B31" s="23" t="s">
        <v>157</v>
      </c>
      <c r="C31" s="27">
        <f>countifs(ViewHikers_Functional, "i like it", ViewHikers_Dysfunctional, "i like it")</f>
        <v>0</v>
      </c>
      <c r="D31" s="28">
        <f>countifs(ViewHikers_Functional, "i like it", ViewHikers_Dysfunctional, "i expect it")</f>
        <v>2</v>
      </c>
      <c r="E31" s="28">
        <f>COUNTIFS(ViewHikers_Functional, "i like it", ViewHikers_Dysfunctional, "i am neutral")</f>
        <v>18</v>
      </c>
      <c r="F31" s="28">
        <f>countifs(ViewHikers_Functional, "i like it", ViewHikers_Dysfunctional, "i can tolerate it")</f>
        <v>18</v>
      </c>
      <c r="G31" s="29">
        <f>COUNTIFS(ViewHikers_Functional, "i like it", ViewHikers_Dysfunctional, "i dislike it")</f>
        <v>3</v>
      </c>
      <c r="J31" s="12" t="s">
        <v>140</v>
      </c>
      <c r="K31" s="24">
        <f>G31</f>
        <v>3</v>
      </c>
      <c r="M31" s="15"/>
      <c r="N31" s="15"/>
      <c r="O31" s="15"/>
    </row>
    <row r="32">
      <c r="B32" s="23" t="s">
        <v>158</v>
      </c>
      <c r="C32" s="30">
        <f>CountIfs(ViewHikers_Functional, "I expect it",ViewHikers_Dysfunctional, "I like it")</f>
        <v>0</v>
      </c>
      <c r="D32" s="27">
        <f>CountIfs(ViewHikers_Functional, "I expect it",ViewHikers_Dysfunctional, "I am neutral")</f>
        <v>0</v>
      </c>
      <c r="E32" s="31">
        <f>CountIfs(ViewHikers_Functional, "I expect it",ViewHikers_Dysfunctional, "I am neutral")</f>
        <v>0</v>
      </c>
      <c r="F32" s="31">
        <f>CountIfs(ViewHikers_Functional, "I can tolerate it",ViewHikers_Dysfunctional, "I dislike it")</f>
        <v>0</v>
      </c>
      <c r="G32" s="32">
        <f>CountIfs(ViewHikers_Functional, "I can tolerate it",ViewHikers_Functional, "I dislike it")</f>
        <v>0</v>
      </c>
      <c r="J32" s="13" t="s">
        <v>137</v>
      </c>
      <c r="K32" s="24">
        <f>sum(D31:F31)</f>
        <v>38</v>
      </c>
      <c r="M32" s="15"/>
      <c r="N32" s="15"/>
      <c r="O32" s="15"/>
    </row>
    <row r="33">
      <c r="B33" s="23" t="s">
        <v>159</v>
      </c>
      <c r="C33" s="30">
        <f>COUNTIFS(ViewHikers_Functional,"I am neutral",ViewHikers_Dysfunctional,"I like it")</f>
        <v>2</v>
      </c>
      <c r="D33" s="30">
        <f>COUNTIFS(ViewHikers_Functional,"I expect it",ViewHikers_Dysfunctional,"I expect it")</f>
        <v>0</v>
      </c>
      <c r="E33" s="31">
        <f>COUNTIFS(ViewHikers_Functional,"I am neutral",ViewHikers_Dysfunctional,"I am neutral")</f>
        <v>21</v>
      </c>
      <c r="F33" s="31">
        <f>COUNTIFS(ViewHikers_Functional,"I am Neutral",ViewHikers_Dysfunctional,"I can tolerate it")</f>
        <v>2</v>
      </c>
      <c r="G33" s="32">
        <f>CountIfs(ViewHikers_Functional, "I am Neutral",ViewHikers_Dysfunctional, "I dislike it")</f>
        <v>0</v>
      </c>
      <c r="J33" s="15" t="s">
        <v>143</v>
      </c>
      <c r="K33" s="24">
        <f>sum(C32:F33,D34:E34)</f>
        <v>27</v>
      </c>
      <c r="M33" s="15"/>
      <c r="N33" s="15"/>
      <c r="O33" s="15"/>
    </row>
    <row r="34">
      <c r="B34" s="23" t="s">
        <v>160</v>
      </c>
      <c r="C34" s="30">
        <f>COUNTIFS(ViewHikers_Functional,"I Can Tolerate It",ViewHikers_Dysfunctional, "I Like it")</f>
        <v>0</v>
      </c>
      <c r="D34" s="30">
        <f>COUNTIFS(ViewHikers_Functional,"I Can Tolerate It",ViewHikers_Dysfunctional, "I Expect It")</f>
        <v>1</v>
      </c>
      <c r="E34" s="30">
        <f>COUNTIFS(ViewHikers_Functional,"I Can Tolerate It",ViewHikers_Dysfunctional, "I am Neutral")</f>
        <v>1</v>
      </c>
      <c r="F34" s="30">
        <f>COUNTIFS(ViewHikers_Functional,"I Can Tolerate It",ViewHikers_Dysfunctional, "I Can Tolerate It")</f>
        <v>0</v>
      </c>
      <c r="G34" s="32">
        <f>COUNTIFS(ViewHikers_Functional,"I Can Tolerate It",ViewHikers_Dysfunctional, "I Dislike It")</f>
        <v>0</v>
      </c>
      <c r="J34" s="16" t="s">
        <v>145</v>
      </c>
      <c r="K34" s="3">
        <v>0.0</v>
      </c>
      <c r="M34" s="15"/>
      <c r="N34" s="15"/>
      <c r="O34" s="15"/>
    </row>
    <row r="35">
      <c r="B35" s="23" t="s">
        <v>161</v>
      </c>
      <c r="C35" s="30">
        <f>countifs(ViewHikers_Functional,"I dislike it",ViewHikers_Dysfunctional,"I like it")</f>
        <v>10</v>
      </c>
      <c r="D35" s="30">
        <f>countifs(ViewHikers_Functional,"I dislike it",ViewHikers_Dysfunctional,"I expect it")</f>
        <v>0</v>
      </c>
      <c r="E35" s="30">
        <f>countifs(ViewHikers_Functional,"I dislike it",ViewHikers_Dysfunctional,"I am neutral")</f>
        <v>1</v>
      </c>
      <c r="F35" s="30">
        <f>countifs(ViewHikers_Functional,"I dislike it",ViewHikers_Dysfunctional,"I can tolerate it")</f>
        <v>0</v>
      </c>
      <c r="G35" s="27">
        <f>countifs(ViewHikers_Functional,"I dislike it",ViewHikers_Dysfunctional,"I dislike it")</f>
        <v>2</v>
      </c>
      <c r="J35" s="17" t="s">
        <v>147</v>
      </c>
      <c r="K35" s="3">
        <v>0.0</v>
      </c>
      <c r="M35" s="15"/>
      <c r="N35" s="15"/>
      <c r="O35" s="15"/>
    </row>
    <row r="36">
      <c r="M36" s="15"/>
      <c r="N36" s="15"/>
      <c r="O36" s="15"/>
    </row>
    <row r="37">
      <c r="A37" s="33" t="s">
        <v>166</v>
      </c>
      <c r="M37" s="15"/>
      <c r="N37" s="15"/>
      <c r="O37" s="15"/>
    </row>
    <row r="38">
      <c r="C38" s="20" t="s">
        <v>156</v>
      </c>
      <c r="M38" s="22"/>
      <c r="N38" s="22"/>
      <c r="O38" s="22"/>
    </row>
    <row r="39">
      <c r="A39" s="15"/>
      <c r="B39" s="15"/>
      <c r="C39" s="23" t="s">
        <v>157</v>
      </c>
      <c r="D39" s="23" t="s">
        <v>158</v>
      </c>
      <c r="E39" s="23" t="s">
        <v>159</v>
      </c>
      <c r="F39" s="23" t="s">
        <v>160</v>
      </c>
      <c r="G39" s="23" t="s">
        <v>161</v>
      </c>
      <c r="J39" s="10" t="s">
        <v>138</v>
      </c>
      <c r="K39" s="24">
        <f>sum(G41:G43)</f>
        <v>0</v>
      </c>
      <c r="M39" s="15"/>
      <c r="N39" s="15"/>
      <c r="O39" s="15"/>
    </row>
    <row r="40">
      <c r="A40" s="26" t="s">
        <v>162</v>
      </c>
      <c r="B40" s="23" t="s">
        <v>157</v>
      </c>
      <c r="C40" s="27">
        <f>countifs(Rating_Functional, "i like it", Ratings_Dysfunctional, "i like it")</f>
        <v>2</v>
      </c>
      <c r="D40" s="28">
        <f>countifs(Rating_Functional, "i like it", Ratings_Dysfunctional, "i expect it")</f>
        <v>3</v>
      </c>
      <c r="E40" s="28">
        <f>COUNTIFS(Rating_Functional, "i like it", Ratings_Dysfunctional, "i am neutral")</f>
        <v>12</v>
      </c>
      <c r="F40" s="28">
        <f>countifs(Rating_Functional, "i like it", Ratings_Dysfunctional, "i can tolerate it")</f>
        <v>21</v>
      </c>
      <c r="G40" s="29">
        <f>COUNTIFS(Rating_Functional, "i like it", Ratings_Dysfunctional, "i dislike it")</f>
        <v>9</v>
      </c>
      <c r="J40" s="12" t="s">
        <v>140</v>
      </c>
      <c r="K40" s="24">
        <f>G40</f>
        <v>9</v>
      </c>
      <c r="M40" s="15"/>
      <c r="N40" s="15"/>
      <c r="O40" s="15"/>
    </row>
    <row r="41">
      <c r="B41" s="23" t="s">
        <v>158</v>
      </c>
      <c r="C41" s="30">
        <f>CountIfs(Rating_Functional, "I expect it",Ratings_Dysfunctional, "I like it")</f>
        <v>0</v>
      </c>
      <c r="D41" s="27">
        <f>CountIfs(Rating_Functional, "I expect it",Ratings_Dysfunctional, "I am neutral")</f>
        <v>3</v>
      </c>
      <c r="E41" s="31">
        <f>CountIfs(Rating_Functional, "I expect it",Ratings_Dysfunctional, "I am neutral")</f>
        <v>3</v>
      </c>
      <c r="F41" s="31">
        <f>CountIfs(Rating_Functional, "I can tolerate it",Ratings_Dysfunctional, "I dislike it")</f>
        <v>0</v>
      </c>
      <c r="G41" s="32">
        <f>CountIfs(Rating_Functional, "I can tolerate it",Ratings_Dysfunctional, "I dislike it")</f>
        <v>0</v>
      </c>
      <c r="J41" s="13" t="s">
        <v>137</v>
      </c>
      <c r="K41" s="24">
        <f>sum(D40:F40)</f>
        <v>36</v>
      </c>
      <c r="M41" s="15"/>
      <c r="N41" s="15"/>
      <c r="O41" s="15"/>
    </row>
    <row r="42">
      <c r="B42" s="23" t="s">
        <v>159</v>
      </c>
      <c r="C42" s="30">
        <f>COUNTIFS(Rating_Functional,"I am neutral",Ratings_Dysfunctional,"I like it")</f>
        <v>0</v>
      </c>
      <c r="D42" s="30">
        <f>COUNTIFS(Rating_Functional,"I expect it",Ratings_Dysfunctional,"I expect it")</f>
        <v>0</v>
      </c>
      <c r="E42" s="31">
        <f>COUNTIFS(Rating_Functional,"I am neutral",Ratings_Dysfunctional,"I am neutral")</f>
        <v>9</v>
      </c>
      <c r="F42" s="31">
        <f>COUNTIFS(Rating_Functional,"I am Neutral",Ratings_Dysfunctional,"I can tolerate it")</f>
        <v>1</v>
      </c>
      <c r="G42" s="32">
        <f>CountIfs(Rating_Functional, "I am Neutral",Ratings_Dysfunctional, "I dislike it")</f>
        <v>0</v>
      </c>
      <c r="J42" s="15" t="s">
        <v>143</v>
      </c>
      <c r="K42" s="24">
        <f>sum(C41:F42,D43:E43)</f>
        <v>17</v>
      </c>
      <c r="M42" s="15"/>
      <c r="N42" s="15"/>
      <c r="O42" s="15"/>
    </row>
    <row r="43">
      <c r="B43" s="23" t="s">
        <v>160</v>
      </c>
      <c r="C43" s="30">
        <f>COUNTIFS(Rating_Functional,"I Can Tolerate It",Ratings_Dysfunctional, "I Like it")</f>
        <v>0</v>
      </c>
      <c r="D43" s="30">
        <f>COUNTIFS(Rating_Functional,"I Can Tolerate It",Ratings_Dysfunctional, "I Expect It")</f>
        <v>0</v>
      </c>
      <c r="E43" s="30">
        <f>COUNTIFS(Rating_Functional,"I Can Tolerate It",Ratings_Dysfunctional, "I am Neutral")</f>
        <v>1</v>
      </c>
      <c r="F43" s="30">
        <f>COUNTIFS(Rating_Functional,"I Can Tolerate It",Ratings_Dysfunctional, "I Can Tolerate It")</f>
        <v>2</v>
      </c>
      <c r="G43" s="32">
        <f>COUNTIFS(Rating_Functional,"I Can Tolerate It",Ratings_Dysfunctional, "I Dislike It")</f>
        <v>0</v>
      </c>
      <c r="J43" s="16" t="s">
        <v>145</v>
      </c>
      <c r="K43" s="3">
        <v>0.0</v>
      </c>
      <c r="M43" s="15"/>
      <c r="N43" s="15"/>
      <c r="O43" s="15"/>
    </row>
    <row r="44">
      <c r="B44" s="23" t="s">
        <v>161</v>
      </c>
      <c r="C44" s="30">
        <f>countifs(Rating_Functional,"I dislike it",Ratings_Dysfunctional,"I like it")</f>
        <v>0</v>
      </c>
      <c r="D44" s="30">
        <f>countifs(Rating_Functional,"I dislike it",Ratings_Dysfunctional,"I expect it")</f>
        <v>0</v>
      </c>
      <c r="E44" s="30">
        <f>countifs(Rating_Functional,"I dislike it",Ratings_Dysfunctional,"I am neutral")</f>
        <v>0</v>
      </c>
      <c r="F44" s="30">
        <f>countifs(Rating_Functional,"I dislike it",Ratings_Dysfunctional,"I can tolerate it")</f>
        <v>0</v>
      </c>
      <c r="G44" s="27">
        <f>countifs(Rating_Functional,"I dislike it",Ratings_Dysfunctional,"I dislike it")</f>
        <v>0</v>
      </c>
      <c r="J44" s="17" t="s">
        <v>147</v>
      </c>
      <c r="K44" s="3">
        <v>0.0</v>
      </c>
      <c r="M44" s="15"/>
      <c r="N44" s="15"/>
      <c r="O44" s="15"/>
    </row>
    <row r="45">
      <c r="M45" s="15"/>
      <c r="N45" s="15"/>
      <c r="O45" s="15"/>
    </row>
    <row r="46">
      <c r="A46" s="33" t="s">
        <v>167</v>
      </c>
      <c r="M46" s="15"/>
      <c r="N46" s="15"/>
      <c r="O46" s="15"/>
    </row>
    <row r="47">
      <c r="C47" s="20" t="s">
        <v>156</v>
      </c>
      <c r="M47" s="22"/>
      <c r="N47" s="22"/>
      <c r="O47" s="22"/>
    </row>
    <row r="48">
      <c r="A48" s="15"/>
      <c r="B48" s="15"/>
      <c r="C48" s="23" t="s">
        <v>157</v>
      </c>
      <c r="D48" s="23" t="s">
        <v>158</v>
      </c>
      <c r="E48" s="23" t="s">
        <v>159</v>
      </c>
      <c r="F48" s="23" t="s">
        <v>160</v>
      </c>
      <c r="G48" s="23" t="s">
        <v>161</v>
      </c>
      <c r="J48" s="10" t="s">
        <v>138</v>
      </c>
      <c r="K48" s="24">
        <f>sum(G50:G52)</f>
        <v>0</v>
      </c>
      <c r="M48" s="15"/>
      <c r="N48" s="15"/>
      <c r="O48" s="15"/>
    </row>
    <row r="49">
      <c r="A49" s="26" t="s">
        <v>162</v>
      </c>
      <c r="B49" s="23" t="s">
        <v>157</v>
      </c>
      <c r="C49" s="27">
        <f>countifs(Photo_Functional, "i like it", Photo_Dysfunctional, "i like it")</f>
        <v>1</v>
      </c>
      <c r="D49" s="28">
        <f>countifs(Photo_Functional, "i like it", Photo_Dysfunctional, "i expect it")</f>
        <v>4</v>
      </c>
      <c r="E49" s="28">
        <f>COUNTIFS(Photo_Functional, "i like it", Photo_Dysfunctional, "i am neutral")</f>
        <v>16</v>
      </c>
      <c r="F49" s="28">
        <f>countifs(Photo_Functional, "i like it", Photo_Dysfunctional, "i can tolerate it")</f>
        <v>22</v>
      </c>
      <c r="G49" s="29">
        <f>COUNTIFS(Photo_Functional, "i like it", Photo_Dysfunctional, "i dislike it")</f>
        <v>12</v>
      </c>
      <c r="J49" s="12" t="s">
        <v>140</v>
      </c>
      <c r="K49" s="24">
        <f>G49</f>
        <v>12</v>
      </c>
      <c r="M49" s="15"/>
      <c r="N49" s="15"/>
      <c r="O49" s="15"/>
    </row>
    <row r="50">
      <c r="B50" s="23" t="s">
        <v>158</v>
      </c>
      <c r="C50" s="30">
        <f>CountIfs(Photo_Functional, "I expect it",Photo_Dysfunctional, "I like it")</f>
        <v>0</v>
      </c>
      <c r="D50" s="27">
        <f>CountIfs(Photo_Functional, "I expect it",Photo_Dysfunctional, "I am neutral")</f>
        <v>1</v>
      </c>
      <c r="E50" s="31">
        <f>CountIfs(Photo_Functional, "I expect it",Photo_Dysfunctional, "I am neutral")</f>
        <v>1</v>
      </c>
      <c r="F50" s="31">
        <f>CountIfs(Photo_Functional, "I can tolerate it",Photo_Dysfunctional, "I dislike it")</f>
        <v>0</v>
      </c>
      <c r="G50" s="32">
        <f>CountIfs(Photo_Functional, "I can tolerate it",Photo_Dysfunctional, "I dislike it")</f>
        <v>0</v>
      </c>
      <c r="J50" s="13" t="s">
        <v>137</v>
      </c>
      <c r="K50" s="24">
        <f>sum(D49:F49)</f>
        <v>42</v>
      </c>
      <c r="M50" s="15"/>
      <c r="N50" s="15"/>
      <c r="O50" s="15"/>
    </row>
    <row r="51">
      <c r="B51" s="23" t="s">
        <v>159</v>
      </c>
      <c r="C51" s="30">
        <f>COUNTIFS(Photo_Functional,"I am neutral",Photo_Dysfunctional,"I like it")</f>
        <v>0</v>
      </c>
      <c r="D51" s="30">
        <f>COUNTIFS(Photo_Functional,"I expect it",Photo_Dysfunctional,"I expect it")</f>
        <v>5</v>
      </c>
      <c r="E51" s="31">
        <f>COUNTIFS(Photo_Functional,"I am neutral",Photo_Dysfunctional,"I am neutral")</f>
        <v>11</v>
      </c>
      <c r="F51" s="31">
        <f>COUNTIFS(Photo_Functional,"I am Neutral",Photo_Dysfunctional,"I can tolerate it")</f>
        <v>3</v>
      </c>
      <c r="G51" s="32">
        <f>CountIfs(Photo_Functional, "I am Neutral",Photo_Dysfunctional, "I dislike it")</f>
        <v>0</v>
      </c>
      <c r="J51" s="15" t="s">
        <v>143</v>
      </c>
      <c r="K51" s="24">
        <f>sum(C50:F51,D52:E52)</f>
        <v>22</v>
      </c>
      <c r="M51" s="15"/>
      <c r="N51" s="15"/>
      <c r="O51" s="15"/>
    </row>
    <row r="52">
      <c r="B52" s="23" t="s">
        <v>160</v>
      </c>
      <c r="C52" s="30">
        <f>COUNTIFS(Photo_Functional,"I Can Tolerate It",Photo_Dysfunctional, "I Like it")</f>
        <v>0</v>
      </c>
      <c r="D52" s="30">
        <f>COUNTIFS(Photo_Functional,"I Can Tolerate It",Photo_Dysfunctional, "I Expect It")</f>
        <v>1</v>
      </c>
      <c r="E52" s="30">
        <f>COUNTIFS(Photo_Functional,"I Can Tolerate It",Photo_Dysfunctional, "I am Neutral")</f>
        <v>0</v>
      </c>
      <c r="F52" s="30">
        <f>COUNTIFS(Photo_Functional,"I Can Tolerate It",Photo_Dysfunctional, "I Can Tolerate It")</f>
        <v>1</v>
      </c>
      <c r="G52" s="32">
        <f>COUNTIFS(Photo_Functional,"I Can Tolerate It",Photo_Dysfunctional, "I Dislike It")</f>
        <v>0</v>
      </c>
      <c r="J52" s="16" t="s">
        <v>145</v>
      </c>
      <c r="K52" s="3">
        <v>0.0</v>
      </c>
      <c r="M52" s="15"/>
      <c r="N52" s="15"/>
      <c r="O52" s="15"/>
    </row>
    <row r="53">
      <c r="B53" s="23" t="s">
        <v>161</v>
      </c>
      <c r="C53" s="30">
        <f>countifs(Photo_Functional,"I dislike it",Photo_Dysfunctional,"I like it")</f>
        <v>0</v>
      </c>
      <c r="D53" s="30">
        <f>countifs(Photo_Functional,"I dislike it",Photo_Dysfunctional,"I expect it")</f>
        <v>0</v>
      </c>
      <c r="E53" s="30">
        <f>countifs(Photo_Functional,"I dislike it",Photo_Dysfunctional,"I am neutral")</f>
        <v>0</v>
      </c>
      <c r="F53" s="30">
        <f>countifs(Photo_Functional,"I dislike it",Photo_Dysfunctional,"I can tolerate it")</f>
        <v>0</v>
      </c>
      <c r="G53" s="27">
        <f>countifs(Photo_Functional,"I dislike it",Photo_Dysfunctional,"I dislike it")</f>
        <v>0</v>
      </c>
      <c r="J53" s="17" t="s">
        <v>147</v>
      </c>
      <c r="K53" s="3">
        <v>0.0</v>
      </c>
      <c r="M53" s="15"/>
      <c r="N53" s="15"/>
      <c r="O53" s="15"/>
    </row>
    <row r="54">
      <c r="M54" s="15"/>
      <c r="N54" s="15"/>
      <c r="O54" s="15"/>
    </row>
    <row r="55">
      <c r="A55" s="33" t="s">
        <v>168</v>
      </c>
      <c r="M55" s="15"/>
      <c r="N55" s="15"/>
      <c r="O55" s="15"/>
    </row>
    <row r="56">
      <c r="C56" s="20" t="s">
        <v>156</v>
      </c>
      <c r="M56" s="22"/>
      <c r="N56" s="22"/>
      <c r="O56" s="22"/>
    </row>
    <row r="57">
      <c r="A57" s="15"/>
      <c r="B57" s="15"/>
      <c r="C57" s="23" t="s">
        <v>157</v>
      </c>
      <c r="D57" s="23" t="s">
        <v>158</v>
      </c>
      <c r="E57" s="23" t="s">
        <v>159</v>
      </c>
      <c r="F57" s="23" t="s">
        <v>160</v>
      </c>
      <c r="G57" s="23" t="s">
        <v>161</v>
      </c>
      <c r="J57" s="10" t="s">
        <v>138</v>
      </c>
      <c r="K57" s="24">
        <f>sum(G59:G61)</f>
        <v>0</v>
      </c>
      <c r="M57" s="15"/>
      <c r="N57" s="15"/>
      <c r="O57" s="15"/>
    </row>
    <row r="58">
      <c r="A58" s="26" t="s">
        <v>162</v>
      </c>
      <c r="B58" s="23" t="s">
        <v>157</v>
      </c>
      <c r="C58" s="27">
        <f>countifs(Restroom_Functional, "i like it", Restroom_Dysfunctional, "i like it")</f>
        <v>1</v>
      </c>
      <c r="D58" s="28">
        <f>countifs(Restroom_Functional, "i like it", Restroom_Dysfunctional, "i expect it")</f>
        <v>3</v>
      </c>
      <c r="E58" s="28">
        <f>COUNTIFS(Restroom_Functional, "i like it", Restroom_Dysfunctional, "i am neutral")</f>
        <v>10</v>
      </c>
      <c r="F58" s="28">
        <f>countifs(Restroom_Functional, "i like it", Restroom_Dysfunctional, "i can tolerate it")</f>
        <v>22</v>
      </c>
      <c r="G58" s="29">
        <f>COUNTIFS(Restroom_Functional, "i like it", Restroom_Dysfunctional, "i dislike it")</f>
        <v>16</v>
      </c>
      <c r="J58" s="12" t="s">
        <v>140</v>
      </c>
      <c r="K58" s="24">
        <f>G58</f>
        <v>16</v>
      </c>
      <c r="M58" s="15"/>
      <c r="N58" s="15"/>
      <c r="O58" s="15"/>
    </row>
    <row r="59">
      <c r="B59" s="23" t="s">
        <v>158</v>
      </c>
      <c r="C59" s="30">
        <f>CountIfs(Restroom_Functional, "I expect it",Restroom_Dysfunctional, "I like it")</f>
        <v>0</v>
      </c>
      <c r="D59" s="27">
        <f>CountIfs(Restroom_Functional, "I expect it",Restroom_Dysfunctional, "I am neutral")</f>
        <v>2</v>
      </c>
      <c r="E59" s="31">
        <f>CountIfs(Restroom_Functional, "I expect it",Restroom_Dysfunctional, "I am neutral")</f>
        <v>2</v>
      </c>
      <c r="F59" s="31">
        <f>CountIfs(Restroom_Functional, "I can tolerate it",Restroom_Dysfunctional, "I dislike it")</f>
        <v>0</v>
      </c>
      <c r="G59" s="32">
        <f>CountIfs(Restroom_Functional, "I can tolerate it",Restroom_Dysfunctional, "I dislike it")</f>
        <v>0</v>
      </c>
      <c r="J59" s="13" t="s">
        <v>137</v>
      </c>
      <c r="K59" s="24">
        <f>sum(D58:F58)</f>
        <v>35</v>
      </c>
      <c r="M59" s="15"/>
      <c r="N59" s="15"/>
      <c r="O59" s="15"/>
    </row>
    <row r="60">
      <c r="B60" s="23" t="s">
        <v>159</v>
      </c>
      <c r="C60" s="30">
        <f>COUNTIFS(Restroom_Functional,"I am neutral",Restroom_Dysfunctional,"I like it")</f>
        <v>0</v>
      </c>
      <c r="D60" s="30">
        <f>COUNTIFS(Restroom_Functional,"I expect it",Restroom_Dysfunctional,"I expect it")</f>
        <v>2</v>
      </c>
      <c r="E60" s="31">
        <f>COUNTIFS(Restroom_Functional,"I am neutral",Restroom_Dysfunctional,"I am neutral")</f>
        <v>6</v>
      </c>
      <c r="F60" s="31">
        <f>COUNTIFS(Restroom_Functional,"I am Neutral",Restroom_Dysfunctional,"I can tolerate it")</f>
        <v>0</v>
      </c>
      <c r="G60" s="32">
        <f>COUNTIFS(Restroom_Functional,"I Can Tolerate It",Restroom_Dysfunctional, "I Dislike It")</f>
        <v>0</v>
      </c>
      <c r="J60" s="15" t="s">
        <v>143</v>
      </c>
      <c r="K60" s="24">
        <f>sum(C59:F60,D61:E61)</f>
        <v>12</v>
      </c>
      <c r="M60" s="15"/>
      <c r="N60" s="15"/>
      <c r="O60" s="15"/>
    </row>
    <row r="61">
      <c r="B61" s="23" t="s">
        <v>160</v>
      </c>
      <c r="C61" s="30">
        <f>COUNTIFS(Restroom_Functional,"I Can Tolerate It",Restroom_Dysfunctional, "I Like it")</f>
        <v>0</v>
      </c>
      <c r="D61" s="30">
        <f>COUNTIFS(Restroom_Functional,"I Can Tolerate It",Restroom_Dysfunctional, "I Expect It")</f>
        <v>0</v>
      </c>
      <c r="E61" s="30">
        <f>COUNTIFS(Restroom_Functional,"I Can Tolerate It",Restroom_Dysfunctional, "I am Neutral")</f>
        <v>0</v>
      </c>
      <c r="F61" s="30">
        <f>COUNTIFS(Restroom_Functional,"I Can Tolerate It",Restroom_Dysfunctional, "I Can Tolerate It")</f>
        <v>0</v>
      </c>
      <c r="G61" s="32">
        <f>COUNTIFS(Restroom_Functional,"I Can Tolerate It",Restroom_Dysfunctional, "I Dislike It")</f>
        <v>0</v>
      </c>
      <c r="J61" s="16" t="s">
        <v>145</v>
      </c>
      <c r="K61" s="3">
        <v>0.0</v>
      </c>
      <c r="M61" s="15"/>
      <c r="N61" s="15"/>
      <c r="O61" s="15"/>
    </row>
    <row r="62">
      <c r="B62" s="23" t="s">
        <v>161</v>
      </c>
      <c r="C62" s="30">
        <f>countifs(Restroom_Functional,"I dislike it",Restroom_Dysfunctional,"I like it")</f>
        <v>0</v>
      </c>
      <c r="D62" s="30">
        <f>countifs(Restroom_Functional,"I dislike it",Restroom_Dysfunctional,"I expect it")</f>
        <v>0</v>
      </c>
      <c r="E62" s="30">
        <f>countifs(Restroom_Functional,"I dislike it",Restroom_Dysfunctional,"I am neutral")</f>
        <v>0</v>
      </c>
      <c r="F62" s="30">
        <f>countifs(Restroom_Functional,"I dislike it",Restroom_Dysfunctional,"I can tolerate it")</f>
        <v>0</v>
      </c>
      <c r="G62" s="27">
        <f>countifs(Restroom_Functional,"I dislike it",Restroom_Dysfunctional,"I dislike it")</f>
        <v>0</v>
      </c>
      <c r="J62" s="17" t="s">
        <v>147</v>
      </c>
      <c r="K62" s="3">
        <v>0.0</v>
      </c>
      <c r="M62" s="15"/>
      <c r="N62" s="15"/>
      <c r="O62" s="15"/>
    </row>
    <row r="63">
      <c r="M63" s="15"/>
      <c r="N63" s="15"/>
      <c r="O63" s="15"/>
    </row>
    <row r="64">
      <c r="A64" s="33" t="s">
        <v>169</v>
      </c>
      <c r="M64" s="15"/>
      <c r="N64" s="15"/>
      <c r="O64" s="15"/>
    </row>
    <row r="65">
      <c r="C65" s="20" t="s">
        <v>156</v>
      </c>
      <c r="M65" s="22"/>
      <c r="N65" s="22"/>
      <c r="O65" s="22"/>
    </row>
    <row r="66">
      <c r="A66" s="15"/>
      <c r="B66" s="15"/>
      <c r="C66" s="23" t="s">
        <v>157</v>
      </c>
      <c r="D66" s="23" t="s">
        <v>158</v>
      </c>
      <c r="E66" s="23" t="s">
        <v>159</v>
      </c>
      <c r="F66" s="23" t="s">
        <v>160</v>
      </c>
      <c r="G66" s="23" t="s">
        <v>161</v>
      </c>
      <c r="J66" s="10" t="s">
        <v>138</v>
      </c>
      <c r="K66" s="24">
        <f>sum(G68:G70)</f>
        <v>0</v>
      </c>
      <c r="M66" s="15"/>
      <c r="N66" s="15"/>
      <c r="O66" s="15"/>
    </row>
    <row r="67">
      <c r="A67" s="26" t="s">
        <v>162</v>
      </c>
      <c r="B67" s="23" t="s">
        <v>157</v>
      </c>
      <c r="C67" s="27">
        <f>countifs(Safety_Functional, "i like it", Safety_Dysfunctional, "i like it")</f>
        <v>0</v>
      </c>
      <c r="D67" s="28">
        <f>countifs(Safety_Functional, "i like it", Safety_Dysfunctional, "i expect it")</f>
        <v>7</v>
      </c>
      <c r="E67" s="28">
        <f>COUNTIFS(Safety_Functional, "i like it", Safety_Dysfunctional, "i am neutral")</f>
        <v>21</v>
      </c>
      <c r="F67" s="28">
        <f>countifs(Safety_Functional, "i like it", Safety_Dysfunctional, "i can tolerate it")</f>
        <v>32</v>
      </c>
      <c r="G67" s="29">
        <f>COUNTIFS(Safety_Functional, "i like it", Safety_Dysfunctional, "i dislike it")</f>
        <v>15</v>
      </c>
      <c r="J67" s="12" t="s">
        <v>140</v>
      </c>
      <c r="K67" s="24">
        <f>G67</f>
        <v>15</v>
      </c>
      <c r="M67" s="15"/>
      <c r="N67" s="15"/>
      <c r="O67" s="15"/>
    </row>
    <row r="68">
      <c r="B68" s="23" t="s">
        <v>158</v>
      </c>
      <c r="C68" s="30">
        <f>CountIfs(Safety_Functional, "I expect it",Safety_Dysfunctional, "I like it")</f>
        <v>0</v>
      </c>
      <c r="D68" s="27">
        <f>CountIfs(Safety_Functional, "I expect it",Safety_Dysfunctional, "I am neutral")</f>
        <v>0</v>
      </c>
      <c r="E68" s="31">
        <f>CountIfs(Safety_Functional, "I expect it",Safety_Functional, "I am neutral")</f>
        <v>0</v>
      </c>
      <c r="F68" s="31">
        <f>CountIfs(Safety_Functional, "I can tolerate it",Safety_Dysfunctional, "I dislike it")</f>
        <v>0</v>
      </c>
      <c r="G68" s="32">
        <f>CountIfs(Safety_Functional, "I can tolerate it",Safety_Dysfunctional, "I dislike it")</f>
        <v>0</v>
      </c>
      <c r="J68" s="13" t="s">
        <v>137</v>
      </c>
      <c r="K68" s="24">
        <f>sum(D67:F67)</f>
        <v>60</v>
      </c>
      <c r="M68" s="15"/>
      <c r="N68" s="15"/>
      <c r="O68" s="15"/>
    </row>
    <row r="69">
      <c r="B69" s="23" t="s">
        <v>159</v>
      </c>
      <c r="C69" s="30">
        <f>COUNTIFS(Safety_Functional,"I am neutral",Safety_Dysfunctional,"I like it")</f>
        <v>0</v>
      </c>
      <c r="D69" s="30">
        <f>COUNTIFS(Safety_Functional,"I expect it",Safety_Dysfunctional,"I expect it")</f>
        <v>0</v>
      </c>
      <c r="E69" s="31">
        <f>COUNTIFS(Safety_Functional,"I am neutral",Safety_Dysfunctional,"I am neutral")</f>
        <v>2</v>
      </c>
      <c r="F69" s="31">
        <f>COUNTIFS(Safety_Functional,"I am Neutral",Safety_Dysfunctional,"I can tolerate it")</f>
        <v>0</v>
      </c>
      <c r="G69" s="32">
        <f>COUNTIFS(Safety_Functional,"I Can Tolerate It",Safety_Dysfunctional, "I Dislike It")</f>
        <v>0</v>
      </c>
      <c r="J69" s="15" t="s">
        <v>143</v>
      </c>
      <c r="K69" s="24">
        <f>sum(C68:F69,D70:E70)</f>
        <v>2</v>
      </c>
      <c r="M69" s="15"/>
      <c r="N69" s="15"/>
      <c r="O69" s="15"/>
    </row>
    <row r="70">
      <c r="B70" s="23" t="s">
        <v>160</v>
      </c>
      <c r="C70" s="30">
        <f>COUNTIFS(Safety_Functional,"I Can Tolerate It",Safety_Dysfunctional, "I Like it")</f>
        <v>0</v>
      </c>
      <c r="D70" s="30">
        <f>COUNTIFS(Safety_Functional,"I Can Tolerate It",Safety_Dysfunctional, "I Expect It")</f>
        <v>0</v>
      </c>
      <c r="E70" s="30">
        <f>COUNTIFS(Safety_Functional,"I Can Tolerate It",Safety_Dysfunctional, "I am Neutral")</f>
        <v>0</v>
      </c>
      <c r="F70" s="30">
        <f>COUNTIFS(Safety_Functional,"I Can Tolerate It",Safety_Dysfunctional, "I Can Tolerate It")</f>
        <v>1</v>
      </c>
      <c r="G70" s="32">
        <f>COUNTIFS(Safety_Functional,"I Can Tolerate It",Safety_Dysfunctional, "I Dislike It")</f>
        <v>0</v>
      </c>
      <c r="J70" s="16" t="s">
        <v>145</v>
      </c>
      <c r="K70" s="3">
        <v>0.0</v>
      </c>
      <c r="M70" s="15"/>
      <c r="N70" s="15"/>
      <c r="O70" s="15"/>
    </row>
    <row r="71">
      <c r="B71" s="23" t="s">
        <v>161</v>
      </c>
      <c r="C71" s="30">
        <f>countifs(Safety_Functional,"I dislike it",Safety_Dysfunctional,"I like it")</f>
        <v>1</v>
      </c>
      <c r="D71" s="30">
        <f>countifs(Safety_Functional,"I dislike it",Safety_Functional,"I expect it")</f>
        <v>0</v>
      </c>
      <c r="E71" s="30">
        <f>countifs(Safety_Functional,"I dislike it",Safety_Dysfunctional,"I am neutral")</f>
        <v>0</v>
      </c>
      <c r="F71" s="30">
        <f>countifs(Safety_Functional,"I dislike it",Safety_Dysfunctional,"I can tolerate it")</f>
        <v>0</v>
      </c>
      <c r="G71" s="27">
        <f>countifs(Safety_Functional,"I dislike it",Safety_Dysfunctional,"I dislike it")</f>
        <v>0</v>
      </c>
      <c r="J71" s="17" t="s">
        <v>147</v>
      </c>
      <c r="K71" s="3">
        <v>0.0</v>
      </c>
      <c r="M71" s="15"/>
      <c r="N71" s="15"/>
      <c r="O71" s="15"/>
    </row>
    <row r="72">
      <c r="M72" s="15"/>
      <c r="N72" s="15"/>
      <c r="O72" s="15"/>
    </row>
    <row r="73">
      <c r="A73" s="33" t="s">
        <v>170</v>
      </c>
      <c r="M73" s="15"/>
      <c r="N73" s="15"/>
      <c r="O73" s="15"/>
    </row>
    <row r="74">
      <c r="C74" s="20" t="s">
        <v>156</v>
      </c>
      <c r="M74" s="22"/>
      <c r="N74" s="22"/>
      <c r="O74" s="22"/>
    </row>
    <row r="75">
      <c r="A75" s="15"/>
      <c r="B75" s="15"/>
      <c r="C75" s="23" t="s">
        <v>157</v>
      </c>
      <c r="D75" s="23" t="s">
        <v>158</v>
      </c>
      <c r="E75" s="23" t="s">
        <v>159</v>
      </c>
      <c r="F75" s="23" t="s">
        <v>160</v>
      </c>
      <c r="G75" s="23" t="s">
        <v>161</v>
      </c>
      <c r="J75" s="10" t="s">
        <v>138</v>
      </c>
      <c r="K75" s="24">
        <f>sum(G77:G79)</f>
        <v>0</v>
      </c>
      <c r="M75" s="15"/>
      <c r="N75" s="15"/>
      <c r="O75" s="15"/>
    </row>
    <row r="76">
      <c r="A76" s="26" t="s">
        <v>162</v>
      </c>
      <c r="B76" s="23" t="s">
        <v>157</v>
      </c>
      <c r="C76" s="27">
        <f>countifs(Steps_Functional, "i like it", Steps_Functional, "i like it")</f>
        <v>40</v>
      </c>
      <c r="D76" s="28">
        <f>countifs(Steps_Functional, "i like it", Steps_Dysfunctional, "i expect it")</f>
        <v>4</v>
      </c>
      <c r="E76" s="28">
        <f>COUNTIFS(Steps_Functional, "i like it", Steps_Dysfunctional, "i am neutral")</f>
        <v>15</v>
      </c>
      <c r="F76" s="28">
        <f>countifs(Steps_Functional, "i like it", Steps_Dysfunctional, "i can tolerate it")</f>
        <v>14</v>
      </c>
      <c r="G76" s="29">
        <f>COUNTIFS(Steps_Functional, "i like it", Steps_Dysfunctional, "i dislike it")</f>
        <v>7</v>
      </c>
      <c r="J76" s="12" t="s">
        <v>140</v>
      </c>
      <c r="K76" s="24">
        <f>G76</f>
        <v>7</v>
      </c>
      <c r="M76" s="15"/>
      <c r="N76" s="15"/>
      <c r="O76" s="15"/>
    </row>
    <row r="77">
      <c r="B77" s="23" t="s">
        <v>158</v>
      </c>
      <c r="C77" s="30">
        <f>CountIfs(Steps_Functional, "I expect it",Steps_Dysfunctional, "I like it")</f>
        <v>0</v>
      </c>
      <c r="D77" s="27">
        <f>CountIfs(Steps_Functional, "I expect it",Steps_Dysfunctional, "I am neutral")</f>
        <v>1</v>
      </c>
      <c r="E77" s="31">
        <f>CountIfs(Steps_Functional, "I expect it",Steps_Dysfunctional, "I am neutral")</f>
        <v>1</v>
      </c>
      <c r="F77" s="31">
        <f>CountIfs(Steps_Functional, "I can tolerate it",Steps_Dysfunctional, "I dislike it")</f>
        <v>0</v>
      </c>
      <c r="G77" s="32">
        <f>CountIfs(Steps_Functional, "I can tolerate it",Steps_Dysfunctional, "I dislike it")</f>
        <v>0</v>
      </c>
      <c r="J77" s="13" t="s">
        <v>137</v>
      </c>
      <c r="K77" s="24">
        <f>sum(D76:F76)</f>
        <v>33</v>
      </c>
      <c r="M77" s="15"/>
      <c r="N77" s="15"/>
      <c r="O77" s="15"/>
    </row>
    <row r="78">
      <c r="B78" s="23" t="s">
        <v>159</v>
      </c>
      <c r="C78" s="30">
        <f>COUNTIFS(Steps_Functional,"I am neutral",Steps_Dysfunctional,"I like it")</f>
        <v>0</v>
      </c>
      <c r="D78" s="30">
        <f>COUNTIFS(Steps_Functional,"I expect it",Steps_Dysfunctional,"I expect it")</f>
        <v>0</v>
      </c>
      <c r="E78" s="31">
        <f>COUNTIFS(Steps_Functional,"I am neutral",Steps_Dysfunctional,"I am neutral")</f>
        <v>24</v>
      </c>
      <c r="F78" s="31">
        <f>COUNTIFS(Steps_Functional,"I am Neutral",Steps_Dysfunctional,"I can tolerate it")</f>
        <v>1</v>
      </c>
      <c r="G78" s="32">
        <f>COUNTIFS(Steps_Functional,"I Can Tolerate It",Steps_Dysfunctional, "I Dislike It")</f>
        <v>0</v>
      </c>
      <c r="J78" s="15" t="s">
        <v>143</v>
      </c>
      <c r="K78" s="24">
        <f>sum(C77:F78,D79:E79)</f>
        <v>27</v>
      </c>
      <c r="M78" s="15"/>
      <c r="N78" s="15"/>
      <c r="O78" s="15"/>
    </row>
    <row r="79">
      <c r="B79" s="23" t="s">
        <v>160</v>
      </c>
      <c r="C79" s="30">
        <f>COUNTIFS(Steps_Functional,"I Can Tolerate It",Steps_Dysfunctional, "I Like it")</f>
        <v>0</v>
      </c>
      <c r="D79" s="30">
        <f>COUNTIFS(Steps_Functional,"I Can Tolerate It",Steps_Dysfunctional, "I Expect It")</f>
        <v>0</v>
      </c>
      <c r="E79" s="30">
        <f>COUNTIFS(Steps_Functional,"I Can Tolerate It",Steps_Dysfunctional, "I am Neutral")</f>
        <v>0</v>
      </c>
      <c r="F79" s="30">
        <f>COUNTIFS(Steps_Functional,"I Can Tolerate It",Steps_Dysfunctional, "I Can Tolerate It")</f>
        <v>0</v>
      </c>
      <c r="G79" s="32">
        <f>COUNTIFS(Steps_Functional,"I Can Tolerate It",Steps_Dysfunctional, "I Dislike It")</f>
        <v>0</v>
      </c>
      <c r="J79" s="16" t="s">
        <v>145</v>
      </c>
      <c r="K79" s="3">
        <v>0.0</v>
      </c>
      <c r="M79" s="15"/>
      <c r="N79" s="15"/>
      <c r="O79" s="15"/>
    </row>
    <row r="80">
      <c r="B80" s="23" t="s">
        <v>161</v>
      </c>
      <c r="C80" s="30">
        <f>countifs(Steps_Functional,"I dislike it",Steps_Dysfunctional,"I like it")</f>
        <v>0</v>
      </c>
      <c r="D80" s="30">
        <f>countifs(Steps_Functional,"I dislike it",Steps_Dysfunctional,"I expect it")</f>
        <v>0</v>
      </c>
      <c r="E80" s="30">
        <f>countifs(Steps_Functional,"I dislike it",Steps_Dysfunctional,"I am neutral")</f>
        <v>0</v>
      </c>
      <c r="F80" s="30">
        <f>countifs(Steps_Functional,"I dislike it",Steps_Dysfunctional,"I can tolerate it")</f>
        <v>1</v>
      </c>
      <c r="G80" s="27">
        <f>countifs(Steps_Functional,"I dislike it",Steps_Dysfunctional,"I dislike it")</f>
        <v>0</v>
      </c>
      <c r="J80" s="17" t="s">
        <v>147</v>
      </c>
      <c r="K80" s="3">
        <v>0.0</v>
      </c>
      <c r="M80" s="15"/>
      <c r="N80" s="15"/>
      <c r="O80" s="15"/>
    </row>
    <row r="81">
      <c r="M81" s="15"/>
      <c r="N81" s="15"/>
      <c r="O81" s="15"/>
    </row>
    <row r="82">
      <c r="A82" s="33" t="s">
        <v>171</v>
      </c>
      <c r="M82" s="15"/>
      <c r="N82" s="15"/>
      <c r="O82" s="15"/>
    </row>
    <row r="83">
      <c r="C83" s="20" t="s">
        <v>156</v>
      </c>
      <c r="M83" s="22"/>
      <c r="N83" s="22"/>
      <c r="O83" s="22"/>
    </row>
    <row r="84">
      <c r="A84" s="15"/>
      <c r="B84" s="15"/>
      <c r="C84" s="23" t="s">
        <v>157</v>
      </c>
      <c r="D84" s="23" t="s">
        <v>158</v>
      </c>
      <c r="E84" s="23" t="s">
        <v>159</v>
      </c>
      <c r="F84" s="23" t="s">
        <v>160</v>
      </c>
      <c r="G84" s="23" t="s">
        <v>161</v>
      </c>
      <c r="J84" s="10" t="s">
        <v>138</v>
      </c>
      <c r="K84" s="24">
        <f>sum(G86:G88)</f>
        <v>0</v>
      </c>
      <c r="M84" s="15"/>
      <c r="N84" s="15"/>
      <c r="O84" s="15"/>
    </row>
    <row r="85">
      <c r="A85" s="26" t="s">
        <v>162</v>
      </c>
      <c r="B85" s="23" t="s">
        <v>157</v>
      </c>
      <c r="C85" s="27">
        <f>countifs(Weather_Functional, "i like it", Weather_Dysfunctional, "i like it")</f>
        <v>1</v>
      </c>
      <c r="D85" s="28">
        <f>countifs(Weather_Functional, "i like it", Weather_Dysfunctional, "i expect it")</f>
        <v>6</v>
      </c>
      <c r="E85" s="28">
        <f>COUNTIFS(Weather_Functional, "i like it", Weather_Dysfunctional, "i am neutral")</f>
        <v>20</v>
      </c>
      <c r="F85" s="28">
        <f>countifs(Weather_Functional, "i like it", Weather_Dysfunctional, "i can tolerate it")</f>
        <v>23</v>
      </c>
      <c r="G85" s="29">
        <f>COUNTIFS(Weather_Functional, "i like it", Weather_Dysfunctional, "i dislike it")</f>
        <v>13</v>
      </c>
      <c r="J85" s="12" t="s">
        <v>140</v>
      </c>
      <c r="K85" s="24">
        <f>G85</f>
        <v>13</v>
      </c>
      <c r="M85" s="15"/>
      <c r="N85" s="15"/>
      <c r="O85" s="15"/>
    </row>
    <row r="86">
      <c r="B86" s="23" t="s">
        <v>158</v>
      </c>
      <c r="C86" s="30">
        <f>CountIfs(Weather_Functional, "I expect it",Weather_Dysfunctional, "I like it")</f>
        <v>0</v>
      </c>
      <c r="D86" s="27">
        <f>CountIfs(Weather_Functional, "I expect it",Weather_Dysfunctional, "I am neutral")</f>
        <v>0</v>
      </c>
      <c r="E86" s="31">
        <f>CountIfs(Weather_Functional, "I expect it",Weather_Dysfunctional, "I am neutral")</f>
        <v>0</v>
      </c>
      <c r="F86" s="31">
        <f>CountIfs(Weather_Functional, "I can tolerate it",Weather_Dysfunctional, "I dislike it")</f>
        <v>0</v>
      </c>
      <c r="G86" s="32">
        <f>CountIfs(Weather_Functional, "I can tolerate it",Weather_Dysfunctional, "I dislike it")</f>
        <v>0</v>
      </c>
      <c r="J86" s="13" t="s">
        <v>137</v>
      </c>
      <c r="K86" s="24">
        <f>sum(D85:F85)</f>
        <v>49</v>
      </c>
      <c r="M86" s="15"/>
      <c r="N86" s="15"/>
      <c r="O86" s="15"/>
    </row>
    <row r="87">
      <c r="B87" s="23" t="s">
        <v>159</v>
      </c>
      <c r="C87" s="30">
        <f>COUNTIFS(Weather_Functional,"I am neutral",Weather_Dysfunctional,"I like it")</f>
        <v>0</v>
      </c>
      <c r="D87" s="30">
        <f>COUNTIFS(Weather_Functional,"I expect it",Weather_Dysfunctional,"I expect it")</f>
        <v>0</v>
      </c>
      <c r="E87" s="31">
        <f>COUNTIFS(Weather_Functional,"I am neutral",Weather_Dysfunctional,"I am neutral")</f>
        <v>9</v>
      </c>
      <c r="F87" s="31">
        <f>COUNTIFS(Weather_Functional,"I am Neutral",Weather_Dysfunctional,"I can tolerate it")</f>
        <v>0</v>
      </c>
      <c r="G87" s="32">
        <f>COUNTIFS(Weather_Functional,"I Can Tolerate It",Weather_Dysfunctional, "I Dislike It")</f>
        <v>0</v>
      </c>
      <c r="J87" s="15" t="s">
        <v>143</v>
      </c>
      <c r="K87" s="24">
        <f>sum(C86:F87,D88:E88)</f>
        <v>9</v>
      </c>
      <c r="M87" s="15"/>
      <c r="N87" s="15"/>
      <c r="O87" s="15"/>
    </row>
    <row r="88">
      <c r="B88" s="23" t="s">
        <v>160</v>
      </c>
      <c r="C88" s="30">
        <f>COUNTIFS(Weather_Functional,"I Can Tolerate It",Weather_Dysfunctional, "I Like it")</f>
        <v>0</v>
      </c>
      <c r="D88" s="30">
        <f>COUNTIFS(Weather_Functional,"I Can Tolerate It",Weather_Dysfunctional, "I Expect It")</f>
        <v>0</v>
      </c>
      <c r="E88" s="30">
        <f>COUNTIFS(Weather_Functional,"I Can Tolerate It",Weather_Dysfunctional, "I am Neutral")</f>
        <v>0</v>
      </c>
      <c r="F88" s="30">
        <f>COUNTIFS(Weather_Functional,"I Can Tolerate It",Weather_Dysfunctional, "I Can Tolerate It")</f>
        <v>0</v>
      </c>
      <c r="G88" s="32">
        <f>COUNTIFS(Weather_Functional,"I Can Tolerate It",Weather_Dysfunctional, "I Dislike It")</f>
        <v>0</v>
      </c>
      <c r="J88" s="16" t="s">
        <v>145</v>
      </c>
      <c r="K88" s="3">
        <v>0.0</v>
      </c>
      <c r="M88" s="15"/>
      <c r="N88" s="15"/>
      <c r="O88" s="15"/>
    </row>
    <row r="89">
      <c r="B89" s="23" t="s">
        <v>161</v>
      </c>
      <c r="C89" s="30">
        <f>countifs(Weather_Functional,"I dislike it",Weather_Dysfunctional,"I like it")</f>
        <v>0</v>
      </c>
      <c r="D89" s="30">
        <f>countifs(Weather_Functional,"I dislike it",Weather_Dysfunctional,"I expect it")</f>
        <v>0</v>
      </c>
      <c r="E89" s="30">
        <f>countifs(Weather_Functional,"I dislike it",Weather_Dysfunctional,"I am neutral")</f>
        <v>0</v>
      </c>
      <c r="F89" s="30">
        <f>countifs(Weather_Functional,"I dislike it",Weather_Dysfunctional,"I can tolerate it")</f>
        <v>0</v>
      </c>
      <c r="G89" s="27">
        <f>countifs(Weather_Functional,"I dislike it",Weather_Dysfunctional,"I dislike it")</f>
        <v>0</v>
      </c>
      <c r="J89" s="17" t="s">
        <v>147</v>
      </c>
      <c r="K89" s="3">
        <v>0.0</v>
      </c>
      <c r="M89" s="15"/>
      <c r="N89" s="15"/>
      <c r="O89" s="15"/>
    </row>
    <row r="90">
      <c r="M90" s="15"/>
      <c r="N90" s="15"/>
      <c r="O90" s="15"/>
    </row>
    <row r="91">
      <c r="A91" s="33" t="s">
        <v>172</v>
      </c>
      <c r="M91" s="15"/>
      <c r="N91" s="15"/>
      <c r="O91" s="15"/>
    </row>
    <row r="92">
      <c r="C92" s="20" t="s">
        <v>156</v>
      </c>
      <c r="M92" s="15"/>
      <c r="N92" s="15"/>
      <c r="O92" s="22"/>
    </row>
    <row r="93">
      <c r="A93" s="15"/>
      <c r="B93" s="15"/>
      <c r="C93" s="23" t="s">
        <v>157</v>
      </c>
      <c r="D93" s="23" t="s">
        <v>158</v>
      </c>
      <c r="E93" s="23" t="s">
        <v>159</v>
      </c>
      <c r="F93" s="23" t="s">
        <v>160</v>
      </c>
      <c r="G93" s="23" t="s">
        <v>161</v>
      </c>
      <c r="J93" s="10" t="s">
        <v>138</v>
      </c>
      <c r="K93" s="24">
        <f>sum(G95:G97)</f>
        <v>0</v>
      </c>
      <c r="M93" s="22"/>
      <c r="N93" s="22"/>
      <c r="O93" s="22"/>
    </row>
    <row r="94">
      <c r="A94" s="26" t="s">
        <v>162</v>
      </c>
      <c r="B94" s="23" t="s">
        <v>157</v>
      </c>
      <c r="C94" s="27">
        <f>countifs(SocialMedia_Functional, "i like it", SocialMedia_Dysfunctional, "i like it")</f>
        <v>0</v>
      </c>
      <c r="D94" s="28">
        <f>countifs(SocialMedia_Functional, "i like it", SocialMedia_Dysfunctional, "i expect it")</f>
        <v>3</v>
      </c>
      <c r="E94" s="28">
        <f>COUNTIFS(SocialMedia_Functional, "i like it", SocialMedia_Dysfunctional, "i am neutral")</f>
        <v>10</v>
      </c>
      <c r="F94" s="28">
        <f>countifs(SocialMedia_Functional, "i like it", SocialMedia_Dysfunctional, "i can tolerate it")</f>
        <v>3</v>
      </c>
      <c r="G94" s="29">
        <f>COUNTIFS(SocialMedia_Functional, "i like it", SocialMedia_Dysfunctional, "i dislike it")</f>
        <v>1</v>
      </c>
      <c r="J94" s="12" t="s">
        <v>140</v>
      </c>
      <c r="K94" s="24">
        <f>G94</f>
        <v>1</v>
      </c>
      <c r="M94" s="15"/>
      <c r="N94" s="15"/>
      <c r="O94" s="15"/>
    </row>
    <row r="95">
      <c r="B95" s="23" t="s">
        <v>158</v>
      </c>
      <c r="C95" s="30">
        <f>CountIfs(SocialMedia_Functional, "I expect it",SocialMedia_Dysfunctional, "I like it")</f>
        <v>0</v>
      </c>
      <c r="D95" s="27">
        <f>CountIfs(SocialMedia_Functional, "I expect it",SocialMedia_Dysfunctional, "I am neutral")</f>
        <v>2</v>
      </c>
      <c r="E95" s="31">
        <f>CountIfs(SocialMedia_Functional, "I expect it",SocialMedia_Dysfunctional, "I am neutral")</f>
        <v>2</v>
      </c>
      <c r="F95" s="31">
        <f>CountIfs(SocialMedia_Functional, "I can tolerate it",SocialMedia_Dysfunctional, "I dislike it")</f>
        <v>0</v>
      </c>
      <c r="G95" s="32">
        <f>CountIfs(SocialMedia_Functional, "I can tolerate it",SocialMedia_Dysfunctional, "I dislike it")</f>
        <v>0</v>
      </c>
      <c r="J95" s="13" t="s">
        <v>137</v>
      </c>
      <c r="K95" s="24">
        <f>sum(D94:F94)</f>
        <v>16</v>
      </c>
      <c r="M95" s="15"/>
      <c r="N95" s="15"/>
      <c r="O95" s="15"/>
    </row>
    <row r="96">
      <c r="B96" s="23" t="s">
        <v>159</v>
      </c>
      <c r="C96" s="30">
        <f>COUNTIFS(SocialMedia_Functional,"I am neutral",SocialMedia_Dysfunctional,"I like it")</f>
        <v>0</v>
      </c>
      <c r="D96" s="30">
        <f>COUNTIFS(SocialMedia_Functional,"I expect it",SocialMedia_Dysfunctional,"I expect it")</f>
        <v>1</v>
      </c>
      <c r="E96" s="31">
        <f>COUNTIFS(SocialMedia_Functional,"I am neutral",SocialMedia_Dysfunctional,"I am neutral")</f>
        <v>38</v>
      </c>
      <c r="F96" s="31">
        <f>COUNTIFS(SocialMedia_Functional,"I am Neutral",SocialMedia_Dysfunctional,"I can tolerate it")</f>
        <v>3</v>
      </c>
      <c r="G96" s="32">
        <f>COUNTIFS(SocialMedia_Functional,"I Can Tolerate It",SocialMedia_Dysfunctional, "I Dislike It")</f>
        <v>0</v>
      </c>
      <c r="J96" s="15" t="s">
        <v>143</v>
      </c>
      <c r="K96" s="24">
        <f>sum(C95:F96,D97:E97)</f>
        <v>49</v>
      </c>
      <c r="M96" s="15"/>
      <c r="N96" s="15"/>
      <c r="O96" s="15"/>
    </row>
    <row r="97">
      <c r="B97" s="23" t="s">
        <v>160</v>
      </c>
      <c r="C97" s="30">
        <f>COUNTIFS(SocialMedia_Functional,"I Can Tolerate It",SocialMedia_Dysfunctional, "I Like it")</f>
        <v>0</v>
      </c>
      <c r="D97" s="30">
        <f>COUNTIFS(SocialMedia_Functional,"I Can Tolerate It",SocialMedia_Dysfunctional, "I Expect It")</f>
        <v>2</v>
      </c>
      <c r="E97" s="30">
        <f>COUNTIFS(SocialMedia_Functional,"I Can Tolerate It",SocialMedia_Dysfunctional, "I am Neutral")</f>
        <v>1</v>
      </c>
      <c r="F97" s="30">
        <f>COUNTIFS(SocialMedia_Functional,"I Can Tolerate It",SocialMedia_Dysfunctional, "I Can Tolerate It")</f>
        <v>1</v>
      </c>
      <c r="G97" s="32">
        <f>COUNTIFS(SocialMedia_Functional,"I Can Tolerate It",SocialMedia_Dysfunctional, "I Dislike It")</f>
        <v>0</v>
      </c>
      <c r="J97" s="16" t="s">
        <v>145</v>
      </c>
      <c r="K97" s="3">
        <v>0.0</v>
      </c>
      <c r="M97" s="15"/>
      <c r="N97" s="15"/>
      <c r="O97" s="15"/>
    </row>
    <row r="98">
      <c r="B98" s="23" t="s">
        <v>161</v>
      </c>
      <c r="C98" s="30">
        <f>countifs(SocialMedia_Functional,"I dislike it",SocialMedia_Dysfunctional,"I like it")</f>
        <v>9</v>
      </c>
      <c r="D98" s="30">
        <f>countifs(SocialMedia_Functional,"I dislike it",SocialMedia_Dysfunctional,"I expect it")</f>
        <v>0</v>
      </c>
      <c r="E98" s="30">
        <f>countifs(SocialMedia_Functional,"I dislike it",SocialMedia_Dysfunctional,"I am neutral")</f>
        <v>0</v>
      </c>
      <c r="F98" s="30">
        <f>countifs(SocialMedia_Functional,"I dislike it",SocialMedia_Dysfunctional,"I can tolerate it")</f>
        <v>0</v>
      </c>
      <c r="G98" s="27">
        <f>countifs(SocialMedia_Functional,"I dislike it",SocialMedia_Dysfunctional,"I dislike it")</f>
        <v>0</v>
      </c>
      <c r="J98" s="17" t="s">
        <v>147</v>
      </c>
      <c r="K98" s="3">
        <v>0.0</v>
      </c>
      <c r="M98" s="15"/>
      <c r="N98" s="15"/>
      <c r="O98" s="15"/>
    </row>
    <row r="99">
      <c r="M99" s="15"/>
      <c r="N99" s="15"/>
      <c r="O99" s="15"/>
    </row>
    <row r="100">
      <c r="A100" s="33" t="s">
        <v>173</v>
      </c>
      <c r="M100" s="15"/>
      <c r="N100" s="15"/>
      <c r="O100" s="15"/>
    </row>
    <row r="101">
      <c r="C101" s="20" t="s">
        <v>156</v>
      </c>
      <c r="M101" s="22"/>
      <c r="N101" s="22"/>
      <c r="O101" s="22"/>
    </row>
    <row r="102">
      <c r="A102" s="15"/>
      <c r="B102" s="15"/>
      <c r="C102" s="23" t="s">
        <v>157</v>
      </c>
      <c r="D102" s="23" t="s">
        <v>158</v>
      </c>
      <c r="E102" s="23" t="s">
        <v>159</v>
      </c>
      <c r="F102" s="23" t="s">
        <v>160</v>
      </c>
      <c r="G102" s="23" t="s">
        <v>161</v>
      </c>
      <c r="J102" s="10" t="s">
        <v>138</v>
      </c>
      <c r="K102" s="24">
        <f>sum(G104:G106)</f>
        <v>0</v>
      </c>
      <c r="M102" s="15"/>
      <c r="N102" s="15"/>
      <c r="O102" s="15"/>
    </row>
    <row r="103">
      <c r="A103" s="26" t="s">
        <v>162</v>
      </c>
      <c r="B103" s="23" t="s">
        <v>157</v>
      </c>
      <c r="C103" s="27">
        <f>countifs(WildLife_Functional, "i like it", WildLife_Functional, "i like it")</f>
        <v>62</v>
      </c>
      <c r="D103" s="28">
        <f>countifs(WildLife_Functional, "i like it", WildLife_Dysfunctional, "i expect it")</f>
        <v>5</v>
      </c>
      <c r="E103" s="28">
        <f>COUNTIFS(WildLife_Functional, "i like it", WildLife_Dysfunctional, "i am neutral")</f>
        <v>28</v>
      </c>
      <c r="F103" s="28">
        <f>countifs(WildLife_Functional, "i like it", WildLife_Dysfunctional, "i can tolerate it")</f>
        <v>20</v>
      </c>
      <c r="G103" s="29">
        <f>COUNTIFS(WildLife_Functional, "i like it", WildLife_Dysfunctional, "i dislike it")</f>
        <v>7</v>
      </c>
      <c r="J103" s="12" t="s">
        <v>140</v>
      </c>
      <c r="K103" s="24">
        <f>G103</f>
        <v>7</v>
      </c>
      <c r="M103" s="15"/>
      <c r="N103" s="15"/>
      <c r="O103" s="15"/>
    </row>
    <row r="104">
      <c r="B104" s="23" t="s">
        <v>158</v>
      </c>
      <c r="C104" s="30">
        <f>CountIfs(WildLife_Functional, "I expect it",WildLife_Dysfunctional, "I like it")</f>
        <v>0</v>
      </c>
      <c r="D104" s="27">
        <f>CountIfs(WildLife_Functional, "I expect it",WildLife_Dysfunctional, "I am neutral")</f>
        <v>0</v>
      </c>
      <c r="E104" s="31">
        <f>CountIfs(WildLife_Functional, "I expect it",WildLife_Dysfunctional, "I am neutral")</f>
        <v>0</v>
      </c>
      <c r="F104" s="31">
        <f>CountIfs(WildLife_Functional, "I can tolerate it",WildLife_Dysfunctional, "I dislike it")</f>
        <v>0</v>
      </c>
      <c r="G104" s="32">
        <f>CountIfs(WildLife_Functional, "I can tolerate it",WildLife_Dysfunctional, "I dislike it")</f>
        <v>0</v>
      </c>
      <c r="J104" s="13" t="s">
        <v>137</v>
      </c>
      <c r="K104" s="24">
        <f>sum(D103:F103)</f>
        <v>53</v>
      </c>
      <c r="M104" s="15"/>
      <c r="N104" s="15"/>
      <c r="O104" s="15"/>
    </row>
    <row r="105">
      <c r="B105" s="23" t="s">
        <v>159</v>
      </c>
      <c r="C105" s="30">
        <f>COUNTIFS(WildLife_Functional,"I am neutral",WildLife_Dysfunctional,"I like it")</f>
        <v>0</v>
      </c>
      <c r="D105" s="30">
        <f>COUNTIFS(WildLife_Functional,"I expect it",WildLife_Dysfunctional,"I expect it")</f>
        <v>0</v>
      </c>
      <c r="E105" s="31">
        <f>COUNTIFS(WildLife_Functional,"I am neutral",WildLife_Dysfunctional,"I am neutral")</f>
        <v>15</v>
      </c>
      <c r="F105" s="31">
        <f>COUNTIFS(WildLife_Functional,"I am Neutral",WildLife_Dysfunctional,"I can tolerate it")</f>
        <v>2</v>
      </c>
      <c r="G105" s="32">
        <f>COUNTIFS(WildLife_Functional,"I Can Tolerate It",WildLife_Dysfunctional, "I Dislike It")</f>
        <v>0</v>
      </c>
      <c r="J105" s="15" t="s">
        <v>143</v>
      </c>
      <c r="K105" s="24">
        <f>sum(C104:F105,D106:E106)</f>
        <v>18</v>
      </c>
      <c r="M105" s="15"/>
      <c r="N105" s="15"/>
      <c r="O105" s="15"/>
    </row>
    <row r="106">
      <c r="B106" s="23" t="s">
        <v>160</v>
      </c>
      <c r="C106" s="30">
        <f>COUNTIFS(WildLife_Functional,"I Can Tolerate It",WildLife_Dysfunctional, "I Like it")</f>
        <v>0</v>
      </c>
      <c r="D106" s="30">
        <f>COUNTIFS(WildLife_Functional,"I Can Tolerate It",WildLife_Dysfunctional, "I Expect It")</f>
        <v>1</v>
      </c>
      <c r="E106" s="30">
        <f>COUNTIFS(WildLife_Functional,"I Can Tolerate It",WildLife_Dysfunctional, "I am Neutral")</f>
        <v>0</v>
      </c>
      <c r="F106" s="30">
        <f>COUNTIFS(WildLife_Functional,"I Can Tolerate It",WildLife_Dysfunctional, "I Can Tolerate It")</f>
        <v>0</v>
      </c>
      <c r="G106" s="32">
        <f>COUNTIFS(WildLife_Functional,"I Can Tolerate It",WildLife_Dysfunctional, "I Dislike It")</f>
        <v>0</v>
      </c>
      <c r="J106" s="16" t="s">
        <v>145</v>
      </c>
      <c r="K106" s="3">
        <v>0.0</v>
      </c>
      <c r="M106" s="15"/>
      <c r="N106" s="15"/>
      <c r="O106" s="15"/>
    </row>
    <row r="107">
      <c r="B107" s="23" t="s">
        <v>161</v>
      </c>
      <c r="C107" s="30">
        <f>countifs(WildLife_Functional,"I dislike it",WildLife_Dysfunctional,"I like it")</f>
        <v>2</v>
      </c>
      <c r="D107" s="30">
        <f>countifs(WildLife_Functional,"I dislike it",WildLife_Dysfunctional,"I expect it")</f>
        <v>0</v>
      </c>
      <c r="E107" s="30">
        <f>countifs(WildLife_Functional,"I dislike it",WildLife_Dysfunctional,"I am neutral")</f>
        <v>0</v>
      </c>
      <c r="F107" s="30">
        <f>countifs(WildLife_Functional,"I dislike it",WildLife_Dysfunctional,"I can tolerate it")</f>
        <v>0</v>
      </c>
      <c r="G107" s="27">
        <f>countifs(WildLife_Functional,"I dislike it",WildLife_Dysfunctional,"I dislike it")</f>
        <v>0</v>
      </c>
      <c r="J107" s="17" t="s">
        <v>147</v>
      </c>
      <c r="K107" s="3">
        <v>0.0</v>
      </c>
      <c r="M107" s="15"/>
      <c r="N107" s="15"/>
      <c r="O107" s="15"/>
    </row>
    <row r="108">
      <c r="M108" s="15"/>
      <c r="N108" s="15"/>
      <c r="O108" s="15"/>
    </row>
    <row r="109">
      <c r="A109" s="33" t="s">
        <v>174</v>
      </c>
      <c r="M109" s="15"/>
      <c r="N109" s="15"/>
      <c r="O109" s="15"/>
    </row>
    <row r="110">
      <c r="C110" s="20" t="s">
        <v>156</v>
      </c>
      <c r="M110" s="22"/>
      <c r="N110" s="22"/>
      <c r="O110" s="22"/>
    </row>
    <row r="111">
      <c r="A111" s="15"/>
      <c r="B111" s="15"/>
      <c r="C111" s="23" t="s">
        <v>157</v>
      </c>
      <c r="D111" s="23" t="s">
        <v>158</v>
      </c>
      <c r="E111" s="23" t="s">
        <v>159</v>
      </c>
      <c r="F111" s="23" t="s">
        <v>160</v>
      </c>
      <c r="G111" s="23" t="s">
        <v>161</v>
      </c>
      <c r="J111" s="10" t="s">
        <v>138</v>
      </c>
      <c r="K111" s="24">
        <f>sum(G113:G115)</f>
        <v>0</v>
      </c>
      <c r="M111" s="15"/>
      <c r="N111" s="15"/>
      <c r="O111" s="15"/>
    </row>
    <row r="112">
      <c r="A112" s="26" t="s">
        <v>162</v>
      </c>
      <c r="B112" s="23" t="s">
        <v>157</v>
      </c>
      <c r="C112" s="27">
        <f>countifs(DifficultyRating_Functional, "i like it", DifficultyRating_Dysfunctional, "i like it")</f>
        <v>0</v>
      </c>
      <c r="D112" s="28">
        <f>countifs(DifficultyRating_Functional, "i like it", DifficultyRating_Dysfunctional, "i expect it")</f>
        <v>4</v>
      </c>
      <c r="E112" s="28">
        <f>COUNTIFS(DifficultyRating_Functional, "i like it", DifficultyRating_Dysfunctional, "i am neutral")</f>
        <v>2</v>
      </c>
      <c r="F112" s="28">
        <f>countifs(DifficultyRating_Functional, "i like it", DifficultyRating_Dysfunctional, "i can tolerate it")</f>
        <v>12</v>
      </c>
      <c r="G112" s="29">
        <f>COUNTIFS(DifficultyRating_Functional, "i like it", DifficultyRating_Dysfunctional, "i dislike it")</f>
        <v>17</v>
      </c>
      <c r="J112" s="12" t="s">
        <v>140</v>
      </c>
      <c r="K112" s="24">
        <f>G112</f>
        <v>17</v>
      </c>
      <c r="M112" s="15"/>
      <c r="N112" s="15"/>
      <c r="O112" s="15"/>
    </row>
    <row r="113">
      <c r="B113" s="23" t="s">
        <v>158</v>
      </c>
      <c r="C113" s="30">
        <f>CountIfs(DifficultyRating_Functional, "I expect it",DifficultyRating_Dysfunctional, "I like it")</f>
        <v>0</v>
      </c>
      <c r="D113" s="27">
        <f>CountIfs(DifficultyRating_Functional, "I expect it",DifficultyRating_Dysfunctional, "I am neutral")</f>
        <v>1</v>
      </c>
      <c r="E113" s="31">
        <f>CountIfs(DifficultyRating_Functional, "I expect it",DifficultyRating_Dysfunctional, "I am neutral")</f>
        <v>1</v>
      </c>
      <c r="F113" s="31">
        <f>CountIfs(DifficultyRating_Functional, "I can tolerate it",DifficultyRating_Dysfunctional, "I dislike it")</f>
        <v>0</v>
      </c>
      <c r="G113" s="32">
        <f>CountIfs(DifficultyRating_Functional, "I can tolerate it",DifficultyRating_Dysfunctional, "I dislike it")</f>
        <v>0</v>
      </c>
      <c r="J113" s="13" t="s">
        <v>137</v>
      </c>
      <c r="K113" s="24">
        <f>sum(D112:F112)</f>
        <v>18</v>
      </c>
      <c r="M113" s="15"/>
      <c r="N113" s="15"/>
      <c r="O113" s="15"/>
    </row>
    <row r="114">
      <c r="B114" s="23" t="s">
        <v>159</v>
      </c>
      <c r="C114" s="30">
        <f>COUNTIFS(DifficultyRating_Functional,"I am neutral",DifficultyRating_Dysfunctional,"I like it")</f>
        <v>0</v>
      </c>
      <c r="D114" s="30">
        <f>COUNTIFS(DifficultyRating_Functional,"I expect it",DifficultyRating_Dysfunctional,"I expect it")</f>
        <v>0</v>
      </c>
      <c r="E114" s="31">
        <f>COUNTIFS(DifficultyRating_Functional,"I am neutral",DifficultyRating_Dysfunctional,"I am neutral")</f>
        <v>1</v>
      </c>
      <c r="F114" s="31">
        <f>COUNTIFS(DifficultyRating_Functional,"I am Neutral",DifficultyRating_Dysfunctional,"I can tolerate it")</f>
        <v>0</v>
      </c>
      <c r="G114" s="32">
        <f>COUNTIFS(DifficultyRating_Functional,"I Can Tolerate It",DifficultyRating_Dysfunctional, "I Dislike It")</f>
        <v>0</v>
      </c>
      <c r="J114" s="15" t="s">
        <v>143</v>
      </c>
      <c r="K114" s="24">
        <f>sum(C113:F114,D115:E115)</f>
        <v>3</v>
      </c>
      <c r="M114" s="15"/>
      <c r="N114" s="15"/>
      <c r="O114" s="15"/>
    </row>
    <row r="115">
      <c r="B115" s="23" t="s">
        <v>160</v>
      </c>
      <c r="C115" s="30">
        <f>COUNTIFS(DifficultyRating_Functional,"I Can Tolerate It",DifficultyRating_Dysfunctional, "I Like it")</f>
        <v>0</v>
      </c>
      <c r="D115" s="30">
        <f>COUNTIFS(DifficultyRating_Functional,"I Can Tolerate It",DifficultyRating_Dysfunctional, "I Expect It")</f>
        <v>0</v>
      </c>
      <c r="E115" s="30">
        <f>COUNTIFS(DifficultyRating_Functional,"I Can Tolerate It",DifficultyRating_Dysfunctional, "I am Neutral")</f>
        <v>0</v>
      </c>
      <c r="F115" s="30">
        <f>COUNTIFS(DifficultyRating_Functional,"I Can Tolerate It",DifficultyRating_Dysfunctional, "I Can Tolerate It")</f>
        <v>0</v>
      </c>
      <c r="G115" s="32">
        <f>COUNTIFS(DifficultyRating_Functional,"I Can Tolerate It",DifficultyRating_Dysfunctional, "I Dislike It")</f>
        <v>0</v>
      </c>
      <c r="J115" s="16" t="s">
        <v>145</v>
      </c>
      <c r="K115" s="3">
        <v>0.0</v>
      </c>
      <c r="M115" s="15"/>
      <c r="N115" s="15"/>
      <c r="O115" s="15"/>
    </row>
    <row r="116">
      <c r="B116" s="23" t="s">
        <v>161</v>
      </c>
      <c r="C116" s="30">
        <f>countifs(DifficultyRating_Functional,"I dislike it",DifficultyRating_Dysfunctional,"I like it")</f>
        <v>0</v>
      </c>
      <c r="D116" s="30">
        <f>countifs(DifficultyRating_Functional,"I dislike it",DifficultyRating_Dysfunctional,"I expect it")</f>
        <v>0</v>
      </c>
      <c r="E116" s="30">
        <f>countifs(DifficultyRating_Functional,"I dislike it",DifficultyRating_Dysfunctional,"I am neutral")</f>
        <v>0</v>
      </c>
      <c r="F116" s="30">
        <f>countifs(DifficultyRating_Functional,"I dislike it",DifficultyRating_Dysfunctional,"I can tolerate it")</f>
        <v>0</v>
      </c>
      <c r="G116" s="27">
        <f>countifs(DifficultyRating_Functional,"I dislike it",DifficultyRating_Dysfunctional,"I dislike it")</f>
        <v>0</v>
      </c>
      <c r="J116" s="17" t="s">
        <v>147</v>
      </c>
      <c r="K116" s="3">
        <v>0.0</v>
      </c>
      <c r="M116" s="15"/>
      <c r="N116" s="15"/>
      <c r="O116" s="15"/>
    </row>
    <row r="117">
      <c r="M117" s="15"/>
      <c r="N117" s="15"/>
      <c r="O117" s="15"/>
    </row>
    <row r="118">
      <c r="M118" s="15"/>
      <c r="N118" s="15"/>
      <c r="O118" s="15"/>
    </row>
    <row r="119">
      <c r="M119" s="15"/>
      <c r="N119" s="15"/>
      <c r="O119" s="15"/>
    </row>
    <row r="120">
      <c r="M120" s="15"/>
      <c r="N120" s="15"/>
      <c r="O120" s="15"/>
    </row>
    <row r="121">
      <c r="M121" s="15"/>
      <c r="N121" s="15"/>
      <c r="O121" s="15"/>
    </row>
    <row r="122">
      <c r="M122" s="15"/>
      <c r="N122" s="15"/>
      <c r="O122" s="15"/>
    </row>
    <row r="123">
      <c r="M123" s="15"/>
      <c r="N123" s="15"/>
      <c r="O123" s="15"/>
    </row>
    <row r="124">
      <c r="M124" s="15"/>
      <c r="N124" s="15"/>
      <c r="O124" s="15"/>
    </row>
    <row r="125">
      <c r="M125" s="15"/>
      <c r="N125" s="15"/>
      <c r="O125" s="15"/>
    </row>
    <row r="126">
      <c r="M126" s="15"/>
      <c r="N126" s="15"/>
      <c r="O126" s="15"/>
    </row>
    <row r="127">
      <c r="M127" s="15"/>
      <c r="N127" s="15"/>
      <c r="O127" s="15"/>
    </row>
    <row r="128">
      <c r="M128" s="15"/>
      <c r="N128" s="15"/>
      <c r="O128" s="15"/>
    </row>
    <row r="129">
      <c r="M129" s="15"/>
      <c r="N129" s="15"/>
      <c r="O129" s="15"/>
    </row>
    <row r="130">
      <c r="M130" s="15"/>
      <c r="N130" s="15"/>
      <c r="O130" s="15"/>
    </row>
    <row r="131">
      <c r="M131" s="15"/>
      <c r="N131" s="15"/>
      <c r="O131" s="15"/>
    </row>
    <row r="132">
      <c r="M132" s="15"/>
      <c r="N132" s="15"/>
      <c r="O132" s="15"/>
    </row>
    <row r="133">
      <c r="M133" s="15"/>
      <c r="N133" s="15"/>
      <c r="O133" s="15"/>
    </row>
    <row r="134">
      <c r="M134" s="15"/>
      <c r="N134" s="15"/>
      <c r="O134" s="15"/>
    </row>
    <row r="135">
      <c r="M135" s="15"/>
      <c r="N135" s="15"/>
      <c r="O135" s="15"/>
    </row>
    <row r="136">
      <c r="M136" s="15"/>
      <c r="N136" s="15"/>
      <c r="O136" s="15"/>
    </row>
    <row r="137">
      <c r="M137" s="15"/>
      <c r="N137" s="15"/>
      <c r="O137" s="15"/>
    </row>
    <row r="138">
      <c r="M138" s="15"/>
      <c r="N138" s="15"/>
      <c r="O138" s="15"/>
    </row>
    <row r="139">
      <c r="M139" s="15"/>
      <c r="N139" s="15"/>
      <c r="O139" s="15"/>
    </row>
    <row r="140">
      <c r="M140" s="15"/>
      <c r="N140" s="15"/>
      <c r="O140" s="15"/>
    </row>
    <row r="141">
      <c r="M141" s="15"/>
      <c r="N141" s="15"/>
      <c r="O141" s="15"/>
    </row>
    <row r="142">
      <c r="M142" s="15"/>
      <c r="N142" s="15"/>
      <c r="O142" s="15"/>
    </row>
    <row r="143">
      <c r="M143" s="15"/>
      <c r="N143" s="15"/>
      <c r="O143" s="15"/>
    </row>
    <row r="144">
      <c r="M144" s="15"/>
      <c r="N144" s="15"/>
      <c r="O144" s="15"/>
    </row>
    <row r="145">
      <c r="M145" s="15"/>
      <c r="N145" s="15"/>
      <c r="O145" s="15"/>
    </row>
    <row r="146">
      <c r="M146" s="15"/>
      <c r="N146" s="15"/>
      <c r="O146" s="15"/>
    </row>
    <row r="147">
      <c r="M147" s="15"/>
      <c r="N147" s="15"/>
      <c r="O147" s="15"/>
    </row>
    <row r="148">
      <c r="M148" s="15"/>
      <c r="N148" s="15"/>
      <c r="O148" s="15"/>
    </row>
    <row r="149">
      <c r="M149" s="15"/>
      <c r="N149" s="15"/>
      <c r="O149" s="15"/>
    </row>
    <row r="150">
      <c r="M150" s="15"/>
      <c r="N150" s="15"/>
      <c r="O150" s="15"/>
    </row>
    <row r="151">
      <c r="M151" s="15"/>
      <c r="N151" s="15"/>
      <c r="O151" s="15"/>
    </row>
    <row r="152">
      <c r="M152" s="15"/>
      <c r="N152" s="15"/>
      <c r="O152" s="15"/>
    </row>
    <row r="153">
      <c r="M153" s="15"/>
      <c r="N153" s="15"/>
      <c r="O153" s="15"/>
    </row>
    <row r="154">
      <c r="M154" s="15"/>
      <c r="N154" s="15"/>
      <c r="O154" s="15"/>
    </row>
    <row r="155">
      <c r="M155" s="15"/>
      <c r="N155" s="15"/>
      <c r="O155" s="15"/>
    </row>
    <row r="156">
      <c r="M156" s="15"/>
      <c r="N156" s="15"/>
      <c r="O156" s="15"/>
    </row>
    <row r="157">
      <c r="M157" s="15"/>
      <c r="N157" s="15"/>
      <c r="O157" s="15"/>
    </row>
    <row r="158">
      <c r="M158" s="15"/>
      <c r="N158" s="15"/>
      <c r="O158" s="15"/>
    </row>
    <row r="159">
      <c r="M159" s="15"/>
      <c r="N159" s="15"/>
      <c r="O159" s="15"/>
    </row>
    <row r="160">
      <c r="M160" s="15"/>
      <c r="N160" s="15"/>
      <c r="O160" s="15"/>
    </row>
    <row r="161">
      <c r="M161" s="15"/>
      <c r="N161" s="15"/>
      <c r="O161" s="15"/>
    </row>
    <row r="162">
      <c r="M162" s="15"/>
      <c r="N162" s="15"/>
      <c r="O162" s="15"/>
    </row>
    <row r="163">
      <c r="M163" s="15"/>
      <c r="N163" s="15"/>
      <c r="O163" s="15"/>
    </row>
    <row r="164">
      <c r="M164" s="15"/>
      <c r="N164" s="15"/>
      <c r="O164" s="15"/>
    </row>
    <row r="165">
      <c r="M165" s="15"/>
      <c r="N165" s="15"/>
      <c r="O165" s="15"/>
    </row>
    <row r="166">
      <c r="M166" s="15"/>
      <c r="N166" s="15"/>
      <c r="O166" s="15"/>
    </row>
    <row r="167">
      <c r="M167" s="15"/>
      <c r="N167" s="15"/>
      <c r="O167" s="15"/>
    </row>
    <row r="168">
      <c r="M168" s="15"/>
      <c r="N168" s="15"/>
      <c r="O168" s="15"/>
    </row>
    <row r="169">
      <c r="M169" s="15"/>
      <c r="N169" s="15"/>
      <c r="O169" s="15"/>
    </row>
    <row r="170">
      <c r="M170" s="15"/>
      <c r="N170" s="15"/>
      <c r="O170" s="15"/>
    </row>
    <row r="171">
      <c r="M171" s="15"/>
      <c r="N171" s="15"/>
      <c r="O171" s="15"/>
    </row>
    <row r="172">
      <c r="M172" s="15"/>
      <c r="N172" s="15"/>
      <c r="O172" s="15"/>
    </row>
    <row r="173">
      <c r="M173" s="15"/>
      <c r="N173" s="15"/>
      <c r="O173" s="15"/>
    </row>
    <row r="174">
      <c r="M174" s="15"/>
      <c r="N174" s="15"/>
      <c r="O174" s="15"/>
    </row>
    <row r="175">
      <c r="M175" s="15"/>
      <c r="N175" s="15"/>
      <c r="O175" s="15"/>
    </row>
    <row r="176">
      <c r="M176" s="15"/>
      <c r="N176" s="15"/>
      <c r="O176" s="15"/>
    </row>
    <row r="177">
      <c r="M177" s="15"/>
      <c r="N177" s="15"/>
      <c r="O177" s="15"/>
    </row>
    <row r="178">
      <c r="M178" s="15"/>
      <c r="N178" s="15"/>
      <c r="O178" s="15"/>
    </row>
    <row r="179">
      <c r="M179" s="15"/>
      <c r="N179" s="15"/>
      <c r="O179" s="15"/>
    </row>
    <row r="180">
      <c r="M180" s="15"/>
      <c r="N180" s="15"/>
      <c r="O180" s="15"/>
    </row>
    <row r="181">
      <c r="M181" s="15"/>
      <c r="N181" s="15"/>
      <c r="O181" s="15"/>
    </row>
    <row r="182">
      <c r="M182" s="15"/>
      <c r="N182" s="15"/>
      <c r="O182" s="15"/>
    </row>
    <row r="183">
      <c r="M183" s="15"/>
      <c r="N183" s="15"/>
      <c r="O183" s="15"/>
    </row>
    <row r="184">
      <c r="M184" s="15"/>
      <c r="N184" s="15"/>
      <c r="O184" s="15"/>
    </row>
    <row r="185">
      <c r="M185" s="15"/>
      <c r="N185" s="15"/>
      <c r="O185" s="15"/>
    </row>
    <row r="186">
      <c r="M186" s="15"/>
      <c r="N186" s="15"/>
      <c r="O186" s="15"/>
    </row>
    <row r="187">
      <c r="M187" s="15"/>
      <c r="N187" s="15"/>
      <c r="O187" s="15"/>
    </row>
    <row r="188">
      <c r="M188" s="15"/>
      <c r="N188" s="15"/>
      <c r="O188" s="15"/>
    </row>
    <row r="189">
      <c r="M189" s="15"/>
      <c r="N189" s="15"/>
      <c r="O189" s="15"/>
    </row>
    <row r="190">
      <c r="M190" s="15"/>
      <c r="N190" s="15"/>
      <c r="O190" s="15"/>
    </row>
    <row r="191">
      <c r="M191" s="15"/>
      <c r="N191" s="15"/>
      <c r="O191" s="15"/>
    </row>
    <row r="192">
      <c r="M192" s="15"/>
      <c r="N192" s="15"/>
      <c r="O192" s="15"/>
    </row>
    <row r="193">
      <c r="M193" s="15"/>
      <c r="N193" s="15"/>
      <c r="O193" s="15"/>
    </row>
    <row r="194">
      <c r="M194" s="15"/>
      <c r="N194" s="15"/>
      <c r="O194" s="15"/>
    </row>
    <row r="195">
      <c r="M195" s="15"/>
      <c r="N195" s="15"/>
      <c r="O195" s="15"/>
    </row>
    <row r="196">
      <c r="M196" s="15"/>
      <c r="N196" s="15"/>
      <c r="O196" s="15"/>
    </row>
    <row r="197">
      <c r="M197" s="15"/>
      <c r="N197" s="15"/>
      <c r="O197" s="15"/>
    </row>
    <row r="198">
      <c r="M198" s="15"/>
      <c r="N198" s="15"/>
      <c r="O198" s="15"/>
    </row>
    <row r="199">
      <c r="M199" s="15"/>
      <c r="N199" s="15"/>
      <c r="O199" s="15"/>
    </row>
    <row r="200">
      <c r="M200" s="15"/>
      <c r="N200" s="15"/>
      <c r="O200" s="15"/>
    </row>
    <row r="201">
      <c r="M201" s="15"/>
      <c r="N201" s="15"/>
      <c r="O201" s="15"/>
    </row>
    <row r="202">
      <c r="M202" s="15"/>
      <c r="N202" s="15"/>
      <c r="O202" s="15"/>
    </row>
    <row r="203">
      <c r="M203" s="15"/>
      <c r="N203" s="15"/>
      <c r="O203" s="15"/>
    </row>
    <row r="204">
      <c r="M204" s="15"/>
      <c r="N204" s="15"/>
      <c r="O204" s="15"/>
    </row>
    <row r="205">
      <c r="M205" s="15"/>
      <c r="N205" s="15"/>
      <c r="O205" s="15"/>
    </row>
    <row r="206">
      <c r="M206" s="15"/>
      <c r="N206" s="15"/>
      <c r="O206" s="15"/>
    </row>
    <row r="207">
      <c r="M207" s="15"/>
      <c r="N207" s="15"/>
      <c r="O207" s="15"/>
    </row>
    <row r="208">
      <c r="M208" s="15"/>
      <c r="N208" s="15"/>
      <c r="O208" s="15"/>
    </row>
    <row r="209">
      <c r="M209" s="15"/>
      <c r="N209" s="15"/>
      <c r="O209" s="15"/>
    </row>
    <row r="210">
      <c r="M210" s="15"/>
      <c r="N210" s="15"/>
      <c r="O210" s="15"/>
    </row>
    <row r="211">
      <c r="M211" s="15"/>
      <c r="N211" s="15"/>
      <c r="O211" s="15"/>
    </row>
    <row r="212">
      <c r="M212" s="15"/>
      <c r="N212" s="15"/>
      <c r="O212" s="15"/>
    </row>
    <row r="213">
      <c r="M213" s="15"/>
      <c r="N213" s="15"/>
      <c r="O213" s="15"/>
    </row>
    <row r="214">
      <c r="M214" s="15"/>
      <c r="N214" s="15"/>
      <c r="O214" s="15"/>
    </row>
    <row r="215">
      <c r="M215" s="15"/>
      <c r="N215" s="15"/>
      <c r="O215" s="15"/>
    </row>
    <row r="216">
      <c r="M216" s="15"/>
      <c r="N216" s="15"/>
      <c r="O216" s="15"/>
    </row>
    <row r="217">
      <c r="M217" s="15"/>
      <c r="N217" s="15"/>
      <c r="O217" s="15"/>
    </row>
    <row r="218">
      <c r="M218" s="15"/>
      <c r="N218" s="15"/>
      <c r="O218" s="15"/>
    </row>
    <row r="219">
      <c r="M219" s="15"/>
      <c r="N219" s="15"/>
      <c r="O219" s="15"/>
    </row>
    <row r="220">
      <c r="M220" s="15"/>
      <c r="N220" s="15"/>
      <c r="O220" s="15"/>
    </row>
    <row r="221">
      <c r="M221" s="15"/>
      <c r="N221" s="15"/>
      <c r="O221" s="15"/>
    </row>
    <row r="222">
      <c r="M222" s="15"/>
      <c r="N222" s="15"/>
      <c r="O222" s="15"/>
    </row>
    <row r="223">
      <c r="M223" s="15"/>
      <c r="N223" s="15"/>
      <c r="O223" s="15"/>
    </row>
    <row r="224">
      <c r="M224" s="15"/>
      <c r="N224" s="15"/>
      <c r="O224" s="15"/>
    </row>
    <row r="225">
      <c r="M225" s="15"/>
      <c r="N225" s="15"/>
      <c r="O225" s="15"/>
    </row>
    <row r="226">
      <c r="M226" s="15"/>
      <c r="N226" s="15"/>
      <c r="O226" s="15"/>
    </row>
    <row r="227">
      <c r="M227" s="15"/>
      <c r="N227" s="15"/>
      <c r="O227" s="15"/>
    </row>
    <row r="228">
      <c r="M228" s="15"/>
      <c r="N228" s="15"/>
      <c r="O228" s="15"/>
    </row>
    <row r="229">
      <c r="M229" s="15"/>
      <c r="N229" s="15"/>
      <c r="O229" s="15"/>
    </row>
    <row r="230">
      <c r="M230" s="15"/>
      <c r="N230" s="15"/>
      <c r="O230" s="15"/>
    </row>
    <row r="231">
      <c r="M231" s="15"/>
      <c r="N231" s="15"/>
      <c r="O231" s="15"/>
    </row>
    <row r="232">
      <c r="M232" s="15"/>
      <c r="N232" s="15"/>
      <c r="O232" s="15"/>
    </row>
    <row r="233">
      <c r="M233" s="15"/>
      <c r="N233" s="15"/>
      <c r="O233" s="15"/>
    </row>
    <row r="234">
      <c r="M234" s="15"/>
      <c r="N234" s="15"/>
      <c r="O234" s="15"/>
    </row>
    <row r="235">
      <c r="M235" s="15"/>
      <c r="N235" s="15"/>
      <c r="O235" s="15"/>
    </row>
    <row r="236">
      <c r="M236" s="15"/>
      <c r="N236" s="15"/>
      <c r="O236" s="15"/>
    </row>
    <row r="237">
      <c r="M237" s="15"/>
      <c r="N237" s="15"/>
      <c r="O237" s="15"/>
    </row>
    <row r="238">
      <c r="M238" s="15"/>
      <c r="N238" s="15"/>
      <c r="O238" s="15"/>
    </row>
    <row r="239">
      <c r="M239" s="15"/>
      <c r="N239" s="15"/>
      <c r="O239" s="15"/>
    </row>
    <row r="240">
      <c r="M240" s="15"/>
      <c r="N240" s="15"/>
      <c r="O240" s="15"/>
    </row>
    <row r="241">
      <c r="M241" s="15"/>
      <c r="N241" s="15"/>
      <c r="O241" s="15"/>
    </row>
    <row r="242">
      <c r="M242" s="15"/>
      <c r="N242" s="15"/>
      <c r="O242" s="15"/>
    </row>
    <row r="243">
      <c r="M243" s="15"/>
      <c r="N243" s="15"/>
      <c r="O243" s="15"/>
    </row>
    <row r="244">
      <c r="M244" s="15"/>
      <c r="N244" s="15"/>
      <c r="O244" s="15"/>
    </row>
    <row r="245">
      <c r="M245" s="15"/>
      <c r="N245" s="15"/>
      <c r="O245" s="15"/>
    </row>
    <row r="246">
      <c r="M246" s="15"/>
      <c r="N246" s="15"/>
      <c r="O246" s="15"/>
    </row>
    <row r="247">
      <c r="M247" s="15"/>
      <c r="N247" s="15"/>
      <c r="O247" s="15"/>
    </row>
    <row r="248">
      <c r="M248" s="15"/>
      <c r="N248" s="15"/>
      <c r="O248" s="15"/>
    </row>
    <row r="249">
      <c r="M249" s="15"/>
      <c r="N249" s="15"/>
      <c r="O249" s="15"/>
    </row>
    <row r="250">
      <c r="M250" s="15"/>
      <c r="N250" s="15"/>
      <c r="O250" s="15"/>
    </row>
    <row r="251">
      <c r="M251" s="15"/>
      <c r="N251" s="15"/>
      <c r="O251" s="15"/>
    </row>
    <row r="252">
      <c r="M252" s="15"/>
      <c r="N252" s="15"/>
      <c r="O252" s="15"/>
    </row>
    <row r="253">
      <c r="M253" s="15"/>
      <c r="N253" s="15"/>
      <c r="O253" s="15"/>
    </row>
    <row r="254">
      <c r="M254" s="15"/>
      <c r="N254" s="15"/>
      <c r="O254" s="15"/>
    </row>
    <row r="255">
      <c r="M255" s="15"/>
      <c r="N255" s="15"/>
      <c r="O255" s="15"/>
    </row>
    <row r="256">
      <c r="M256" s="15"/>
      <c r="N256" s="15"/>
      <c r="O256" s="15"/>
    </row>
    <row r="257">
      <c r="M257" s="15"/>
      <c r="N257" s="15"/>
      <c r="O257" s="15"/>
    </row>
    <row r="258">
      <c r="M258" s="15"/>
      <c r="N258" s="15"/>
      <c r="O258" s="15"/>
    </row>
    <row r="259">
      <c r="M259" s="15"/>
      <c r="N259" s="15"/>
      <c r="O259" s="15"/>
    </row>
    <row r="260">
      <c r="M260" s="15"/>
      <c r="N260" s="15"/>
      <c r="O260" s="15"/>
    </row>
    <row r="261">
      <c r="M261" s="15"/>
      <c r="N261" s="15"/>
      <c r="O261" s="15"/>
    </row>
    <row r="262">
      <c r="M262" s="15"/>
      <c r="N262" s="15"/>
      <c r="O262" s="15"/>
    </row>
    <row r="263">
      <c r="M263" s="15"/>
      <c r="N263" s="15"/>
      <c r="O263" s="15"/>
    </row>
    <row r="264">
      <c r="M264" s="15"/>
      <c r="N264" s="15"/>
      <c r="O264" s="15"/>
    </row>
    <row r="265">
      <c r="M265" s="15"/>
      <c r="N265" s="15"/>
      <c r="O265" s="15"/>
    </row>
    <row r="266">
      <c r="M266" s="15"/>
      <c r="N266" s="15"/>
      <c r="O266" s="15"/>
    </row>
    <row r="267">
      <c r="M267" s="15"/>
      <c r="N267" s="15"/>
      <c r="O267" s="15"/>
    </row>
    <row r="268">
      <c r="M268" s="15"/>
      <c r="N268" s="15"/>
      <c r="O268" s="15"/>
    </row>
    <row r="269">
      <c r="M269" s="15"/>
      <c r="N269" s="15"/>
      <c r="O269" s="15"/>
    </row>
    <row r="270">
      <c r="M270" s="15"/>
      <c r="N270" s="15"/>
      <c r="O270" s="15"/>
    </row>
    <row r="271">
      <c r="M271" s="15"/>
      <c r="N271" s="15"/>
      <c r="O271" s="15"/>
    </row>
    <row r="272">
      <c r="M272" s="15"/>
      <c r="N272" s="15"/>
      <c r="O272" s="15"/>
    </row>
    <row r="273">
      <c r="M273" s="15"/>
      <c r="N273" s="15"/>
      <c r="O273" s="15"/>
    </row>
    <row r="274">
      <c r="M274" s="15"/>
      <c r="N274" s="15"/>
      <c r="O274" s="15"/>
    </row>
    <row r="275">
      <c r="M275" s="15"/>
      <c r="N275" s="15"/>
      <c r="O275" s="15"/>
    </row>
    <row r="276">
      <c r="M276" s="15"/>
      <c r="N276" s="15"/>
      <c r="O276" s="15"/>
    </row>
    <row r="277">
      <c r="M277" s="15"/>
      <c r="N277" s="15"/>
      <c r="O277" s="15"/>
    </row>
    <row r="278">
      <c r="M278" s="15"/>
      <c r="N278" s="15"/>
      <c r="O278" s="15"/>
    </row>
    <row r="279">
      <c r="M279" s="15"/>
      <c r="N279" s="15"/>
      <c r="O279" s="15"/>
    </row>
    <row r="280">
      <c r="M280" s="15"/>
      <c r="N280" s="15"/>
      <c r="O280" s="15"/>
    </row>
    <row r="281">
      <c r="M281" s="15"/>
      <c r="N281" s="15"/>
      <c r="O281" s="15"/>
    </row>
    <row r="282">
      <c r="M282" s="15"/>
      <c r="N282" s="15"/>
      <c r="O282" s="15"/>
    </row>
    <row r="283">
      <c r="M283" s="15"/>
      <c r="N283" s="15"/>
      <c r="O283" s="15"/>
    </row>
    <row r="284">
      <c r="M284" s="15"/>
      <c r="N284" s="15"/>
      <c r="O284" s="15"/>
    </row>
    <row r="285">
      <c r="M285" s="15"/>
      <c r="N285" s="15"/>
      <c r="O285" s="15"/>
    </row>
    <row r="286">
      <c r="M286" s="15"/>
      <c r="N286" s="15"/>
      <c r="O286" s="15"/>
    </row>
    <row r="287">
      <c r="M287" s="15"/>
      <c r="N287" s="15"/>
      <c r="O287" s="15"/>
    </row>
    <row r="288">
      <c r="M288" s="15"/>
      <c r="N288" s="15"/>
      <c r="O288" s="15"/>
    </row>
    <row r="289">
      <c r="M289" s="15"/>
      <c r="N289" s="15"/>
      <c r="O289" s="15"/>
    </row>
    <row r="290">
      <c r="M290" s="15"/>
      <c r="N290" s="15"/>
      <c r="O290" s="15"/>
    </row>
    <row r="291">
      <c r="M291" s="15"/>
      <c r="N291" s="15"/>
      <c r="O291" s="15"/>
    </row>
    <row r="292">
      <c r="M292" s="15"/>
      <c r="N292" s="15"/>
      <c r="O292" s="15"/>
    </row>
    <row r="293">
      <c r="M293" s="15"/>
      <c r="N293" s="15"/>
      <c r="O293" s="15"/>
    </row>
    <row r="294">
      <c r="M294" s="15"/>
      <c r="N294" s="15"/>
      <c r="O294" s="15"/>
    </row>
    <row r="295">
      <c r="M295" s="15"/>
      <c r="N295" s="15"/>
      <c r="O295" s="15"/>
    </row>
    <row r="296">
      <c r="M296" s="15"/>
      <c r="N296" s="15"/>
      <c r="O296" s="15"/>
    </row>
    <row r="297">
      <c r="M297" s="15"/>
      <c r="N297" s="15"/>
      <c r="O297" s="15"/>
    </row>
    <row r="298">
      <c r="M298" s="15"/>
      <c r="N298" s="15"/>
      <c r="O298" s="15"/>
    </row>
    <row r="299">
      <c r="M299" s="15"/>
      <c r="N299" s="15"/>
      <c r="O299" s="15"/>
    </row>
    <row r="300">
      <c r="M300" s="15"/>
      <c r="N300" s="15"/>
      <c r="O300" s="15"/>
    </row>
    <row r="301">
      <c r="M301" s="15"/>
      <c r="N301" s="15"/>
      <c r="O301" s="15"/>
    </row>
    <row r="302">
      <c r="M302" s="15"/>
      <c r="N302" s="15"/>
      <c r="O302" s="15"/>
    </row>
    <row r="303">
      <c r="M303" s="15"/>
      <c r="N303" s="15"/>
      <c r="O303" s="15"/>
    </row>
    <row r="304">
      <c r="M304" s="15"/>
      <c r="N304" s="15"/>
      <c r="O304" s="15"/>
    </row>
    <row r="305">
      <c r="M305" s="15"/>
      <c r="N305" s="15"/>
      <c r="O305" s="15"/>
    </row>
    <row r="306">
      <c r="M306" s="15"/>
      <c r="N306" s="15"/>
      <c r="O306" s="15"/>
    </row>
    <row r="307">
      <c r="M307" s="15"/>
      <c r="N307" s="15"/>
      <c r="O307" s="15"/>
    </row>
    <row r="308">
      <c r="M308" s="15"/>
      <c r="N308" s="15"/>
      <c r="O308" s="15"/>
    </row>
    <row r="309">
      <c r="M309" s="15"/>
      <c r="N309" s="15"/>
      <c r="O309" s="15"/>
    </row>
    <row r="310">
      <c r="M310" s="15"/>
      <c r="N310" s="15"/>
      <c r="O310" s="15"/>
    </row>
    <row r="311">
      <c r="M311" s="15"/>
      <c r="N311" s="15"/>
      <c r="O311" s="15"/>
    </row>
    <row r="312">
      <c r="M312" s="15"/>
      <c r="N312" s="15"/>
      <c r="O312" s="15"/>
    </row>
    <row r="313">
      <c r="M313" s="15"/>
      <c r="N313" s="15"/>
      <c r="O313" s="15"/>
    </row>
    <row r="314">
      <c r="M314" s="15"/>
      <c r="N314" s="15"/>
      <c r="O314" s="15"/>
    </row>
    <row r="315">
      <c r="M315" s="15"/>
      <c r="N315" s="15"/>
      <c r="O315" s="15"/>
    </row>
    <row r="316">
      <c r="M316" s="15"/>
      <c r="N316" s="15"/>
      <c r="O316" s="15"/>
    </row>
    <row r="317">
      <c r="M317" s="15"/>
      <c r="N317" s="15"/>
      <c r="O317" s="15"/>
    </row>
    <row r="318">
      <c r="M318" s="15"/>
      <c r="N318" s="15"/>
      <c r="O318" s="15"/>
    </row>
    <row r="319">
      <c r="M319" s="15"/>
      <c r="N319" s="15"/>
      <c r="O319" s="15"/>
    </row>
    <row r="320">
      <c r="M320" s="15"/>
      <c r="N320" s="15"/>
      <c r="O320" s="15"/>
    </row>
    <row r="321">
      <c r="M321" s="15"/>
      <c r="N321" s="15"/>
      <c r="O321" s="15"/>
    </row>
    <row r="322">
      <c r="M322" s="15"/>
      <c r="N322" s="15"/>
      <c r="O322" s="15"/>
    </row>
    <row r="323">
      <c r="M323" s="15"/>
      <c r="N323" s="15"/>
      <c r="O323" s="15"/>
    </row>
    <row r="324">
      <c r="M324" s="15"/>
      <c r="N324" s="15"/>
      <c r="O324" s="15"/>
    </row>
    <row r="325">
      <c r="M325" s="15"/>
      <c r="N325" s="15"/>
      <c r="O325" s="15"/>
    </row>
    <row r="326">
      <c r="M326" s="15"/>
      <c r="N326" s="15"/>
      <c r="O326" s="15"/>
    </row>
    <row r="327">
      <c r="M327" s="15"/>
      <c r="N327" s="15"/>
      <c r="O327" s="15"/>
    </row>
    <row r="328">
      <c r="M328" s="15"/>
      <c r="N328" s="15"/>
      <c r="O328" s="15"/>
    </row>
    <row r="329">
      <c r="M329" s="15"/>
      <c r="N329" s="15"/>
      <c r="O329" s="15"/>
    </row>
    <row r="330">
      <c r="M330" s="15"/>
      <c r="N330" s="15"/>
      <c r="O330" s="15"/>
    </row>
    <row r="331">
      <c r="M331" s="15"/>
      <c r="N331" s="15"/>
      <c r="O331" s="15"/>
    </row>
    <row r="332">
      <c r="M332" s="15"/>
      <c r="N332" s="15"/>
      <c r="O332" s="15"/>
    </row>
    <row r="333">
      <c r="M333" s="15"/>
      <c r="N333" s="15"/>
      <c r="O333" s="15"/>
    </row>
    <row r="334">
      <c r="M334" s="15"/>
      <c r="N334" s="15"/>
      <c r="O334" s="15"/>
    </row>
    <row r="335">
      <c r="M335" s="15"/>
      <c r="N335" s="15"/>
      <c r="O335" s="15"/>
    </row>
    <row r="336">
      <c r="M336" s="15"/>
      <c r="N336" s="15"/>
      <c r="O336" s="15"/>
    </row>
    <row r="337">
      <c r="M337" s="15"/>
      <c r="N337" s="15"/>
      <c r="O337" s="15"/>
    </row>
    <row r="338">
      <c r="M338" s="15"/>
      <c r="N338" s="15"/>
      <c r="O338" s="15"/>
    </row>
    <row r="339">
      <c r="M339" s="15"/>
      <c r="N339" s="15"/>
      <c r="O339" s="15"/>
    </row>
    <row r="340">
      <c r="M340" s="15"/>
      <c r="N340" s="15"/>
      <c r="O340" s="15"/>
    </row>
    <row r="341">
      <c r="M341" s="15"/>
      <c r="N341" s="15"/>
      <c r="O341" s="15"/>
    </row>
    <row r="342">
      <c r="M342" s="15"/>
      <c r="N342" s="15"/>
      <c r="O342" s="15"/>
    </row>
    <row r="343">
      <c r="M343" s="15"/>
      <c r="N343" s="15"/>
      <c r="O343" s="15"/>
    </row>
    <row r="344">
      <c r="M344" s="15"/>
      <c r="N344" s="15"/>
      <c r="O344" s="15"/>
    </row>
    <row r="345">
      <c r="M345" s="15"/>
      <c r="N345" s="15"/>
      <c r="O345" s="15"/>
    </row>
    <row r="346">
      <c r="M346" s="15"/>
      <c r="N346" s="15"/>
      <c r="O346" s="15"/>
    </row>
    <row r="347">
      <c r="M347" s="15"/>
      <c r="N347" s="15"/>
      <c r="O347" s="15"/>
    </row>
    <row r="348">
      <c r="M348" s="15"/>
      <c r="N348" s="15"/>
      <c r="O348" s="15"/>
    </row>
    <row r="349">
      <c r="M349" s="15"/>
      <c r="N349" s="15"/>
      <c r="O349" s="15"/>
    </row>
    <row r="350">
      <c r="M350" s="15"/>
      <c r="N350" s="15"/>
      <c r="O350" s="15"/>
    </row>
    <row r="351">
      <c r="M351" s="15"/>
      <c r="N351" s="15"/>
      <c r="O351" s="15"/>
    </row>
    <row r="352">
      <c r="M352" s="15"/>
      <c r="N352" s="15"/>
      <c r="O352" s="15"/>
    </row>
    <row r="353">
      <c r="M353" s="15"/>
      <c r="N353" s="15"/>
      <c r="O353" s="15"/>
    </row>
    <row r="354">
      <c r="M354" s="15"/>
      <c r="N354" s="15"/>
      <c r="O354" s="15"/>
    </row>
    <row r="355">
      <c r="M355" s="15"/>
      <c r="N355" s="15"/>
      <c r="O355" s="15"/>
    </row>
    <row r="356">
      <c r="M356" s="15"/>
      <c r="N356" s="15"/>
      <c r="O356" s="15"/>
    </row>
    <row r="357">
      <c r="M357" s="15"/>
      <c r="N357" s="15"/>
      <c r="O357" s="15"/>
    </row>
    <row r="358">
      <c r="M358" s="15"/>
      <c r="N358" s="15"/>
      <c r="O358" s="15"/>
    </row>
    <row r="359">
      <c r="M359" s="15"/>
      <c r="N359" s="15"/>
      <c r="O359" s="15"/>
    </row>
    <row r="360">
      <c r="M360" s="15"/>
      <c r="N360" s="15"/>
      <c r="O360" s="15"/>
    </row>
    <row r="361">
      <c r="M361" s="15"/>
      <c r="N361" s="15"/>
      <c r="O361" s="15"/>
    </row>
    <row r="362">
      <c r="M362" s="15"/>
      <c r="N362" s="15"/>
      <c r="O362" s="15"/>
    </row>
    <row r="363">
      <c r="M363" s="15"/>
      <c r="N363" s="15"/>
      <c r="O363" s="15"/>
    </row>
    <row r="364">
      <c r="M364" s="15"/>
      <c r="N364" s="15"/>
      <c r="O364" s="15"/>
    </row>
    <row r="365">
      <c r="M365" s="15"/>
      <c r="N365" s="15"/>
      <c r="O365" s="15"/>
    </row>
    <row r="366">
      <c r="M366" s="15"/>
      <c r="N366" s="15"/>
      <c r="O366" s="15"/>
    </row>
    <row r="367">
      <c r="M367" s="15"/>
      <c r="N367" s="15"/>
      <c r="O367" s="15"/>
    </row>
    <row r="368">
      <c r="M368" s="15"/>
      <c r="N368" s="15"/>
      <c r="O368" s="15"/>
    </row>
    <row r="369">
      <c r="M369" s="15"/>
      <c r="N369" s="15"/>
      <c r="O369" s="15"/>
    </row>
    <row r="370">
      <c r="M370" s="15"/>
      <c r="N370" s="15"/>
      <c r="O370" s="15"/>
    </row>
    <row r="371">
      <c r="M371" s="15"/>
      <c r="N371" s="15"/>
      <c r="O371" s="15"/>
    </row>
    <row r="372">
      <c r="M372" s="15"/>
      <c r="N372" s="15"/>
      <c r="O372" s="15"/>
    </row>
    <row r="373">
      <c r="M373" s="15"/>
      <c r="N373" s="15"/>
      <c r="O373" s="15"/>
    </row>
    <row r="374">
      <c r="M374" s="15"/>
      <c r="N374" s="15"/>
      <c r="O374" s="15"/>
    </row>
    <row r="375">
      <c r="M375" s="15"/>
      <c r="N375" s="15"/>
      <c r="O375" s="15"/>
    </row>
    <row r="376">
      <c r="M376" s="15"/>
      <c r="N376" s="15"/>
      <c r="O376" s="15"/>
    </row>
    <row r="377">
      <c r="M377" s="15"/>
      <c r="N377" s="15"/>
      <c r="O377" s="15"/>
    </row>
    <row r="378">
      <c r="M378" s="15"/>
      <c r="N378" s="15"/>
      <c r="O378" s="15"/>
    </row>
    <row r="379">
      <c r="M379" s="15"/>
      <c r="N379" s="15"/>
      <c r="O379" s="15"/>
    </row>
    <row r="380">
      <c r="M380" s="15"/>
      <c r="N380" s="15"/>
      <c r="O380" s="15"/>
    </row>
    <row r="381">
      <c r="M381" s="15"/>
      <c r="N381" s="15"/>
      <c r="O381" s="15"/>
    </row>
    <row r="382">
      <c r="M382" s="15"/>
      <c r="N382" s="15"/>
      <c r="O382" s="15"/>
    </row>
    <row r="383">
      <c r="M383" s="15"/>
      <c r="N383" s="15"/>
      <c r="O383" s="15"/>
    </row>
    <row r="384">
      <c r="M384" s="15"/>
      <c r="N384" s="15"/>
      <c r="O384" s="15"/>
    </row>
    <row r="385">
      <c r="M385" s="15"/>
      <c r="N385" s="15"/>
      <c r="O385" s="15"/>
    </row>
    <row r="386">
      <c r="M386" s="15"/>
      <c r="N386" s="15"/>
      <c r="O386" s="15"/>
    </row>
    <row r="387">
      <c r="M387" s="15"/>
      <c r="N387" s="15"/>
      <c r="O387" s="15"/>
    </row>
    <row r="388">
      <c r="M388" s="15"/>
      <c r="N388" s="15"/>
      <c r="O388" s="15"/>
    </row>
    <row r="389">
      <c r="M389" s="15"/>
      <c r="N389" s="15"/>
      <c r="O389" s="15"/>
    </row>
    <row r="390">
      <c r="M390" s="15"/>
      <c r="N390" s="15"/>
      <c r="O390" s="15"/>
    </row>
    <row r="391">
      <c r="M391" s="15"/>
      <c r="N391" s="15"/>
      <c r="O391" s="15"/>
    </row>
    <row r="392">
      <c r="M392" s="15"/>
      <c r="N392" s="15"/>
      <c r="O392" s="15"/>
    </row>
    <row r="393">
      <c r="M393" s="15"/>
      <c r="N393" s="15"/>
      <c r="O393" s="15"/>
    </row>
    <row r="394">
      <c r="M394" s="15"/>
      <c r="N394" s="15"/>
      <c r="O394" s="15"/>
    </row>
    <row r="395">
      <c r="M395" s="15"/>
      <c r="N395" s="15"/>
      <c r="O395" s="15"/>
    </row>
    <row r="396">
      <c r="M396" s="15"/>
      <c r="N396" s="15"/>
      <c r="O396" s="15"/>
    </row>
    <row r="397">
      <c r="M397" s="15"/>
      <c r="N397" s="15"/>
      <c r="O397" s="15"/>
    </row>
    <row r="398">
      <c r="M398" s="15"/>
      <c r="N398" s="15"/>
      <c r="O398" s="15"/>
    </row>
    <row r="399">
      <c r="M399" s="15"/>
      <c r="N399" s="15"/>
      <c r="O399" s="15"/>
    </row>
    <row r="400">
      <c r="M400" s="15"/>
      <c r="N400" s="15"/>
      <c r="O400" s="15"/>
    </row>
    <row r="401">
      <c r="M401" s="15"/>
      <c r="N401" s="15"/>
      <c r="O401" s="15"/>
    </row>
    <row r="402">
      <c r="M402" s="15"/>
      <c r="N402" s="15"/>
      <c r="O402" s="15"/>
    </row>
    <row r="403">
      <c r="M403" s="15"/>
      <c r="N403" s="15"/>
      <c r="O403" s="15"/>
    </row>
    <row r="404">
      <c r="M404" s="15"/>
      <c r="N404" s="15"/>
      <c r="O404" s="15"/>
    </row>
    <row r="405">
      <c r="M405" s="15"/>
      <c r="N405" s="15"/>
      <c r="O405" s="15"/>
    </row>
    <row r="406">
      <c r="M406" s="15"/>
      <c r="N406" s="15"/>
      <c r="O406" s="15"/>
    </row>
    <row r="407">
      <c r="M407" s="15"/>
      <c r="N407" s="15"/>
      <c r="O407" s="15"/>
    </row>
    <row r="408">
      <c r="M408" s="15"/>
      <c r="N408" s="15"/>
      <c r="O408" s="15"/>
    </row>
    <row r="409">
      <c r="M409" s="15"/>
      <c r="N409" s="15"/>
      <c r="O409" s="15"/>
    </row>
    <row r="410">
      <c r="M410" s="15"/>
      <c r="N410" s="15"/>
      <c r="O410" s="15"/>
    </row>
    <row r="411">
      <c r="M411" s="15"/>
      <c r="N411" s="15"/>
      <c r="O411" s="15"/>
    </row>
    <row r="412">
      <c r="M412" s="15"/>
      <c r="N412" s="15"/>
      <c r="O412" s="15"/>
    </row>
    <row r="413">
      <c r="M413" s="15"/>
      <c r="N413" s="15"/>
      <c r="O413" s="15"/>
    </row>
    <row r="414">
      <c r="M414" s="15"/>
      <c r="N414" s="15"/>
      <c r="O414" s="15"/>
    </row>
    <row r="415">
      <c r="M415" s="15"/>
      <c r="N415" s="15"/>
      <c r="O415" s="15"/>
    </row>
    <row r="416">
      <c r="M416" s="15"/>
      <c r="N416" s="15"/>
      <c r="O416" s="15"/>
    </row>
    <row r="417">
      <c r="M417" s="15"/>
      <c r="N417" s="15"/>
      <c r="O417" s="15"/>
    </row>
    <row r="418">
      <c r="M418" s="15"/>
      <c r="N418" s="15"/>
      <c r="O418" s="15"/>
    </row>
    <row r="419">
      <c r="M419" s="15"/>
      <c r="N419" s="15"/>
      <c r="O419" s="15"/>
    </row>
    <row r="420">
      <c r="M420" s="15"/>
      <c r="N420" s="15"/>
      <c r="O420" s="15"/>
    </row>
    <row r="421">
      <c r="M421" s="15"/>
      <c r="N421" s="15"/>
      <c r="O421" s="15"/>
    </row>
    <row r="422">
      <c r="M422" s="15"/>
      <c r="N422" s="15"/>
      <c r="O422" s="15"/>
    </row>
    <row r="423">
      <c r="M423" s="15"/>
      <c r="N423" s="15"/>
      <c r="O423" s="15"/>
    </row>
    <row r="424">
      <c r="M424" s="15"/>
      <c r="N424" s="15"/>
      <c r="O424" s="15"/>
    </row>
    <row r="425">
      <c r="M425" s="15"/>
      <c r="N425" s="15"/>
      <c r="O425" s="15"/>
    </row>
    <row r="426">
      <c r="M426" s="15"/>
      <c r="N426" s="15"/>
      <c r="O426" s="15"/>
    </row>
    <row r="427">
      <c r="M427" s="15"/>
      <c r="N427" s="15"/>
      <c r="O427" s="15"/>
    </row>
    <row r="428">
      <c r="M428" s="15"/>
      <c r="N428" s="15"/>
      <c r="O428" s="15"/>
    </row>
    <row r="429">
      <c r="M429" s="15"/>
      <c r="N429" s="15"/>
      <c r="O429" s="15"/>
    </row>
    <row r="430">
      <c r="M430" s="15"/>
      <c r="N430" s="15"/>
      <c r="O430" s="15"/>
    </row>
    <row r="431">
      <c r="M431" s="15"/>
      <c r="N431" s="15"/>
      <c r="O431" s="15"/>
    </row>
    <row r="432">
      <c r="M432" s="15"/>
      <c r="N432" s="15"/>
      <c r="O432" s="15"/>
    </row>
    <row r="433">
      <c r="M433" s="15"/>
      <c r="N433" s="15"/>
      <c r="O433" s="15"/>
    </row>
    <row r="434">
      <c r="M434" s="15"/>
      <c r="N434" s="15"/>
      <c r="O434" s="15"/>
    </row>
    <row r="435">
      <c r="M435" s="15"/>
      <c r="N435" s="15"/>
      <c r="O435" s="15"/>
    </row>
    <row r="436">
      <c r="M436" s="15"/>
      <c r="N436" s="15"/>
      <c r="O436" s="15"/>
    </row>
    <row r="437">
      <c r="M437" s="15"/>
      <c r="N437" s="15"/>
      <c r="O437" s="15"/>
    </row>
    <row r="438">
      <c r="M438" s="15"/>
      <c r="N438" s="15"/>
      <c r="O438" s="15"/>
    </row>
    <row r="439">
      <c r="M439" s="15"/>
      <c r="N439" s="15"/>
      <c r="O439" s="15"/>
    </row>
    <row r="440">
      <c r="M440" s="15"/>
      <c r="N440" s="15"/>
      <c r="O440" s="15"/>
    </row>
    <row r="441">
      <c r="M441" s="15"/>
      <c r="N441" s="15"/>
      <c r="O441" s="15"/>
    </row>
    <row r="442">
      <c r="M442" s="15"/>
      <c r="N442" s="15"/>
      <c r="O442" s="15"/>
    </row>
    <row r="443">
      <c r="M443" s="15"/>
      <c r="N443" s="15"/>
      <c r="O443" s="15"/>
    </row>
    <row r="444">
      <c r="M444" s="15"/>
      <c r="N444" s="15"/>
      <c r="O444" s="15"/>
    </row>
    <row r="445">
      <c r="M445" s="15"/>
      <c r="N445" s="15"/>
      <c r="O445" s="15"/>
    </row>
    <row r="446">
      <c r="M446" s="15"/>
      <c r="N446" s="15"/>
      <c r="O446" s="15"/>
    </row>
    <row r="447">
      <c r="M447" s="15"/>
      <c r="N447" s="15"/>
      <c r="O447" s="15"/>
    </row>
    <row r="448">
      <c r="M448" s="15"/>
      <c r="N448" s="15"/>
      <c r="O448" s="15"/>
    </row>
    <row r="449">
      <c r="M449" s="15"/>
      <c r="N449" s="15"/>
      <c r="O449" s="15"/>
    </row>
    <row r="450">
      <c r="M450" s="15"/>
      <c r="N450" s="15"/>
      <c r="O450" s="15"/>
    </row>
    <row r="451">
      <c r="M451" s="15"/>
      <c r="N451" s="15"/>
      <c r="O451" s="15"/>
    </row>
    <row r="452">
      <c r="M452" s="15"/>
      <c r="N452" s="15"/>
      <c r="O452" s="15"/>
    </row>
    <row r="453">
      <c r="M453" s="15"/>
      <c r="N453" s="15"/>
      <c r="O453" s="15"/>
    </row>
    <row r="454">
      <c r="M454" s="15"/>
      <c r="N454" s="15"/>
      <c r="O454" s="15"/>
    </row>
    <row r="455">
      <c r="M455" s="15"/>
      <c r="N455" s="15"/>
      <c r="O455" s="15"/>
    </row>
    <row r="456">
      <c r="M456" s="15"/>
      <c r="N456" s="15"/>
      <c r="O456" s="15"/>
    </row>
    <row r="457">
      <c r="M457" s="15"/>
      <c r="N457" s="15"/>
      <c r="O457" s="15"/>
    </row>
    <row r="458">
      <c r="M458" s="15"/>
      <c r="N458" s="15"/>
      <c r="O458" s="15"/>
    </row>
    <row r="459">
      <c r="M459" s="15"/>
      <c r="N459" s="15"/>
      <c r="O459" s="15"/>
    </row>
    <row r="460">
      <c r="M460" s="15"/>
      <c r="N460" s="15"/>
      <c r="O460" s="15"/>
    </row>
    <row r="461">
      <c r="M461" s="15"/>
      <c r="N461" s="15"/>
      <c r="O461" s="15"/>
    </row>
    <row r="462">
      <c r="M462" s="15"/>
      <c r="N462" s="15"/>
      <c r="O462" s="15"/>
    </row>
    <row r="463">
      <c r="M463" s="15"/>
      <c r="N463" s="15"/>
      <c r="O463" s="15"/>
    </row>
    <row r="464">
      <c r="M464" s="15"/>
      <c r="N464" s="15"/>
      <c r="O464" s="15"/>
    </row>
    <row r="465">
      <c r="M465" s="15"/>
      <c r="N465" s="15"/>
      <c r="O465" s="15"/>
    </row>
    <row r="466">
      <c r="M466" s="15"/>
      <c r="N466" s="15"/>
      <c r="O466" s="15"/>
    </row>
    <row r="467">
      <c r="M467" s="15"/>
      <c r="N467" s="15"/>
      <c r="O467" s="15"/>
    </row>
    <row r="468">
      <c r="M468" s="15"/>
      <c r="N468" s="15"/>
      <c r="O468" s="15"/>
    </row>
    <row r="469">
      <c r="M469" s="15"/>
      <c r="N469" s="15"/>
      <c r="O469" s="15"/>
    </row>
    <row r="470">
      <c r="M470" s="15"/>
      <c r="N470" s="15"/>
      <c r="O470" s="15"/>
    </row>
    <row r="471">
      <c r="M471" s="15"/>
      <c r="N471" s="15"/>
      <c r="O471" s="15"/>
    </row>
    <row r="472">
      <c r="M472" s="15"/>
      <c r="N472" s="15"/>
      <c r="O472" s="15"/>
    </row>
    <row r="473">
      <c r="M473" s="15"/>
      <c r="N473" s="15"/>
      <c r="O473" s="15"/>
    </row>
    <row r="474">
      <c r="M474" s="15"/>
      <c r="N474" s="15"/>
      <c r="O474" s="15"/>
    </row>
    <row r="475">
      <c r="M475" s="15"/>
      <c r="N475" s="15"/>
      <c r="O475" s="15"/>
    </row>
    <row r="476">
      <c r="M476" s="15"/>
      <c r="N476" s="15"/>
      <c r="O476" s="15"/>
    </row>
    <row r="477">
      <c r="M477" s="15"/>
      <c r="N477" s="15"/>
      <c r="O477" s="15"/>
    </row>
    <row r="478">
      <c r="M478" s="15"/>
      <c r="N478" s="15"/>
      <c r="O478" s="15"/>
    </row>
    <row r="479">
      <c r="M479" s="15"/>
      <c r="N479" s="15"/>
      <c r="O479" s="15"/>
    </row>
    <row r="480">
      <c r="M480" s="15"/>
      <c r="N480" s="15"/>
      <c r="O480" s="15"/>
    </row>
    <row r="481">
      <c r="M481" s="15"/>
      <c r="N481" s="15"/>
      <c r="O481" s="15"/>
    </row>
    <row r="482">
      <c r="M482" s="15"/>
      <c r="N482" s="15"/>
      <c r="O482" s="15"/>
    </row>
    <row r="483">
      <c r="M483" s="15"/>
      <c r="N483" s="15"/>
      <c r="O483" s="15"/>
    </row>
    <row r="484">
      <c r="M484" s="15"/>
      <c r="N484" s="15"/>
      <c r="O484" s="15"/>
    </row>
    <row r="485">
      <c r="M485" s="15"/>
      <c r="N485" s="15"/>
      <c r="O485" s="15"/>
    </row>
    <row r="486">
      <c r="M486" s="15"/>
      <c r="N486" s="15"/>
      <c r="O486" s="15"/>
    </row>
    <row r="487">
      <c r="M487" s="15"/>
      <c r="N487" s="15"/>
      <c r="O487" s="15"/>
    </row>
    <row r="488">
      <c r="M488" s="15"/>
      <c r="N488" s="15"/>
      <c r="O488" s="15"/>
    </row>
    <row r="489">
      <c r="M489" s="15"/>
      <c r="N489" s="15"/>
      <c r="O489" s="15"/>
    </row>
    <row r="490">
      <c r="M490" s="15"/>
      <c r="N490" s="15"/>
      <c r="O490" s="15"/>
    </row>
    <row r="491">
      <c r="M491" s="15"/>
      <c r="N491" s="15"/>
      <c r="O491" s="15"/>
    </row>
    <row r="492">
      <c r="M492" s="15"/>
      <c r="N492" s="15"/>
      <c r="O492" s="15"/>
    </row>
    <row r="493">
      <c r="M493" s="15"/>
      <c r="N493" s="15"/>
      <c r="O493" s="15"/>
    </row>
    <row r="494">
      <c r="M494" s="15"/>
      <c r="N494" s="15"/>
      <c r="O494" s="15"/>
    </row>
    <row r="495">
      <c r="M495" s="15"/>
      <c r="N495" s="15"/>
      <c r="O495" s="15"/>
    </row>
    <row r="496">
      <c r="M496" s="15"/>
      <c r="N496" s="15"/>
      <c r="O496" s="15"/>
    </row>
    <row r="497">
      <c r="M497" s="15"/>
      <c r="N497" s="15"/>
      <c r="O497" s="15"/>
    </row>
    <row r="498">
      <c r="M498" s="15"/>
      <c r="N498" s="15"/>
      <c r="O498" s="15"/>
    </row>
    <row r="499">
      <c r="M499" s="15"/>
      <c r="N499" s="15"/>
      <c r="O499" s="15"/>
    </row>
    <row r="500">
      <c r="M500" s="15"/>
      <c r="N500" s="15"/>
      <c r="O500" s="15"/>
    </row>
    <row r="501">
      <c r="M501" s="15"/>
      <c r="N501" s="15"/>
      <c r="O501" s="15"/>
    </row>
    <row r="502">
      <c r="M502" s="15"/>
      <c r="N502" s="15"/>
      <c r="O502" s="15"/>
    </row>
    <row r="503">
      <c r="M503" s="15"/>
      <c r="N503" s="15"/>
      <c r="O503" s="15"/>
    </row>
    <row r="504">
      <c r="M504" s="15"/>
      <c r="N504" s="15"/>
      <c r="O504" s="15"/>
    </row>
    <row r="505">
      <c r="M505" s="15"/>
      <c r="N505" s="15"/>
      <c r="O505" s="15"/>
    </row>
    <row r="506">
      <c r="M506" s="15"/>
      <c r="N506" s="15"/>
      <c r="O506" s="15"/>
    </row>
    <row r="507">
      <c r="M507" s="15"/>
      <c r="N507" s="15"/>
      <c r="O507" s="15"/>
    </row>
    <row r="508">
      <c r="M508" s="15"/>
      <c r="N508" s="15"/>
      <c r="O508" s="15"/>
    </row>
    <row r="509">
      <c r="M509" s="15"/>
      <c r="N509" s="15"/>
      <c r="O509" s="15"/>
    </row>
    <row r="510">
      <c r="M510" s="15"/>
      <c r="N510" s="15"/>
      <c r="O510" s="15"/>
    </row>
    <row r="511">
      <c r="M511" s="15"/>
      <c r="N511" s="15"/>
      <c r="O511" s="15"/>
    </row>
    <row r="512">
      <c r="M512" s="15"/>
      <c r="N512" s="15"/>
      <c r="O512" s="15"/>
    </row>
    <row r="513">
      <c r="M513" s="15"/>
      <c r="N513" s="15"/>
      <c r="O513" s="15"/>
    </row>
    <row r="514">
      <c r="M514" s="15"/>
      <c r="N514" s="15"/>
      <c r="O514" s="15"/>
    </row>
    <row r="515">
      <c r="M515" s="15"/>
      <c r="N515" s="15"/>
      <c r="O515" s="15"/>
    </row>
    <row r="516">
      <c r="M516" s="15"/>
      <c r="N516" s="15"/>
      <c r="O516" s="15"/>
    </row>
    <row r="517">
      <c r="M517" s="15"/>
      <c r="N517" s="15"/>
      <c r="O517" s="15"/>
    </row>
    <row r="518">
      <c r="M518" s="15"/>
      <c r="N518" s="15"/>
      <c r="O518" s="15"/>
    </row>
    <row r="519">
      <c r="M519" s="15"/>
      <c r="N519" s="15"/>
      <c r="O519" s="15"/>
    </row>
    <row r="520">
      <c r="M520" s="15"/>
      <c r="N520" s="15"/>
      <c r="O520" s="15"/>
    </row>
    <row r="521">
      <c r="M521" s="15"/>
      <c r="N521" s="15"/>
      <c r="O521" s="15"/>
    </row>
    <row r="522">
      <c r="M522" s="15"/>
      <c r="N522" s="15"/>
      <c r="O522" s="15"/>
    </row>
    <row r="523">
      <c r="M523" s="15"/>
      <c r="N523" s="15"/>
      <c r="O523" s="15"/>
    </row>
    <row r="524">
      <c r="M524" s="15"/>
      <c r="N524" s="15"/>
      <c r="O524" s="15"/>
    </row>
    <row r="525">
      <c r="M525" s="15"/>
      <c r="N525" s="15"/>
      <c r="O525" s="15"/>
    </row>
    <row r="526">
      <c r="M526" s="15"/>
      <c r="N526" s="15"/>
      <c r="O526" s="15"/>
    </row>
    <row r="527">
      <c r="M527" s="15"/>
      <c r="N527" s="15"/>
      <c r="O527" s="15"/>
    </row>
    <row r="528">
      <c r="M528" s="15"/>
      <c r="N528" s="15"/>
      <c r="O528" s="15"/>
    </row>
    <row r="529">
      <c r="M529" s="15"/>
      <c r="N529" s="15"/>
      <c r="O529" s="15"/>
    </row>
    <row r="530">
      <c r="M530" s="15"/>
      <c r="N530" s="15"/>
      <c r="O530" s="15"/>
    </row>
    <row r="531">
      <c r="M531" s="15"/>
      <c r="N531" s="15"/>
      <c r="O531" s="15"/>
    </row>
    <row r="532">
      <c r="M532" s="15"/>
      <c r="N532" s="15"/>
      <c r="O532" s="15"/>
    </row>
    <row r="533">
      <c r="M533" s="15"/>
      <c r="N533" s="15"/>
      <c r="O533" s="15"/>
    </row>
    <row r="534">
      <c r="M534" s="15"/>
      <c r="N534" s="15"/>
      <c r="O534" s="15"/>
    </row>
    <row r="535">
      <c r="M535" s="15"/>
      <c r="N535" s="15"/>
      <c r="O535" s="15"/>
    </row>
    <row r="536">
      <c r="M536" s="15"/>
      <c r="N536" s="15"/>
      <c r="O536" s="15"/>
    </row>
    <row r="537">
      <c r="M537" s="15"/>
      <c r="N537" s="15"/>
      <c r="O537" s="15"/>
    </row>
    <row r="538">
      <c r="M538" s="15"/>
      <c r="N538" s="15"/>
      <c r="O538" s="15"/>
    </row>
    <row r="539">
      <c r="M539" s="15"/>
      <c r="N539" s="15"/>
      <c r="O539" s="15"/>
    </row>
    <row r="540">
      <c r="M540" s="15"/>
      <c r="N540" s="15"/>
      <c r="O540" s="15"/>
    </row>
    <row r="541">
      <c r="M541" s="15"/>
      <c r="N541" s="15"/>
      <c r="O541" s="15"/>
    </row>
    <row r="542">
      <c r="M542" s="15"/>
      <c r="N542" s="15"/>
      <c r="O542" s="15"/>
    </row>
    <row r="543">
      <c r="M543" s="15"/>
      <c r="N543" s="15"/>
      <c r="O543" s="15"/>
    </row>
    <row r="544">
      <c r="M544" s="15"/>
      <c r="N544" s="15"/>
      <c r="O544" s="15"/>
    </row>
    <row r="545">
      <c r="M545" s="15"/>
      <c r="N545" s="15"/>
      <c r="O545" s="15"/>
    </row>
    <row r="546">
      <c r="M546" s="15"/>
      <c r="N546" s="15"/>
      <c r="O546" s="15"/>
    </row>
    <row r="547">
      <c r="M547" s="15"/>
      <c r="N547" s="15"/>
      <c r="O547" s="15"/>
    </row>
    <row r="548">
      <c r="M548" s="15"/>
      <c r="N548" s="15"/>
      <c r="O548" s="15"/>
    </row>
    <row r="549">
      <c r="M549" s="15"/>
      <c r="N549" s="15"/>
      <c r="O549" s="15"/>
    </row>
    <row r="550">
      <c r="M550" s="15"/>
      <c r="N550" s="15"/>
      <c r="O550" s="15"/>
    </row>
    <row r="551">
      <c r="M551" s="15"/>
      <c r="N551" s="15"/>
      <c r="O551" s="15"/>
    </row>
    <row r="552">
      <c r="M552" s="15"/>
      <c r="N552" s="15"/>
      <c r="O552" s="15"/>
    </row>
    <row r="553">
      <c r="M553" s="15"/>
      <c r="N553" s="15"/>
      <c r="O553" s="15"/>
    </row>
    <row r="554">
      <c r="M554" s="15"/>
      <c r="N554" s="15"/>
      <c r="O554" s="15"/>
    </row>
    <row r="555">
      <c r="M555" s="15"/>
      <c r="N555" s="15"/>
      <c r="O555" s="15"/>
    </row>
    <row r="556">
      <c r="M556" s="15"/>
      <c r="N556" s="15"/>
      <c r="O556" s="15"/>
    </row>
    <row r="557">
      <c r="M557" s="15"/>
      <c r="N557" s="15"/>
      <c r="O557" s="15"/>
    </row>
    <row r="558">
      <c r="M558" s="15"/>
      <c r="N558" s="15"/>
      <c r="O558" s="15"/>
    </row>
    <row r="559">
      <c r="M559" s="15"/>
      <c r="N559" s="15"/>
      <c r="O559" s="15"/>
    </row>
    <row r="560">
      <c r="M560" s="15"/>
      <c r="N560" s="15"/>
      <c r="O560" s="15"/>
    </row>
    <row r="561">
      <c r="M561" s="15"/>
      <c r="N561" s="15"/>
      <c r="O561" s="15"/>
    </row>
    <row r="562">
      <c r="M562" s="15"/>
      <c r="N562" s="15"/>
      <c r="O562" s="15"/>
    </row>
    <row r="563">
      <c r="M563" s="15"/>
      <c r="N563" s="15"/>
      <c r="O563" s="15"/>
    </row>
    <row r="564">
      <c r="M564" s="15"/>
      <c r="N564" s="15"/>
      <c r="O564" s="15"/>
    </row>
    <row r="565">
      <c r="M565" s="15"/>
      <c r="N565" s="15"/>
      <c r="O565" s="15"/>
    </row>
    <row r="566">
      <c r="M566" s="15"/>
      <c r="N566" s="15"/>
      <c r="O566" s="15"/>
    </row>
    <row r="567">
      <c r="M567" s="15"/>
      <c r="N567" s="15"/>
      <c r="O567" s="15"/>
    </row>
    <row r="568">
      <c r="M568" s="15"/>
      <c r="N568" s="15"/>
      <c r="O568" s="15"/>
    </row>
    <row r="569">
      <c r="M569" s="15"/>
      <c r="N569" s="15"/>
      <c r="O569" s="15"/>
    </row>
    <row r="570">
      <c r="M570" s="15"/>
      <c r="N570" s="15"/>
      <c r="O570" s="15"/>
    </row>
    <row r="571">
      <c r="M571" s="15"/>
      <c r="N571" s="15"/>
      <c r="O571" s="15"/>
    </row>
    <row r="572">
      <c r="M572" s="15"/>
      <c r="N572" s="15"/>
      <c r="O572" s="15"/>
    </row>
    <row r="573">
      <c r="M573" s="15"/>
      <c r="N573" s="15"/>
      <c r="O573" s="15"/>
    </row>
    <row r="574">
      <c r="M574" s="15"/>
      <c r="N574" s="15"/>
      <c r="O574" s="15"/>
    </row>
    <row r="575">
      <c r="M575" s="15"/>
      <c r="N575" s="15"/>
      <c r="O575" s="15"/>
    </row>
    <row r="576">
      <c r="M576" s="15"/>
      <c r="N576" s="15"/>
      <c r="O576" s="15"/>
    </row>
    <row r="577">
      <c r="M577" s="15"/>
      <c r="N577" s="15"/>
      <c r="O577" s="15"/>
    </row>
    <row r="578">
      <c r="M578" s="15"/>
      <c r="N578" s="15"/>
      <c r="O578" s="15"/>
    </row>
    <row r="579">
      <c r="M579" s="15"/>
      <c r="N579" s="15"/>
      <c r="O579" s="15"/>
    </row>
    <row r="580">
      <c r="M580" s="15"/>
      <c r="N580" s="15"/>
      <c r="O580" s="15"/>
    </row>
    <row r="581">
      <c r="M581" s="15"/>
      <c r="N581" s="15"/>
      <c r="O581" s="15"/>
    </row>
    <row r="582">
      <c r="M582" s="15"/>
      <c r="N582" s="15"/>
      <c r="O582" s="15"/>
    </row>
    <row r="583">
      <c r="M583" s="15"/>
      <c r="N583" s="15"/>
      <c r="O583" s="15"/>
    </row>
    <row r="584">
      <c r="M584" s="15"/>
      <c r="N584" s="15"/>
      <c r="O584" s="15"/>
    </row>
    <row r="585">
      <c r="M585" s="15"/>
      <c r="N585" s="15"/>
      <c r="O585" s="15"/>
    </row>
    <row r="586">
      <c r="M586" s="15"/>
      <c r="N586" s="15"/>
      <c r="O586" s="15"/>
    </row>
    <row r="587">
      <c r="M587" s="15"/>
      <c r="N587" s="15"/>
      <c r="O587" s="15"/>
    </row>
    <row r="588">
      <c r="M588" s="15"/>
      <c r="N588" s="15"/>
      <c r="O588" s="15"/>
    </row>
    <row r="589">
      <c r="M589" s="15"/>
      <c r="N589" s="15"/>
      <c r="O589" s="15"/>
    </row>
    <row r="590">
      <c r="M590" s="15"/>
      <c r="N590" s="15"/>
      <c r="O590" s="15"/>
    </row>
    <row r="591">
      <c r="M591" s="15"/>
      <c r="N591" s="15"/>
      <c r="O591" s="15"/>
    </row>
    <row r="592">
      <c r="M592" s="15"/>
      <c r="N592" s="15"/>
      <c r="O592" s="15"/>
    </row>
    <row r="593">
      <c r="M593" s="15"/>
      <c r="N593" s="15"/>
      <c r="O593" s="15"/>
    </row>
    <row r="594">
      <c r="M594" s="15"/>
      <c r="N594" s="15"/>
      <c r="O594" s="15"/>
    </row>
    <row r="595">
      <c r="M595" s="15"/>
      <c r="N595" s="15"/>
      <c r="O595" s="15"/>
    </row>
    <row r="596">
      <c r="M596" s="15"/>
      <c r="N596" s="15"/>
      <c r="O596" s="15"/>
    </row>
    <row r="597">
      <c r="M597" s="15"/>
      <c r="N597" s="15"/>
      <c r="O597" s="15"/>
    </row>
    <row r="598">
      <c r="M598" s="15"/>
      <c r="N598" s="15"/>
      <c r="O598" s="15"/>
    </row>
    <row r="599">
      <c r="M599" s="15"/>
      <c r="N599" s="15"/>
      <c r="O599" s="15"/>
    </row>
    <row r="600">
      <c r="M600" s="15"/>
      <c r="N600" s="15"/>
      <c r="O600" s="15"/>
    </row>
    <row r="601">
      <c r="M601" s="15"/>
      <c r="N601" s="15"/>
      <c r="O601" s="15"/>
    </row>
    <row r="602">
      <c r="M602" s="15"/>
      <c r="N602" s="15"/>
      <c r="O602" s="15"/>
    </row>
    <row r="603">
      <c r="M603" s="15"/>
      <c r="N603" s="15"/>
      <c r="O603" s="15"/>
    </row>
    <row r="604">
      <c r="M604" s="15"/>
      <c r="N604" s="15"/>
      <c r="O604" s="15"/>
    </row>
    <row r="605">
      <c r="M605" s="15"/>
      <c r="N605" s="15"/>
      <c r="O605" s="15"/>
    </row>
    <row r="606">
      <c r="M606" s="15"/>
      <c r="N606" s="15"/>
      <c r="O606" s="15"/>
    </row>
    <row r="607">
      <c r="M607" s="15"/>
      <c r="N607" s="15"/>
      <c r="O607" s="15"/>
    </row>
    <row r="608">
      <c r="M608" s="15"/>
      <c r="N608" s="15"/>
      <c r="O608" s="15"/>
    </row>
    <row r="609">
      <c r="M609" s="15"/>
      <c r="N609" s="15"/>
      <c r="O609" s="15"/>
    </row>
    <row r="610">
      <c r="M610" s="15"/>
      <c r="N610" s="15"/>
      <c r="O610" s="15"/>
    </row>
    <row r="611">
      <c r="M611" s="15"/>
      <c r="N611" s="15"/>
      <c r="O611" s="15"/>
    </row>
    <row r="612">
      <c r="M612" s="15"/>
      <c r="N612" s="15"/>
      <c r="O612" s="15"/>
    </row>
    <row r="613">
      <c r="M613" s="15"/>
      <c r="N613" s="15"/>
      <c r="O613" s="15"/>
    </row>
    <row r="614">
      <c r="M614" s="15"/>
      <c r="N614" s="15"/>
      <c r="O614" s="15"/>
    </row>
    <row r="615">
      <c r="M615" s="15"/>
      <c r="N615" s="15"/>
      <c r="O615" s="15"/>
    </row>
    <row r="616">
      <c r="M616" s="15"/>
      <c r="N616" s="15"/>
      <c r="O616" s="15"/>
    </row>
    <row r="617">
      <c r="M617" s="15"/>
      <c r="N617" s="15"/>
      <c r="O617" s="15"/>
    </row>
    <row r="618">
      <c r="M618" s="15"/>
      <c r="N618" s="15"/>
      <c r="O618" s="15"/>
    </row>
    <row r="619">
      <c r="M619" s="15"/>
      <c r="N619" s="15"/>
      <c r="O619" s="15"/>
    </row>
    <row r="620">
      <c r="M620" s="15"/>
      <c r="N620" s="15"/>
      <c r="O620" s="15"/>
    </row>
    <row r="621">
      <c r="M621" s="15"/>
      <c r="N621" s="15"/>
      <c r="O621" s="15"/>
    </row>
    <row r="622">
      <c r="M622" s="15"/>
      <c r="N622" s="15"/>
      <c r="O622" s="15"/>
    </row>
    <row r="623">
      <c r="M623" s="15"/>
      <c r="N623" s="15"/>
      <c r="O623" s="15"/>
    </row>
    <row r="624">
      <c r="M624" s="15"/>
      <c r="N624" s="15"/>
      <c r="O624" s="15"/>
    </row>
    <row r="625">
      <c r="M625" s="15"/>
      <c r="N625" s="15"/>
      <c r="O625" s="15"/>
    </row>
    <row r="626">
      <c r="M626" s="15"/>
      <c r="N626" s="15"/>
      <c r="O626" s="15"/>
    </row>
    <row r="627">
      <c r="M627" s="15"/>
      <c r="N627" s="15"/>
      <c r="O627" s="15"/>
    </row>
    <row r="628">
      <c r="M628" s="15"/>
      <c r="N628" s="15"/>
      <c r="O628" s="15"/>
    </row>
    <row r="629">
      <c r="M629" s="15"/>
      <c r="N629" s="15"/>
      <c r="O629" s="15"/>
    </row>
    <row r="630">
      <c r="M630" s="15"/>
      <c r="N630" s="15"/>
      <c r="O630" s="15"/>
    </row>
    <row r="631">
      <c r="M631" s="15"/>
      <c r="N631" s="15"/>
      <c r="O631" s="15"/>
    </row>
    <row r="632">
      <c r="M632" s="15"/>
      <c r="N632" s="15"/>
      <c r="O632" s="15"/>
    </row>
    <row r="633">
      <c r="M633" s="15"/>
      <c r="N633" s="15"/>
      <c r="O633" s="15"/>
    </row>
    <row r="634">
      <c r="M634" s="15"/>
      <c r="N634" s="15"/>
      <c r="O634" s="15"/>
    </row>
    <row r="635">
      <c r="M635" s="15"/>
      <c r="N635" s="15"/>
      <c r="O635" s="15"/>
    </row>
    <row r="636">
      <c r="M636" s="15"/>
      <c r="N636" s="15"/>
      <c r="O636" s="15"/>
    </row>
    <row r="637">
      <c r="M637" s="15"/>
      <c r="N637" s="15"/>
      <c r="O637" s="15"/>
    </row>
    <row r="638">
      <c r="M638" s="15"/>
      <c r="N638" s="15"/>
      <c r="O638" s="15"/>
    </row>
    <row r="639">
      <c r="M639" s="15"/>
      <c r="N639" s="15"/>
      <c r="O639" s="15"/>
    </row>
    <row r="640">
      <c r="M640" s="15"/>
      <c r="N640" s="15"/>
      <c r="O640" s="15"/>
    </row>
    <row r="641">
      <c r="M641" s="15"/>
      <c r="N641" s="15"/>
      <c r="O641" s="15"/>
    </row>
    <row r="642">
      <c r="M642" s="15"/>
      <c r="N642" s="15"/>
      <c r="O642" s="15"/>
    </row>
    <row r="643">
      <c r="M643" s="15"/>
      <c r="N643" s="15"/>
      <c r="O643" s="15"/>
    </row>
    <row r="644">
      <c r="M644" s="15"/>
      <c r="N644" s="15"/>
      <c r="O644" s="15"/>
    </row>
    <row r="645">
      <c r="M645" s="15"/>
      <c r="N645" s="15"/>
      <c r="O645" s="15"/>
    </row>
    <row r="646">
      <c r="M646" s="15"/>
      <c r="N646" s="15"/>
      <c r="O646" s="15"/>
    </row>
    <row r="647">
      <c r="M647" s="15"/>
      <c r="N647" s="15"/>
      <c r="O647" s="15"/>
    </row>
    <row r="648">
      <c r="M648" s="15"/>
      <c r="N648" s="15"/>
      <c r="O648" s="15"/>
    </row>
    <row r="649">
      <c r="M649" s="15"/>
      <c r="N649" s="15"/>
      <c r="O649" s="15"/>
    </row>
    <row r="650">
      <c r="M650" s="15"/>
      <c r="N650" s="15"/>
      <c r="O650" s="15"/>
    </row>
    <row r="651">
      <c r="M651" s="15"/>
      <c r="N651" s="15"/>
      <c r="O651" s="15"/>
    </row>
    <row r="652">
      <c r="M652" s="15"/>
      <c r="N652" s="15"/>
      <c r="O652" s="15"/>
    </row>
    <row r="653">
      <c r="M653" s="15"/>
      <c r="N653" s="15"/>
      <c r="O653" s="15"/>
    </row>
    <row r="654">
      <c r="M654" s="15"/>
      <c r="N654" s="15"/>
      <c r="O654" s="15"/>
    </row>
    <row r="655">
      <c r="M655" s="15"/>
      <c r="N655" s="15"/>
      <c r="O655" s="15"/>
    </row>
    <row r="656">
      <c r="M656" s="15"/>
      <c r="N656" s="15"/>
      <c r="O656" s="15"/>
    </row>
    <row r="657">
      <c r="M657" s="15"/>
      <c r="N657" s="15"/>
      <c r="O657" s="15"/>
    </row>
    <row r="658">
      <c r="M658" s="15"/>
      <c r="N658" s="15"/>
      <c r="O658" s="15"/>
    </row>
    <row r="659">
      <c r="M659" s="15"/>
      <c r="N659" s="15"/>
      <c r="O659" s="15"/>
    </row>
    <row r="660">
      <c r="M660" s="15"/>
      <c r="N660" s="15"/>
      <c r="O660" s="15"/>
    </row>
    <row r="661">
      <c r="M661" s="15"/>
      <c r="N661" s="15"/>
      <c r="O661" s="15"/>
    </row>
    <row r="662">
      <c r="M662" s="15"/>
      <c r="N662" s="15"/>
      <c r="O662" s="15"/>
    </row>
    <row r="663">
      <c r="M663" s="15"/>
      <c r="N663" s="15"/>
      <c r="O663" s="15"/>
    </row>
    <row r="664">
      <c r="M664" s="15"/>
      <c r="N664" s="15"/>
      <c r="O664" s="15"/>
    </row>
    <row r="665">
      <c r="M665" s="15"/>
      <c r="N665" s="15"/>
      <c r="O665" s="15"/>
    </row>
    <row r="666">
      <c r="M666" s="15"/>
      <c r="N666" s="15"/>
      <c r="O666" s="15"/>
    </row>
    <row r="667">
      <c r="M667" s="15"/>
      <c r="N667" s="15"/>
      <c r="O667" s="15"/>
    </row>
    <row r="668">
      <c r="M668" s="15"/>
      <c r="N668" s="15"/>
      <c r="O668" s="15"/>
    </row>
    <row r="669">
      <c r="M669" s="15"/>
      <c r="N669" s="15"/>
      <c r="O669" s="15"/>
    </row>
    <row r="670">
      <c r="M670" s="15"/>
      <c r="N670" s="15"/>
      <c r="O670" s="15"/>
    </row>
    <row r="671">
      <c r="M671" s="15"/>
      <c r="N671" s="15"/>
      <c r="O671" s="15"/>
    </row>
    <row r="672">
      <c r="M672" s="15"/>
      <c r="N672" s="15"/>
      <c r="O672" s="15"/>
    </row>
    <row r="673">
      <c r="M673" s="15"/>
      <c r="N673" s="15"/>
      <c r="O673" s="15"/>
    </row>
    <row r="674">
      <c r="M674" s="15"/>
      <c r="N674" s="15"/>
      <c r="O674" s="15"/>
    </row>
    <row r="675">
      <c r="M675" s="15"/>
      <c r="N675" s="15"/>
      <c r="O675" s="15"/>
    </row>
    <row r="676">
      <c r="M676" s="15"/>
      <c r="N676" s="15"/>
      <c r="O676" s="15"/>
    </row>
    <row r="677">
      <c r="M677" s="15"/>
      <c r="N677" s="15"/>
      <c r="O677" s="15"/>
    </row>
    <row r="678">
      <c r="M678" s="15"/>
      <c r="N678" s="15"/>
      <c r="O678" s="15"/>
    </row>
    <row r="679">
      <c r="M679" s="15"/>
      <c r="N679" s="15"/>
      <c r="O679" s="15"/>
    </row>
    <row r="680">
      <c r="M680" s="15"/>
      <c r="N680" s="15"/>
      <c r="O680" s="15"/>
    </row>
    <row r="681">
      <c r="M681" s="15"/>
      <c r="N681" s="15"/>
      <c r="O681" s="15"/>
    </row>
    <row r="682">
      <c r="M682" s="15"/>
      <c r="N682" s="15"/>
      <c r="O682" s="15"/>
    </row>
    <row r="683">
      <c r="M683" s="15"/>
      <c r="N683" s="15"/>
      <c r="O683" s="15"/>
    </row>
    <row r="684">
      <c r="M684" s="15"/>
      <c r="N684" s="15"/>
      <c r="O684" s="15"/>
    </row>
    <row r="685">
      <c r="M685" s="15"/>
      <c r="N685" s="15"/>
      <c r="O685" s="15"/>
    </row>
    <row r="686">
      <c r="M686" s="15"/>
      <c r="N686" s="15"/>
      <c r="O686" s="15"/>
    </row>
    <row r="687">
      <c r="M687" s="15"/>
      <c r="N687" s="15"/>
      <c r="O687" s="15"/>
    </row>
    <row r="688">
      <c r="M688" s="15"/>
      <c r="N688" s="15"/>
      <c r="O688" s="15"/>
    </row>
    <row r="689">
      <c r="M689" s="15"/>
      <c r="N689" s="15"/>
      <c r="O689" s="15"/>
    </row>
    <row r="690">
      <c r="M690" s="15"/>
      <c r="N690" s="15"/>
      <c r="O690" s="15"/>
    </row>
    <row r="691">
      <c r="M691" s="15"/>
      <c r="N691" s="15"/>
      <c r="O691" s="15"/>
    </row>
    <row r="692">
      <c r="M692" s="15"/>
      <c r="N692" s="15"/>
      <c r="O692" s="15"/>
    </row>
    <row r="693">
      <c r="M693" s="15"/>
      <c r="N693" s="15"/>
      <c r="O693" s="15"/>
    </row>
    <row r="694">
      <c r="M694" s="15"/>
      <c r="N694" s="15"/>
      <c r="O694" s="15"/>
    </row>
    <row r="695">
      <c r="M695" s="15"/>
      <c r="N695" s="15"/>
      <c r="O695" s="15"/>
    </row>
    <row r="696">
      <c r="M696" s="15"/>
      <c r="N696" s="15"/>
      <c r="O696" s="15"/>
    </row>
    <row r="697">
      <c r="M697" s="15"/>
      <c r="N697" s="15"/>
      <c r="O697" s="15"/>
    </row>
    <row r="698">
      <c r="M698" s="15"/>
      <c r="N698" s="15"/>
      <c r="O698" s="15"/>
    </row>
    <row r="699">
      <c r="M699" s="15"/>
      <c r="N699" s="15"/>
      <c r="O699" s="15"/>
    </row>
    <row r="700">
      <c r="M700" s="15"/>
      <c r="N700" s="15"/>
      <c r="O700" s="15"/>
    </row>
    <row r="701">
      <c r="M701" s="15"/>
      <c r="N701" s="15"/>
      <c r="O701" s="15"/>
    </row>
    <row r="702">
      <c r="M702" s="15"/>
      <c r="N702" s="15"/>
      <c r="O702" s="15"/>
    </row>
    <row r="703">
      <c r="M703" s="15"/>
      <c r="N703" s="15"/>
      <c r="O703" s="15"/>
    </row>
    <row r="704">
      <c r="M704" s="15"/>
      <c r="N704" s="15"/>
      <c r="O704" s="15"/>
    </row>
    <row r="705">
      <c r="M705" s="15"/>
      <c r="N705" s="15"/>
      <c r="O705" s="15"/>
    </row>
    <row r="706">
      <c r="M706" s="15"/>
      <c r="N706" s="15"/>
      <c r="O706" s="15"/>
    </row>
    <row r="707">
      <c r="M707" s="15"/>
      <c r="N707" s="15"/>
      <c r="O707" s="15"/>
    </row>
    <row r="708">
      <c r="M708" s="15"/>
      <c r="N708" s="15"/>
      <c r="O708" s="15"/>
    </row>
    <row r="709">
      <c r="M709" s="15"/>
      <c r="N709" s="15"/>
      <c r="O709" s="15"/>
    </row>
    <row r="710">
      <c r="M710" s="15"/>
      <c r="N710" s="15"/>
      <c r="O710" s="15"/>
    </row>
    <row r="711">
      <c r="M711" s="15"/>
      <c r="N711" s="15"/>
      <c r="O711" s="15"/>
    </row>
    <row r="712">
      <c r="M712" s="15"/>
      <c r="N712" s="15"/>
      <c r="O712" s="15"/>
    </row>
    <row r="713">
      <c r="M713" s="15"/>
      <c r="N713" s="15"/>
      <c r="O713" s="15"/>
    </row>
    <row r="714">
      <c r="M714" s="15"/>
      <c r="N714" s="15"/>
      <c r="O714" s="15"/>
    </row>
    <row r="715">
      <c r="M715" s="15"/>
      <c r="N715" s="15"/>
      <c r="O715" s="15"/>
    </row>
    <row r="716">
      <c r="M716" s="15"/>
      <c r="N716" s="15"/>
      <c r="O716" s="15"/>
    </row>
    <row r="717">
      <c r="M717" s="15"/>
      <c r="N717" s="15"/>
      <c r="O717" s="15"/>
    </row>
    <row r="718">
      <c r="M718" s="15"/>
      <c r="N718" s="15"/>
      <c r="O718" s="15"/>
    </row>
    <row r="719">
      <c r="M719" s="15"/>
      <c r="N719" s="15"/>
      <c r="O719" s="15"/>
    </row>
    <row r="720">
      <c r="M720" s="15"/>
      <c r="N720" s="15"/>
      <c r="O720" s="15"/>
    </row>
    <row r="721">
      <c r="M721" s="15"/>
      <c r="N721" s="15"/>
      <c r="O721" s="15"/>
    </row>
    <row r="722">
      <c r="M722" s="15"/>
      <c r="N722" s="15"/>
      <c r="O722" s="15"/>
    </row>
    <row r="723">
      <c r="M723" s="15"/>
      <c r="N723" s="15"/>
      <c r="O723" s="15"/>
    </row>
    <row r="724">
      <c r="M724" s="15"/>
      <c r="N724" s="15"/>
      <c r="O724" s="15"/>
    </row>
    <row r="725">
      <c r="M725" s="15"/>
      <c r="N725" s="15"/>
      <c r="O725" s="15"/>
    </row>
    <row r="726">
      <c r="M726" s="15"/>
      <c r="N726" s="15"/>
      <c r="O726" s="15"/>
    </row>
    <row r="727">
      <c r="M727" s="15"/>
      <c r="N727" s="15"/>
      <c r="O727" s="15"/>
    </row>
    <row r="728">
      <c r="M728" s="15"/>
      <c r="N728" s="15"/>
      <c r="O728" s="15"/>
    </row>
    <row r="729">
      <c r="M729" s="15"/>
      <c r="N729" s="15"/>
      <c r="O729" s="15"/>
    </row>
    <row r="730">
      <c r="M730" s="15"/>
      <c r="N730" s="15"/>
      <c r="O730" s="15"/>
    </row>
    <row r="731">
      <c r="M731" s="15"/>
      <c r="N731" s="15"/>
      <c r="O731" s="15"/>
    </row>
    <row r="732">
      <c r="M732" s="15"/>
      <c r="N732" s="15"/>
      <c r="O732" s="15"/>
    </row>
    <row r="733">
      <c r="M733" s="15"/>
      <c r="N733" s="15"/>
      <c r="O733" s="15"/>
    </row>
    <row r="734">
      <c r="M734" s="15"/>
      <c r="N734" s="15"/>
      <c r="O734" s="15"/>
    </row>
    <row r="735">
      <c r="M735" s="15"/>
      <c r="N735" s="15"/>
      <c r="O735" s="15"/>
    </row>
    <row r="736">
      <c r="M736" s="15"/>
      <c r="N736" s="15"/>
      <c r="O736" s="15"/>
    </row>
    <row r="737">
      <c r="M737" s="15"/>
      <c r="N737" s="15"/>
      <c r="O737" s="15"/>
    </row>
    <row r="738">
      <c r="M738" s="15"/>
      <c r="N738" s="15"/>
      <c r="O738" s="15"/>
    </row>
    <row r="739">
      <c r="M739" s="15"/>
      <c r="N739" s="15"/>
      <c r="O739" s="15"/>
    </row>
    <row r="740">
      <c r="M740" s="15"/>
      <c r="N740" s="15"/>
      <c r="O740" s="15"/>
    </row>
    <row r="741">
      <c r="M741" s="15"/>
      <c r="N741" s="15"/>
      <c r="O741" s="15"/>
    </row>
    <row r="742">
      <c r="M742" s="15"/>
      <c r="N742" s="15"/>
      <c r="O742" s="15"/>
    </row>
    <row r="743">
      <c r="M743" s="15"/>
      <c r="N743" s="15"/>
      <c r="O743" s="15"/>
    </row>
    <row r="744">
      <c r="M744" s="15"/>
      <c r="N744" s="15"/>
      <c r="O744" s="15"/>
    </row>
    <row r="745">
      <c r="M745" s="15"/>
      <c r="N745" s="15"/>
      <c r="O745" s="15"/>
    </row>
    <row r="746">
      <c r="M746" s="15"/>
      <c r="N746" s="15"/>
      <c r="O746" s="15"/>
    </row>
    <row r="747">
      <c r="M747" s="15"/>
      <c r="N747" s="15"/>
      <c r="O747" s="15"/>
    </row>
    <row r="748">
      <c r="M748" s="15"/>
      <c r="N748" s="15"/>
      <c r="O748" s="15"/>
    </row>
    <row r="749">
      <c r="M749" s="15"/>
      <c r="N749" s="15"/>
      <c r="O749" s="15"/>
    </row>
    <row r="750">
      <c r="M750" s="15"/>
      <c r="N750" s="15"/>
      <c r="O750" s="15"/>
    </row>
    <row r="751">
      <c r="M751" s="15"/>
      <c r="N751" s="15"/>
      <c r="O751" s="15"/>
    </row>
    <row r="752">
      <c r="M752" s="15"/>
      <c r="N752" s="15"/>
      <c r="O752" s="15"/>
    </row>
    <row r="753">
      <c r="M753" s="15"/>
      <c r="N753" s="15"/>
      <c r="O753" s="15"/>
    </row>
    <row r="754">
      <c r="M754" s="15"/>
      <c r="N754" s="15"/>
      <c r="O754" s="15"/>
    </row>
    <row r="755">
      <c r="M755" s="15"/>
      <c r="N755" s="15"/>
      <c r="O755" s="15"/>
    </row>
    <row r="756">
      <c r="M756" s="15"/>
      <c r="N756" s="15"/>
      <c r="O756" s="15"/>
    </row>
    <row r="757">
      <c r="M757" s="15"/>
      <c r="N757" s="15"/>
      <c r="O757" s="15"/>
    </row>
    <row r="758">
      <c r="M758" s="15"/>
      <c r="N758" s="15"/>
      <c r="O758" s="15"/>
    </row>
    <row r="759">
      <c r="M759" s="15"/>
      <c r="N759" s="15"/>
      <c r="O759" s="15"/>
    </row>
    <row r="760">
      <c r="M760" s="15"/>
      <c r="N760" s="15"/>
      <c r="O760" s="15"/>
    </row>
    <row r="761">
      <c r="M761" s="15"/>
      <c r="N761" s="15"/>
      <c r="O761" s="15"/>
    </row>
    <row r="762">
      <c r="M762" s="15"/>
      <c r="N762" s="15"/>
      <c r="O762" s="15"/>
    </row>
    <row r="763">
      <c r="M763" s="15"/>
      <c r="N763" s="15"/>
      <c r="O763" s="15"/>
    </row>
    <row r="764">
      <c r="M764" s="15"/>
      <c r="N764" s="15"/>
      <c r="O764" s="15"/>
    </row>
    <row r="765">
      <c r="M765" s="15"/>
      <c r="N765" s="15"/>
      <c r="O765" s="15"/>
    </row>
    <row r="766">
      <c r="M766" s="15"/>
      <c r="N766" s="15"/>
      <c r="O766" s="15"/>
    </row>
    <row r="767">
      <c r="M767" s="15"/>
      <c r="N767" s="15"/>
      <c r="O767" s="15"/>
    </row>
    <row r="768">
      <c r="M768" s="15"/>
      <c r="N768" s="15"/>
      <c r="O768" s="15"/>
    </row>
    <row r="769">
      <c r="M769" s="15"/>
      <c r="N769" s="15"/>
      <c r="O769" s="15"/>
    </row>
    <row r="770">
      <c r="M770" s="15"/>
      <c r="N770" s="15"/>
      <c r="O770" s="15"/>
    </row>
    <row r="771">
      <c r="M771" s="15"/>
      <c r="N771" s="15"/>
      <c r="O771" s="15"/>
    </row>
    <row r="772">
      <c r="M772" s="15"/>
      <c r="N772" s="15"/>
      <c r="O772" s="15"/>
    </row>
    <row r="773">
      <c r="M773" s="15"/>
      <c r="N773" s="15"/>
      <c r="O773" s="15"/>
    </row>
    <row r="774">
      <c r="M774" s="15"/>
      <c r="N774" s="15"/>
      <c r="O774" s="15"/>
    </row>
    <row r="775">
      <c r="M775" s="15"/>
      <c r="N775" s="15"/>
      <c r="O775" s="15"/>
    </row>
    <row r="776">
      <c r="M776" s="15"/>
      <c r="N776" s="15"/>
      <c r="O776" s="15"/>
    </row>
    <row r="777">
      <c r="M777" s="15"/>
      <c r="N777" s="15"/>
      <c r="O777" s="15"/>
    </row>
    <row r="778">
      <c r="M778" s="15"/>
      <c r="N778" s="15"/>
      <c r="O778" s="15"/>
    </row>
    <row r="779">
      <c r="M779" s="15"/>
      <c r="N779" s="15"/>
      <c r="O779" s="15"/>
    </row>
    <row r="780">
      <c r="M780" s="15"/>
      <c r="N780" s="15"/>
      <c r="O780" s="15"/>
    </row>
    <row r="781">
      <c r="M781" s="15"/>
      <c r="N781" s="15"/>
      <c r="O781" s="15"/>
    </row>
    <row r="782">
      <c r="M782" s="15"/>
      <c r="N782" s="15"/>
      <c r="O782" s="15"/>
    </row>
    <row r="783">
      <c r="M783" s="15"/>
      <c r="N783" s="15"/>
      <c r="O783" s="15"/>
    </row>
    <row r="784">
      <c r="M784" s="15"/>
      <c r="N784" s="15"/>
      <c r="O784" s="15"/>
    </row>
    <row r="785">
      <c r="M785" s="15"/>
      <c r="N785" s="15"/>
      <c r="O785" s="15"/>
    </row>
    <row r="786">
      <c r="M786" s="15"/>
      <c r="N786" s="15"/>
      <c r="O786" s="15"/>
    </row>
    <row r="787">
      <c r="M787" s="15"/>
      <c r="N787" s="15"/>
      <c r="O787" s="15"/>
    </row>
    <row r="788">
      <c r="M788" s="15"/>
      <c r="N788" s="15"/>
      <c r="O788" s="15"/>
    </row>
    <row r="789">
      <c r="M789" s="15"/>
      <c r="N789" s="15"/>
      <c r="O789" s="15"/>
    </row>
    <row r="790">
      <c r="M790" s="15"/>
      <c r="N790" s="15"/>
      <c r="O790" s="15"/>
    </row>
    <row r="791">
      <c r="M791" s="15"/>
      <c r="N791" s="15"/>
      <c r="O791" s="15"/>
    </row>
    <row r="792">
      <c r="M792" s="15"/>
      <c r="N792" s="15"/>
      <c r="O792" s="15"/>
    </row>
    <row r="793">
      <c r="M793" s="15"/>
      <c r="N793" s="15"/>
      <c r="O793" s="15"/>
    </row>
    <row r="794">
      <c r="M794" s="15"/>
      <c r="N794" s="15"/>
      <c r="O794" s="15"/>
    </row>
    <row r="795">
      <c r="M795" s="15"/>
      <c r="N795" s="15"/>
      <c r="O795" s="15"/>
    </row>
    <row r="796">
      <c r="M796" s="15"/>
      <c r="N796" s="15"/>
      <c r="O796" s="15"/>
    </row>
    <row r="797">
      <c r="M797" s="15"/>
      <c r="N797" s="15"/>
      <c r="O797" s="15"/>
    </row>
    <row r="798">
      <c r="M798" s="15"/>
      <c r="N798" s="15"/>
      <c r="O798" s="15"/>
    </row>
    <row r="799">
      <c r="M799" s="15"/>
      <c r="N799" s="15"/>
      <c r="O799" s="15"/>
    </row>
    <row r="800">
      <c r="M800" s="15"/>
      <c r="N800" s="15"/>
      <c r="O800" s="15"/>
    </row>
    <row r="801">
      <c r="M801" s="15"/>
      <c r="N801" s="15"/>
      <c r="O801" s="15"/>
    </row>
    <row r="802">
      <c r="M802" s="15"/>
      <c r="N802" s="15"/>
      <c r="O802" s="15"/>
    </row>
    <row r="803">
      <c r="M803" s="15"/>
      <c r="N803" s="15"/>
      <c r="O803" s="15"/>
    </row>
    <row r="804">
      <c r="M804" s="15"/>
      <c r="N804" s="15"/>
      <c r="O804" s="15"/>
    </row>
    <row r="805">
      <c r="M805" s="15"/>
      <c r="N805" s="15"/>
      <c r="O805" s="15"/>
    </row>
    <row r="806">
      <c r="M806" s="15"/>
      <c r="N806" s="15"/>
      <c r="O806" s="15"/>
    </row>
    <row r="807">
      <c r="M807" s="15"/>
      <c r="N807" s="15"/>
      <c r="O807" s="15"/>
    </row>
    <row r="808">
      <c r="M808" s="15"/>
      <c r="N808" s="15"/>
      <c r="O808" s="15"/>
    </row>
    <row r="809">
      <c r="M809" s="15"/>
      <c r="N809" s="15"/>
      <c r="O809" s="15"/>
    </row>
    <row r="810">
      <c r="M810" s="15"/>
      <c r="N810" s="15"/>
      <c r="O810" s="15"/>
    </row>
    <row r="811">
      <c r="M811" s="15"/>
      <c r="N811" s="15"/>
      <c r="O811" s="15"/>
    </row>
    <row r="812">
      <c r="M812" s="15"/>
      <c r="N812" s="15"/>
      <c r="O812" s="15"/>
    </row>
    <row r="813">
      <c r="M813" s="15"/>
      <c r="N813" s="15"/>
      <c r="O813" s="15"/>
    </row>
    <row r="814">
      <c r="M814" s="15"/>
      <c r="N814" s="15"/>
      <c r="O814" s="15"/>
    </row>
    <row r="815">
      <c r="M815" s="15"/>
      <c r="N815" s="15"/>
      <c r="O815" s="15"/>
    </row>
    <row r="816">
      <c r="M816" s="15"/>
      <c r="N816" s="15"/>
      <c r="O816" s="15"/>
    </row>
    <row r="817">
      <c r="M817" s="15"/>
      <c r="N817" s="15"/>
      <c r="O817" s="15"/>
    </row>
    <row r="818">
      <c r="M818" s="15"/>
      <c r="N818" s="15"/>
      <c r="O818" s="15"/>
    </row>
    <row r="819">
      <c r="M819" s="15"/>
      <c r="N819" s="15"/>
      <c r="O819" s="15"/>
    </row>
    <row r="820">
      <c r="M820" s="15"/>
      <c r="N820" s="15"/>
      <c r="O820" s="15"/>
    </row>
    <row r="821">
      <c r="M821" s="15"/>
      <c r="N821" s="15"/>
      <c r="O821" s="15"/>
    </row>
    <row r="822">
      <c r="M822" s="15"/>
      <c r="N822" s="15"/>
      <c r="O822" s="15"/>
    </row>
    <row r="823">
      <c r="M823" s="15"/>
      <c r="N823" s="15"/>
      <c r="O823" s="15"/>
    </row>
    <row r="824">
      <c r="M824" s="15"/>
      <c r="N824" s="15"/>
      <c r="O824" s="15"/>
    </row>
    <row r="825">
      <c r="M825" s="15"/>
      <c r="N825" s="15"/>
      <c r="O825" s="15"/>
    </row>
    <row r="826">
      <c r="M826" s="15"/>
      <c r="N826" s="15"/>
      <c r="O826" s="15"/>
    </row>
    <row r="827">
      <c r="M827" s="15"/>
      <c r="N827" s="15"/>
      <c r="O827" s="15"/>
    </row>
    <row r="828">
      <c r="M828" s="15"/>
      <c r="N828" s="15"/>
      <c r="O828" s="15"/>
    </row>
    <row r="829">
      <c r="M829" s="15"/>
      <c r="N829" s="15"/>
      <c r="O829" s="15"/>
    </row>
    <row r="830">
      <c r="M830" s="15"/>
      <c r="N830" s="15"/>
      <c r="O830" s="15"/>
    </row>
    <row r="831">
      <c r="M831" s="15"/>
      <c r="N831" s="15"/>
      <c r="O831" s="15"/>
    </row>
    <row r="832">
      <c r="M832" s="15"/>
      <c r="N832" s="15"/>
      <c r="O832" s="15"/>
    </row>
    <row r="833">
      <c r="M833" s="15"/>
      <c r="N833" s="15"/>
      <c r="O833" s="15"/>
    </row>
    <row r="834">
      <c r="M834" s="15"/>
      <c r="N834" s="15"/>
      <c r="O834" s="15"/>
    </row>
    <row r="835">
      <c r="M835" s="15"/>
      <c r="N835" s="15"/>
      <c r="O835" s="15"/>
    </row>
    <row r="836">
      <c r="M836" s="15"/>
      <c r="N836" s="15"/>
      <c r="O836" s="15"/>
    </row>
    <row r="837">
      <c r="M837" s="15"/>
      <c r="N837" s="15"/>
      <c r="O837" s="15"/>
    </row>
    <row r="838">
      <c r="M838" s="15"/>
      <c r="N838" s="15"/>
      <c r="O838" s="15"/>
    </row>
    <row r="839">
      <c r="M839" s="15"/>
      <c r="N839" s="15"/>
      <c r="O839" s="15"/>
    </row>
    <row r="840">
      <c r="M840" s="15"/>
      <c r="N840" s="15"/>
      <c r="O840" s="15"/>
    </row>
    <row r="841">
      <c r="M841" s="15"/>
      <c r="N841" s="15"/>
      <c r="O841" s="15"/>
    </row>
    <row r="842">
      <c r="M842" s="15"/>
      <c r="N842" s="15"/>
      <c r="O842" s="15"/>
    </row>
    <row r="843">
      <c r="M843" s="15"/>
      <c r="N843" s="15"/>
      <c r="O843" s="15"/>
    </row>
    <row r="844">
      <c r="M844" s="15"/>
      <c r="N844" s="15"/>
      <c r="O844" s="15"/>
    </row>
    <row r="845">
      <c r="M845" s="15"/>
      <c r="N845" s="15"/>
      <c r="O845" s="15"/>
    </row>
    <row r="846">
      <c r="M846" s="15"/>
      <c r="N846" s="15"/>
      <c r="O846" s="15"/>
    </row>
    <row r="847">
      <c r="M847" s="15"/>
      <c r="N847" s="15"/>
      <c r="O847" s="15"/>
    </row>
    <row r="848">
      <c r="M848" s="15"/>
      <c r="N848" s="15"/>
      <c r="O848" s="15"/>
    </row>
    <row r="849">
      <c r="M849" s="15"/>
      <c r="N849" s="15"/>
      <c r="O849" s="15"/>
    </row>
    <row r="850">
      <c r="M850" s="15"/>
      <c r="N850" s="15"/>
      <c r="O850" s="15"/>
    </row>
    <row r="851">
      <c r="M851" s="15"/>
      <c r="N851" s="15"/>
      <c r="O851" s="15"/>
    </row>
    <row r="852">
      <c r="M852" s="15"/>
      <c r="N852" s="15"/>
      <c r="O852" s="15"/>
    </row>
    <row r="853">
      <c r="M853" s="15"/>
      <c r="N853" s="15"/>
      <c r="O853" s="15"/>
    </row>
    <row r="854">
      <c r="M854" s="15"/>
      <c r="N854" s="15"/>
      <c r="O854" s="15"/>
    </row>
    <row r="855">
      <c r="M855" s="15"/>
      <c r="N855" s="15"/>
      <c r="O855" s="15"/>
    </row>
    <row r="856">
      <c r="M856" s="15"/>
      <c r="N856" s="15"/>
      <c r="O856" s="15"/>
    </row>
    <row r="857">
      <c r="M857" s="15"/>
      <c r="N857" s="15"/>
      <c r="O857" s="15"/>
    </row>
    <row r="858">
      <c r="M858" s="15"/>
      <c r="N858" s="15"/>
      <c r="O858" s="15"/>
    </row>
    <row r="859">
      <c r="M859" s="15"/>
      <c r="N859" s="15"/>
      <c r="O859" s="15"/>
    </row>
    <row r="860">
      <c r="M860" s="15"/>
      <c r="N860" s="15"/>
      <c r="O860" s="15"/>
    </row>
    <row r="861">
      <c r="M861" s="15"/>
      <c r="N861" s="15"/>
      <c r="O861" s="15"/>
    </row>
    <row r="862">
      <c r="M862" s="15"/>
      <c r="N862" s="15"/>
      <c r="O862" s="15"/>
    </row>
    <row r="863">
      <c r="M863" s="15"/>
      <c r="N863" s="15"/>
      <c r="O863" s="15"/>
    </row>
    <row r="864">
      <c r="M864" s="15"/>
      <c r="N864" s="15"/>
      <c r="O864" s="15"/>
    </row>
    <row r="865">
      <c r="M865" s="15"/>
      <c r="N865" s="15"/>
      <c r="O865" s="15"/>
    </row>
    <row r="866">
      <c r="M866" s="15"/>
      <c r="N866" s="15"/>
      <c r="O866" s="15"/>
    </row>
    <row r="867">
      <c r="M867" s="15"/>
      <c r="N867" s="15"/>
      <c r="O867" s="15"/>
    </row>
    <row r="868">
      <c r="M868" s="15"/>
      <c r="N868" s="15"/>
      <c r="O868" s="15"/>
    </row>
    <row r="869">
      <c r="M869" s="15"/>
      <c r="N869" s="15"/>
      <c r="O869" s="15"/>
    </row>
    <row r="870">
      <c r="M870" s="15"/>
      <c r="N870" s="15"/>
      <c r="O870" s="15"/>
    </row>
    <row r="871">
      <c r="M871" s="15"/>
      <c r="N871" s="15"/>
      <c r="O871" s="15"/>
    </row>
    <row r="872">
      <c r="M872" s="15"/>
      <c r="N872" s="15"/>
      <c r="O872" s="15"/>
    </row>
    <row r="873">
      <c r="M873" s="15"/>
      <c r="N873" s="15"/>
      <c r="O873" s="15"/>
    </row>
    <row r="874">
      <c r="M874" s="15"/>
      <c r="N874" s="15"/>
      <c r="O874" s="15"/>
    </row>
    <row r="875">
      <c r="M875" s="15"/>
      <c r="N875" s="15"/>
      <c r="O875" s="15"/>
    </row>
    <row r="876">
      <c r="M876" s="15"/>
      <c r="N876" s="15"/>
      <c r="O876" s="15"/>
    </row>
    <row r="877">
      <c r="M877" s="15"/>
      <c r="N877" s="15"/>
      <c r="O877" s="15"/>
    </row>
    <row r="878">
      <c r="M878" s="15"/>
      <c r="N878" s="15"/>
      <c r="O878" s="15"/>
    </row>
    <row r="879">
      <c r="M879" s="15"/>
      <c r="N879" s="15"/>
      <c r="O879" s="15"/>
    </row>
    <row r="880">
      <c r="M880" s="15"/>
      <c r="N880" s="15"/>
      <c r="O880" s="15"/>
    </row>
    <row r="881">
      <c r="M881" s="15"/>
      <c r="N881" s="15"/>
      <c r="O881" s="15"/>
    </row>
    <row r="882">
      <c r="M882" s="15"/>
      <c r="N882" s="15"/>
      <c r="O882" s="15"/>
    </row>
    <row r="883">
      <c r="M883" s="15"/>
      <c r="N883" s="15"/>
      <c r="O883" s="15"/>
    </row>
    <row r="884">
      <c r="M884" s="15"/>
      <c r="N884" s="15"/>
      <c r="O884" s="15"/>
    </row>
    <row r="885">
      <c r="M885" s="15"/>
      <c r="N885" s="15"/>
      <c r="O885" s="15"/>
    </row>
    <row r="886">
      <c r="M886" s="15"/>
      <c r="N886" s="15"/>
      <c r="O886" s="15"/>
    </row>
    <row r="887">
      <c r="M887" s="15"/>
      <c r="N887" s="15"/>
      <c r="O887" s="15"/>
    </row>
    <row r="888">
      <c r="M888" s="15"/>
      <c r="N888" s="15"/>
      <c r="O888" s="15"/>
    </row>
    <row r="889">
      <c r="M889" s="15"/>
      <c r="N889" s="15"/>
      <c r="O889" s="15"/>
    </row>
    <row r="890">
      <c r="M890" s="15"/>
      <c r="N890" s="15"/>
      <c r="O890" s="15"/>
    </row>
    <row r="891">
      <c r="M891" s="15"/>
      <c r="N891" s="15"/>
      <c r="O891" s="15"/>
    </row>
    <row r="892">
      <c r="M892" s="15"/>
      <c r="N892" s="15"/>
      <c r="O892" s="15"/>
    </row>
    <row r="893">
      <c r="M893" s="15"/>
      <c r="N893" s="15"/>
      <c r="O893" s="15"/>
    </row>
    <row r="894">
      <c r="M894" s="15"/>
      <c r="N894" s="15"/>
      <c r="O894" s="15"/>
    </row>
    <row r="895">
      <c r="M895" s="15"/>
      <c r="N895" s="15"/>
      <c r="O895" s="15"/>
    </row>
    <row r="896">
      <c r="M896" s="15"/>
      <c r="N896" s="15"/>
      <c r="O896" s="15"/>
    </row>
    <row r="897">
      <c r="M897" s="15"/>
      <c r="N897" s="15"/>
      <c r="O897" s="15"/>
    </row>
    <row r="898">
      <c r="M898" s="15"/>
      <c r="N898" s="15"/>
      <c r="O898" s="15"/>
    </row>
    <row r="899">
      <c r="M899" s="15"/>
      <c r="N899" s="15"/>
      <c r="O899" s="15"/>
    </row>
    <row r="900">
      <c r="M900" s="15"/>
      <c r="N900" s="15"/>
      <c r="O900" s="15"/>
    </row>
    <row r="901">
      <c r="M901" s="15"/>
      <c r="N901" s="15"/>
      <c r="O901" s="15"/>
    </row>
    <row r="902">
      <c r="M902" s="15"/>
      <c r="N902" s="15"/>
      <c r="O902" s="15"/>
    </row>
    <row r="903">
      <c r="M903" s="15"/>
      <c r="N903" s="15"/>
      <c r="O903" s="15"/>
    </row>
    <row r="904">
      <c r="M904" s="15"/>
      <c r="N904" s="15"/>
      <c r="O904" s="15"/>
    </row>
    <row r="905">
      <c r="M905" s="15"/>
      <c r="N905" s="15"/>
      <c r="O905" s="15"/>
    </row>
    <row r="906">
      <c r="M906" s="15"/>
      <c r="N906" s="15"/>
      <c r="O906" s="15"/>
    </row>
    <row r="907">
      <c r="M907" s="15"/>
      <c r="N907" s="15"/>
      <c r="O907" s="15"/>
    </row>
    <row r="908">
      <c r="M908" s="15"/>
      <c r="N908" s="15"/>
      <c r="O908" s="15"/>
    </row>
    <row r="909">
      <c r="M909" s="15"/>
      <c r="N909" s="15"/>
      <c r="O909" s="15"/>
    </row>
    <row r="910">
      <c r="M910" s="15"/>
      <c r="N910" s="15"/>
      <c r="O910" s="15"/>
    </row>
    <row r="911">
      <c r="M911" s="15"/>
      <c r="N911" s="15"/>
      <c r="O911" s="15"/>
    </row>
    <row r="912">
      <c r="M912" s="15"/>
      <c r="N912" s="15"/>
      <c r="O912" s="15"/>
    </row>
    <row r="913">
      <c r="M913" s="15"/>
      <c r="N913" s="15"/>
      <c r="O913" s="15"/>
    </row>
    <row r="914">
      <c r="M914" s="15"/>
      <c r="N914" s="15"/>
      <c r="O914" s="15"/>
    </row>
    <row r="915">
      <c r="M915" s="15"/>
      <c r="N915" s="15"/>
      <c r="O915" s="15"/>
    </row>
    <row r="916">
      <c r="M916" s="15"/>
      <c r="N916" s="15"/>
      <c r="O916" s="15"/>
    </row>
    <row r="917">
      <c r="M917" s="15"/>
      <c r="N917" s="15"/>
      <c r="O917" s="15"/>
    </row>
    <row r="918">
      <c r="M918" s="15"/>
      <c r="N918" s="15"/>
      <c r="O918" s="15"/>
    </row>
    <row r="919">
      <c r="M919" s="15"/>
      <c r="N919" s="15"/>
      <c r="O919" s="15"/>
    </row>
    <row r="920">
      <c r="M920" s="15"/>
      <c r="N920" s="15"/>
      <c r="O920" s="15"/>
    </row>
    <row r="921">
      <c r="M921" s="15"/>
      <c r="N921" s="15"/>
      <c r="O921" s="15"/>
    </row>
    <row r="922">
      <c r="M922" s="15"/>
      <c r="N922" s="15"/>
      <c r="O922" s="15"/>
    </row>
    <row r="923">
      <c r="M923" s="15"/>
      <c r="N923" s="15"/>
      <c r="O923" s="15"/>
    </row>
    <row r="924">
      <c r="M924" s="15"/>
      <c r="N924" s="15"/>
      <c r="O924" s="15"/>
    </row>
    <row r="925">
      <c r="M925" s="15"/>
      <c r="N925" s="15"/>
      <c r="O925" s="15"/>
    </row>
    <row r="926">
      <c r="M926" s="15"/>
      <c r="N926" s="15"/>
      <c r="O926" s="15"/>
    </row>
    <row r="927">
      <c r="M927" s="15"/>
      <c r="N927" s="15"/>
      <c r="O927" s="15"/>
    </row>
    <row r="928">
      <c r="M928" s="15"/>
      <c r="N928" s="15"/>
      <c r="O928" s="15"/>
    </row>
    <row r="929">
      <c r="M929" s="15"/>
      <c r="N929" s="15"/>
      <c r="O929" s="15"/>
    </row>
    <row r="930">
      <c r="M930" s="15"/>
      <c r="N930" s="15"/>
      <c r="O930" s="15"/>
    </row>
    <row r="931">
      <c r="M931" s="15"/>
      <c r="N931" s="15"/>
      <c r="O931" s="15"/>
    </row>
    <row r="932">
      <c r="M932" s="15"/>
      <c r="N932" s="15"/>
      <c r="O932" s="15"/>
    </row>
    <row r="933">
      <c r="M933" s="15"/>
      <c r="N933" s="15"/>
      <c r="O933" s="15"/>
    </row>
    <row r="934">
      <c r="M934" s="15"/>
      <c r="N934" s="15"/>
      <c r="O934" s="15"/>
    </row>
    <row r="935">
      <c r="M935" s="15"/>
      <c r="N935" s="15"/>
      <c r="O935" s="15"/>
    </row>
    <row r="936">
      <c r="M936" s="15"/>
      <c r="N936" s="15"/>
      <c r="O936" s="15"/>
    </row>
    <row r="937">
      <c r="M937" s="15"/>
      <c r="N937" s="15"/>
      <c r="O937" s="15"/>
    </row>
    <row r="938">
      <c r="M938" s="15"/>
      <c r="N938" s="15"/>
      <c r="O938" s="15"/>
    </row>
    <row r="939">
      <c r="M939" s="15"/>
      <c r="N939" s="15"/>
      <c r="O939" s="15"/>
    </row>
    <row r="940">
      <c r="M940" s="15"/>
      <c r="N940" s="15"/>
      <c r="O940" s="15"/>
    </row>
    <row r="941">
      <c r="M941" s="15"/>
      <c r="N941" s="15"/>
      <c r="O941" s="15"/>
    </row>
    <row r="942">
      <c r="M942" s="15"/>
      <c r="N942" s="15"/>
      <c r="O942" s="15"/>
    </row>
    <row r="943">
      <c r="M943" s="15"/>
      <c r="N943" s="15"/>
      <c r="O943" s="15"/>
    </row>
    <row r="944">
      <c r="M944" s="15"/>
      <c r="N944" s="15"/>
      <c r="O944" s="15"/>
    </row>
    <row r="945">
      <c r="M945" s="15"/>
      <c r="N945" s="15"/>
      <c r="O945" s="15"/>
    </row>
    <row r="946">
      <c r="M946" s="15"/>
      <c r="N946" s="15"/>
      <c r="O946" s="15"/>
    </row>
    <row r="947">
      <c r="M947" s="15"/>
      <c r="N947" s="15"/>
      <c r="O947" s="15"/>
    </row>
    <row r="948">
      <c r="M948" s="15"/>
      <c r="N948" s="15"/>
      <c r="O948" s="15"/>
    </row>
    <row r="949">
      <c r="M949" s="15"/>
      <c r="N949" s="15"/>
      <c r="O949" s="15"/>
    </row>
    <row r="950">
      <c r="M950" s="15"/>
      <c r="N950" s="15"/>
      <c r="O950" s="15"/>
    </row>
    <row r="951">
      <c r="M951" s="15"/>
      <c r="N951" s="15"/>
      <c r="O951" s="15"/>
    </row>
    <row r="952">
      <c r="M952" s="15"/>
      <c r="N952" s="15"/>
      <c r="O952" s="15"/>
    </row>
    <row r="953">
      <c r="M953" s="15"/>
      <c r="N953" s="15"/>
      <c r="O953" s="15"/>
    </row>
    <row r="954">
      <c r="M954" s="15"/>
      <c r="N954" s="15"/>
      <c r="O954" s="15"/>
    </row>
    <row r="955">
      <c r="M955" s="15"/>
      <c r="N955" s="15"/>
      <c r="O955" s="15"/>
    </row>
    <row r="956">
      <c r="M956" s="15"/>
      <c r="N956" s="15"/>
      <c r="O956" s="15"/>
    </row>
    <row r="957">
      <c r="M957" s="15"/>
      <c r="N957" s="15"/>
      <c r="O957" s="15"/>
    </row>
    <row r="958">
      <c r="M958" s="15"/>
      <c r="N958" s="15"/>
      <c r="O958" s="15"/>
    </row>
    <row r="959">
      <c r="M959" s="15"/>
      <c r="N959" s="15"/>
      <c r="O959" s="15"/>
    </row>
    <row r="960">
      <c r="M960" s="15"/>
      <c r="N960" s="15"/>
      <c r="O960" s="15"/>
    </row>
    <row r="961">
      <c r="M961" s="15"/>
      <c r="N961" s="15"/>
      <c r="O961" s="15"/>
    </row>
    <row r="962">
      <c r="M962" s="15"/>
      <c r="N962" s="15"/>
      <c r="O962" s="15"/>
    </row>
    <row r="963">
      <c r="M963" s="15"/>
      <c r="N963" s="15"/>
      <c r="O963" s="15"/>
    </row>
    <row r="964">
      <c r="M964" s="15"/>
      <c r="N964" s="15"/>
      <c r="O964" s="15"/>
    </row>
    <row r="965">
      <c r="M965" s="15"/>
      <c r="N965" s="15"/>
      <c r="O965" s="15"/>
    </row>
    <row r="966">
      <c r="M966" s="15"/>
      <c r="N966" s="15"/>
      <c r="O966" s="15"/>
    </row>
    <row r="967">
      <c r="M967" s="15"/>
      <c r="N967" s="15"/>
      <c r="O967" s="15"/>
    </row>
    <row r="968">
      <c r="M968" s="15"/>
      <c r="N968" s="15"/>
      <c r="O968" s="15"/>
    </row>
    <row r="969">
      <c r="M969" s="15"/>
      <c r="N969" s="15"/>
      <c r="O969" s="15"/>
    </row>
    <row r="970">
      <c r="M970" s="15"/>
      <c r="N970" s="15"/>
      <c r="O970" s="15"/>
    </row>
    <row r="971">
      <c r="M971" s="15"/>
      <c r="N971" s="15"/>
      <c r="O971" s="15"/>
    </row>
    <row r="972">
      <c r="M972" s="15"/>
      <c r="N972" s="15"/>
      <c r="O972" s="15"/>
    </row>
    <row r="973">
      <c r="M973" s="15"/>
      <c r="N973" s="15"/>
      <c r="O973" s="15"/>
    </row>
    <row r="974">
      <c r="M974" s="15"/>
      <c r="N974" s="15"/>
      <c r="O974" s="15"/>
    </row>
    <row r="975">
      <c r="M975" s="15"/>
      <c r="N975" s="15"/>
      <c r="O975" s="15"/>
    </row>
    <row r="976">
      <c r="M976" s="15"/>
      <c r="N976" s="15"/>
      <c r="O976" s="15"/>
    </row>
    <row r="977">
      <c r="M977" s="15"/>
      <c r="N977" s="15"/>
      <c r="O977" s="15"/>
    </row>
    <row r="978">
      <c r="M978" s="15"/>
      <c r="N978" s="15"/>
      <c r="O978" s="15"/>
    </row>
    <row r="979">
      <c r="M979" s="15"/>
      <c r="N979" s="15"/>
      <c r="O979" s="15"/>
    </row>
    <row r="980">
      <c r="M980" s="15"/>
      <c r="N980" s="15"/>
      <c r="O980" s="15"/>
    </row>
    <row r="981">
      <c r="M981" s="15"/>
      <c r="N981" s="15"/>
      <c r="O981" s="15"/>
    </row>
    <row r="982">
      <c r="M982" s="15"/>
      <c r="N982" s="15"/>
      <c r="O982" s="15"/>
    </row>
    <row r="983">
      <c r="M983" s="15"/>
      <c r="N983" s="15"/>
      <c r="O983" s="15"/>
    </row>
    <row r="984">
      <c r="M984" s="15"/>
      <c r="N984" s="15"/>
      <c r="O984" s="15"/>
    </row>
    <row r="985">
      <c r="M985" s="15"/>
      <c r="N985" s="15"/>
      <c r="O985" s="15"/>
    </row>
    <row r="986">
      <c r="M986" s="15"/>
      <c r="N986" s="15"/>
      <c r="O986" s="15"/>
    </row>
    <row r="987">
      <c r="M987" s="15"/>
      <c r="N987" s="15"/>
      <c r="O987" s="15"/>
    </row>
    <row r="988">
      <c r="M988" s="15"/>
      <c r="N988" s="15"/>
      <c r="O988" s="15"/>
    </row>
    <row r="989">
      <c r="M989" s="15"/>
      <c r="N989" s="15"/>
      <c r="O989" s="15"/>
    </row>
    <row r="990">
      <c r="M990" s="15"/>
      <c r="N990" s="15"/>
      <c r="O990" s="15"/>
    </row>
    <row r="991">
      <c r="M991" s="15"/>
      <c r="N991" s="15"/>
      <c r="O991" s="15"/>
    </row>
    <row r="992">
      <c r="M992" s="15"/>
      <c r="N992" s="15"/>
      <c r="O992" s="15"/>
    </row>
    <row r="993">
      <c r="M993" s="15"/>
      <c r="N993" s="15"/>
      <c r="O993" s="15"/>
    </row>
    <row r="994">
      <c r="M994" s="15"/>
      <c r="N994" s="15"/>
      <c r="O994" s="15"/>
    </row>
    <row r="995">
      <c r="M995" s="15"/>
      <c r="N995" s="15"/>
      <c r="O995" s="15"/>
    </row>
    <row r="996">
      <c r="M996" s="15"/>
      <c r="N996" s="15"/>
      <c r="O996" s="15"/>
    </row>
    <row r="997">
      <c r="M997" s="15"/>
      <c r="N997" s="15"/>
      <c r="O997" s="15"/>
    </row>
    <row r="998">
      <c r="M998" s="15"/>
      <c r="N998" s="15"/>
      <c r="O998" s="15"/>
    </row>
    <row r="999">
      <c r="M999" s="15"/>
      <c r="N999" s="15"/>
      <c r="O999" s="15"/>
    </row>
    <row r="1000">
      <c r="M1000" s="15"/>
      <c r="N1000" s="15"/>
      <c r="O1000" s="15"/>
    </row>
    <row r="1001">
      <c r="M1001" s="15"/>
      <c r="N1001" s="15"/>
      <c r="O1001" s="15"/>
    </row>
    <row r="1002">
      <c r="M1002" s="15"/>
      <c r="N1002" s="15"/>
      <c r="O1002" s="15"/>
    </row>
    <row r="1003">
      <c r="M1003" s="15"/>
      <c r="N1003" s="15"/>
      <c r="O1003" s="15"/>
    </row>
  </sheetData>
  <mergeCells count="26">
    <mergeCell ref="C1:G1"/>
    <mergeCell ref="A4:A8"/>
    <mergeCell ref="C11:G11"/>
    <mergeCell ref="A13:A17"/>
    <mergeCell ref="C20:G20"/>
    <mergeCell ref="A22:A26"/>
    <mergeCell ref="A31:A35"/>
    <mergeCell ref="A58:A62"/>
    <mergeCell ref="A67:A71"/>
    <mergeCell ref="A76:A80"/>
    <mergeCell ref="A85:A89"/>
    <mergeCell ref="A94:A98"/>
    <mergeCell ref="A103:A107"/>
    <mergeCell ref="A112:A116"/>
    <mergeCell ref="C74:G74"/>
    <mergeCell ref="C83:G83"/>
    <mergeCell ref="C92:G92"/>
    <mergeCell ref="C101:G101"/>
    <mergeCell ref="C110:G110"/>
    <mergeCell ref="C29:G29"/>
    <mergeCell ref="C38:G38"/>
    <mergeCell ref="A40:A44"/>
    <mergeCell ref="C47:G47"/>
    <mergeCell ref="A49:A53"/>
    <mergeCell ref="C56:G56"/>
    <mergeCell ref="C65:G6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9.13"/>
    <col customWidth="1" min="2" max="3" width="34.0"/>
    <col customWidth="1" min="4" max="4" width="24.88"/>
    <col customWidth="1" min="5" max="5" width="23.25"/>
    <col customWidth="1" min="6" max="6" width="25.63"/>
    <col customWidth="1" min="7" max="7" width="17.88"/>
  </cols>
  <sheetData>
    <row r="1" ht="27.75" customHeight="1">
      <c r="A1" s="34" t="s">
        <v>175</v>
      </c>
      <c r="B1" s="34" t="s">
        <v>176</v>
      </c>
      <c r="C1" s="34" t="s">
        <v>177</v>
      </c>
      <c r="D1" s="34" t="s">
        <v>178</v>
      </c>
      <c r="E1" s="34" t="s">
        <v>179</v>
      </c>
      <c r="F1" s="34" t="s">
        <v>180</v>
      </c>
      <c r="G1" s="34" t="s">
        <v>181</v>
      </c>
    </row>
    <row r="2" ht="23.25" customHeight="1">
      <c r="A2" s="35" t="s">
        <v>182</v>
      </c>
      <c r="B2" s="36">
        <v>2.0</v>
      </c>
      <c r="C2" s="36">
        <v>4.0</v>
      </c>
      <c r="D2" s="36">
        <v>2.0</v>
      </c>
      <c r="E2" s="36">
        <v>3.0</v>
      </c>
      <c r="F2" s="36">
        <v>5.0</v>
      </c>
      <c r="G2" s="36">
        <f>SUM(B2:F2)</f>
        <v>16</v>
      </c>
    </row>
    <row r="3">
      <c r="A3" s="37" t="s">
        <v>183</v>
      </c>
      <c r="B3" s="35">
        <v>4.0</v>
      </c>
      <c r="C3" s="38">
        <v>4.0</v>
      </c>
      <c r="D3" s="35">
        <v>4.0</v>
      </c>
      <c r="E3" s="35">
        <v>2.0</v>
      </c>
      <c r="F3" s="35">
        <v>4.0</v>
      </c>
      <c r="G3" s="39">
        <f t="shared" ref="G3:G15" si="1">SUMPRODUCT(B3:F3,$B$2:$F$2)</f>
        <v>58</v>
      </c>
    </row>
    <row r="4">
      <c r="A4" s="37" t="s">
        <v>184</v>
      </c>
      <c r="B4" s="38">
        <v>5.0</v>
      </c>
      <c r="C4" s="38">
        <v>5.0</v>
      </c>
      <c r="D4" s="38">
        <v>3.0</v>
      </c>
      <c r="E4" s="38">
        <v>3.0</v>
      </c>
      <c r="F4" s="38">
        <v>3.0</v>
      </c>
      <c r="G4" s="39">
        <f t="shared" si="1"/>
        <v>60</v>
      </c>
    </row>
    <row r="5">
      <c r="A5" s="40" t="s">
        <v>185</v>
      </c>
      <c r="B5" s="38">
        <v>2.0</v>
      </c>
      <c r="C5" s="38">
        <v>2.0</v>
      </c>
      <c r="D5" s="38">
        <v>2.0</v>
      </c>
      <c r="E5" s="38">
        <v>1.0</v>
      </c>
      <c r="F5" s="38">
        <v>2.0</v>
      </c>
      <c r="G5" s="35">
        <f t="shared" si="1"/>
        <v>29</v>
      </c>
    </row>
    <row r="6">
      <c r="A6" s="40" t="s">
        <v>186</v>
      </c>
      <c r="B6" s="38">
        <v>2.0</v>
      </c>
      <c r="C6" s="38">
        <v>2.0</v>
      </c>
      <c r="D6" s="38">
        <v>1.0</v>
      </c>
      <c r="E6" s="38">
        <v>2.0</v>
      </c>
      <c r="F6" s="38">
        <v>2.0</v>
      </c>
      <c r="G6" s="35">
        <f t="shared" si="1"/>
        <v>30</v>
      </c>
    </row>
    <row r="7">
      <c r="A7" s="40" t="s">
        <v>187</v>
      </c>
      <c r="B7" s="38">
        <v>3.0</v>
      </c>
      <c r="C7" s="38">
        <v>4.0</v>
      </c>
      <c r="D7" s="38">
        <v>4.0</v>
      </c>
      <c r="E7" s="38">
        <v>2.0</v>
      </c>
      <c r="F7" s="38">
        <v>2.0</v>
      </c>
      <c r="G7" s="35">
        <f t="shared" si="1"/>
        <v>46</v>
      </c>
    </row>
    <row r="8">
      <c r="A8" s="40" t="s">
        <v>188</v>
      </c>
      <c r="B8" s="38">
        <v>2.0</v>
      </c>
      <c r="C8" s="38">
        <v>2.0</v>
      </c>
      <c r="D8" s="38">
        <v>2.0</v>
      </c>
      <c r="E8" s="38">
        <v>2.0</v>
      </c>
      <c r="F8" s="38">
        <v>2.0</v>
      </c>
      <c r="G8" s="35">
        <f t="shared" si="1"/>
        <v>32</v>
      </c>
    </row>
    <row r="9">
      <c r="A9" s="40" t="s">
        <v>189</v>
      </c>
      <c r="B9" s="38">
        <v>1.0</v>
      </c>
      <c r="C9" s="38">
        <v>2.0</v>
      </c>
      <c r="D9" s="38">
        <v>1.0</v>
      </c>
      <c r="E9" s="38">
        <v>2.0</v>
      </c>
      <c r="F9" s="38">
        <v>2.0</v>
      </c>
      <c r="G9" s="35">
        <f t="shared" si="1"/>
        <v>28</v>
      </c>
    </row>
    <row r="10">
      <c r="A10" s="37" t="s">
        <v>190</v>
      </c>
      <c r="B10" s="38">
        <v>4.0</v>
      </c>
      <c r="C10" s="38">
        <v>5.0</v>
      </c>
      <c r="D10" s="38">
        <v>4.0</v>
      </c>
      <c r="E10" s="38">
        <v>3.0</v>
      </c>
      <c r="F10" s="38">
        <v>4.0</v>
      </c>
      <c r="G10" s="39">
        <f t="shared" si="1"/>
        <v>65</v>
      </c>
    </row>
    <row r="11">
      <c r="A11" s="40" t="s">
        <v>191</v>
      </c>
      <c r="B11" s="38">
        <v>2.0</v>
      </c>
      <c r="C11" s="38">
        <v>2.0</v>
      </c>
      <c r="D11" s="38">
        <v>1.0</v>
      </c>
      <c r="E11" s="38">
        <v>1.0</v>
      </c>
      <c r="F11" s="38">
        <v>1.0</v>
      </c>
      <c r="G11" s="35">
        <f t="shared" si="1"/>
        <v>22</v>
      </c>
    </row>
    <row r="12">
      <c r="A12" s="40" t="s">
        <v>192</v>
      </c>
      <c r="B12" s="38">
        <v>2.0</v>
      </c>
      <c r="C12" s="38">
        <v>2.0</v>
      </c>
      <c r="D12" s="38">
        <v>2.0</v>
      </c>
      <c r="E12" s="38">
        <v>1.0</v>
      </c>
      <c r="F12" s="38">
        <v>2.0</v>
      </c>
      <c r="G12" s="35">
        <f t="shared" si="1"/>
        <v>29</v>
      </c>
    </row>
    <row r="13">
      <c r="A13" s="40" t="s">
        <v>193</v>
      </c>
      <c r="B13" s="38">
        <v>2.0</v>
      </c>
      <c r="C13" s="38">
        <v>2.0</v>
      </c>
      <c r="D13" s="38">
        <v>2.0</v>
      </c>
      <c r="E13" s="38">
        <v>2.0</v>
      </c>
      <c r="F13" s="38">
        <v>2.0</v>
      </c>
      <c r="G13" s="35">
        <f t="shared" si="1"/>
        <v>32</v>
      </c>
    </row>
    <row r="14">
      <c r="A14" s="40" t="s">
        <v>194</v>
      </c>
      <c r="B14" s="38">
        <v>1.0</v>
      </c>
      <c r="C14" s="38">
        <v>1.0</v>
      </c>
      <c r="D14" s="38">
        <v>1.0</v>
      </c>
      <c r="E14" s="38">
        <v>1.0</v>
      </c>
      <c r="F14" s="38">
        <v>1.0</v>
      </c>
      <c r="G14" s="35">
        <f t="shared" si="1"/>
        <v>16</v>
      </c>
    </row>
    <row r="15">
      <c r="A15" s="37" t="s">
        <v>195</v>
      </c>
      <c r="B15" s="38">
        <v>5.0</v>
      </c>
      <c r="C15" s="38">
        <v>5.0</v>
      </c>
      <c r="D15" s="38">
        <v>4.0</v>
      </c>
      <c r="E15" s="38">
        <v>4.0</v>
      </c>
      <c r="F15" s="38">
        <v>4.0</v>
      </c>
      <c r="G15" s="39">
        <f t="shared" si="1"/>
        <v>70</v>
      </c>
    </row>
  </sheetData>
  <drawing r:id="rId2"/>
  <legacyDrawing r:id="rId3"/>
</worksheet>
</file>