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amples" sheetId="2" r:id="rId1"/>
    <sheet name="downstream volumes" sheetId="4" r:id="rId2"/>
    <sheet name="transmissivity" sheetId="1" r:id="rId3"/>
    <sheet name="to csv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1" l="1"/>
  <c r="X21" i="1"/>
  <c r="X19" i="1"/>
  <c r="W20" i="1"/>
  <c r="W21" i="1"/>
  <c r="W19" i="1"/>
  <c r="X17" i="1"/>
  <c r="X16" i="1"/>
  <c r="W17" i="1"/>
  <c r="W16" i="1"/>
  <c r="X11" i="1"/>
  <c r="X10" i="1"/>
  <c r="W10" i="1"/>
  <c r="W11" i="1"/>
  <c r="V20" i="1"/>
  <c r="V21" i="1"/>
  <c r="U20" i="1"/>
  <c r="U21" i="1"/>
  <c r="V19" i="1"/>
  <c r="U19" i="1"/>
  <c r="V17" i="1"/>
  <c r="V16" i="1"/>
  <c r="U17" i="1"/>
  <c r="U16" i="1"/>
  <c r="U11" i="1"/>
  <c r="U10" i="1"/>
  <c r="V11" i="1"/>
  <c r="V10" i="1"/>
  <c r="F11" i="1"/>
  <c r="D4" i="4" l="1"/>
  <c r="C4" i="4" l="1"/>
  <c r="C5" i="4"/>
  <c r="D5" i="4" s="1"/>
  <c r="C6" i="4"/>
  <c r="D6" i="4" s="1"/>
  <c r="C7" i="4"/>
  <c r="D7" i="4" s="1"/>
  <c r="C8" i="4"/>
  <c r="D8" i="4" s="1"/>
  <c r="C3" i="4"/>
  <c r="D3" i="4" s="1"/>
  <c r="G15" i="1" l="1"/>
  <c r="J15" i="1" s="1"/>
  <c r="L15" i="1" s="1"/>
  <c r="N15" i="1" s="1"/>
  <c r="G18" i="1"/>
  <c r="J18" i="1" s="1"/>
  <c r="L18" i="1" s="1"/>
  <c r="N18" i="1" s="1"/>
  <c r="H9" i="2"/>
  <c r="H10" i="2"/>
  <c r="F10" i="2"/>
  <c r="F9" i="2"/>
  <c r="E10" i="2"/>
  <c r="E9" i="2"/>
  <c r="D10" i="2"/>
  <c r="D9" i="2"/>
  <c r="G14" i="1"/>
  <c r="J14" i="1" s="1"/>
  <c r="H8" i="2"/>
  <c r="H7" i="2"/>
  <c r="F8" i="2"/>
  <c r="E8" i="2"/>
  <c r="E7" i="2"/>
  <c r="D8" i="2"/>
  <c r="D7" i="2"/>
  <c r="I14" i="1" l="1"/>
  <c r="K14" i="1" s="1"/>
  <c r="M14" i="1" s="1"/>
  <c r="I15" i="1"/>
  <c r="K15" i="1" s="1"/>
  <c r="M15" i="1" s="1"/>
  <c r="I18" i="1"/>
  <c r="K18" i="1" s="1"/>
  <c r="M18" i="1" s="1"/>
  <c r="L14" i="1"/>
  <c r="N14" i="1" s="1"/>
  <c r="I8" i="1"/>
  <c r="K8" i="1" s="1"/>
  <c r="M8" i="1" s="1"/>
  <c r="J8" i="1"/>
  <c r="L8" i="1" s="1"/>
  <c r="N8" i="1" s="1"/>
  <c r="J5" i="1"/>
  <c r="L5" i="1" s="1"/>
  <c r="J6" i="1"/>
  <c r="L6" i="1" s="1"/>
  <c r="J4" i="1"/>
  <c r="L4" i="1" s="1"/>
  <c r="I5" i="1"/>
  <c r="K5" i="1" s="1"/>
  <c r="I6" i="1"/>
  <c r="K6" i="1" s="1"/>
  <c r="M6" i="1" s="1"/>
  <c r="I4" i="1"/>
  <c r="K4" i="1" s="1"/>
  <c r="I7" i="1"/>
  <c r="K7" i="1" s="1"/>
  <c r="M7" i="1" s="1"/>
  <c r="I12" i="1"/>
  <c r="K12" i="1" s="1"/>
  <c r="M12" i="1" s="1"/>
  <c r="I13" i="1"/>
  <c r="K13" i="1" s="1"/>
  <c r="M13" i="1" s="1"/>
  <c r="F12" i="1"/>
  <c r="H6" i="2"/>
  <c r="H5" i="2"/>
  <c r="E6" i="2"/>
  <c r="E5" i="2"/>
  <c r="I23" i="1" l="1"/>
  <c r="J9" i="1"/>
  <c r="L9" i="1" s="1"/>
  <c r="N9" i="1" s="1"/>
  <c r="I9" i="1"/>
  <c r="K9" i="1" s="1"/>
  <c r="M9" i="1" s="1"/>
  <c r="J7" i="1"/>
  <c r="L7" i="1" s="1"/>
  <c r="N7" i="1" s="1"/>
  <c r="J13" i="1"/>
  <c r="L13" i="1" s="1"/>
  <c r="N13" i="1" s="1"/>
  <c r="J12" i="1"/>
  <c r="L12" i="1" s="1"/>
  <c r="N12" i="1" s="1"/>
  <c r="N4" i="1"/>
  <c r="N5" i="1"/>
  <c r="N6" i="1"/>
  <c r="M5" i="1"/>
  <c r="M4" i="1"/>
  <c r="J23" i="1" l="1"/>
  <c r="I24" i="1" s="1"/>
</calcChain>
</file>

<file path=xl/sharedStrings.xml><?xml version="1.0" encoding="utf-8"?>
<sst xmlns="http://schemas.openxmlformats.org/spreadsheetml/2006/main" count="231" uniqueCount="98">
  <si>
    <t>cycle</t>
  </si>
  <si>
    <t>Pa</t>
  </si>
  <si>
    <t>ΔP</t>
  </si>
  <si>
    <t>m/s</t>
  </si>
  <si>
    <t>H Transmissivity 1</t>
  </si>
  <si>
    <t>H Transmissivity 2</t>
  </si>
  <si>
    <t>H Transmissivity MB5, MB6</t>
  </si>
  <si>
    <t>H Transmissivity MB7</t>
  </si>
  <si>
    <t>Min</t>
  </si>
  <si>
    <t>Max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</si>
  <si>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</si>
  <si>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</si>
  <si>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</si>
  <si>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</si>
  <si>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Sample</t>
  </si>
  <si>
    <t>G</t>
  </si>
  <si>
    <t>Stationary #13</t>
  </si>
  <si>
    <t>Rotary #1</t>
  </si>
  <si>
    <t>exp</t>
  </si>
  <si>
    <t>s1994</t>
  </si>
  <si>
    <t>s1995</t>
  </si>
  <si>
    <t>Stationary</t>
  </si>
  <si>
    <t>Rotary</t>
  </si>
  <si>
    <t>Effstress</t>
  </si>
  <si>
    <t>MPa</t>
  </si>
  <si>
    <t>what height???</t>
  </si>
  <si>
    <t>Q (read from plot)</t>
  </si>
  <si>
    <t>Kh (rot)</t>
  </si>
  <si>
    <t>Kh (stat)</t>
  </si>
  <si>
    <t>K (rot, 1 mm)</t>
  </si>
  <si>
    <t>K (stat, 1 mm)</t>
  </si>
  <si>
    <t>H. Conductivity (stat, 1 mm)</t>
  </si>
  <si>
    <t>H. Conductivity (rot, 1 mm)</t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</si>
  <si>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</si>
  <si>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hole</t>
    </r>
  </si>
  <si>
    <r>
      <t>r</t>
    </r>
    <r>
      <rPr>
        <vertAlign val="subscript"/>
        <sz val="11"/>
        <color theme="1"/>
        <rFont val="Calibri"/>
        <family val="2"/>
        <scheme val="minor"/>
      </rPr>
      <t>ext</t>
    </r>
    <r>
      <rPr>
        <sz val="11"/>
        <color theme="1"/>
        <rFont val="Calibri"/>
        <family val="2"/>
        <scheme val="minor"/>
      </rPr>
      <t>-r</t>
    </r>
    <r>
      <rPr>
        <vertAlign val="subscript"/>
        <sz val="11"/>
        <color theme="1"/>
        <rFont val="Calibri"/>
        <family val="2"/>
        <scheme val="minor"/>
      </rPr>
      <t>int</t>
    </r>
  </si>
  <si>
    <r>
      <t>r</t>
    </r>
    <r>
      <rPr>
        <vertAlign val="subscript"/>
        <sz val="11"/>
        <color theme="1"/>
        <rFont val="Calibri"/>
        <family val="2"/>
        <scheme val="minor"/>
      </rPr>
      <t>ext</t>
    </r>
  </si>
  <si>
    <r>
      <t>r</t>
    </r>
    <r>
      <rPr>
        <vertAlign val="subscript"/>
        <sz val="11"/>
        <color theme="1"/>
        <rFont val="Calibri"/>
        <family val="2"/>
        <scheme val="minor"/>
      </rPr>
      <t>int</t>
    </r>
  </si>
  <si>
    <t>H</t>
  </si>
  <si>
    <t>s1996</t>
  </si>
  <si>
    <t>s1997</t>
  </si>
  <si>
    <t>Stationary #1</t>
  </si>
  <si>
    <t>Rotary #?</t>
  </si>
  <si>
    <t>OSCILL</t>
  </si>
  <si>
    <t>type</t>
  </si>
  <si>
    <t>before preshear</t>
  </si>
  <si>
    <t>after preshear</t>
  </si>
  <si>
    <t>after preshear with shear stress</t>
  </si>
  <si>
    <t>after MI</t>
  </si>
  <si>
    <t>cycle_type</t>
  </si>
  <si>
    <t>thick (mm)</t>
  </si>
  <si>
    <t>period (s)</t>
  </si>
  <si>
    <t># cycles</t>
  </si>
  <si>
    <t>error</t>
  </si>
  <si>
    <t>nomogram</t>
  </si>
  <si>
    <t>Sn</t>
  </si>
  <si>
    <t>Pc</t>
  </si>
  <si>
    <t>Pf</t>
  </si>
  <si>
    <t>Sn-Pf</t>
  </si>
  <si>
    <t>transm (rot)</t>
  </si>
  <si>
    <t>transm (stat)</t>
  </si>
  <si>
    <t>AVERAGE</t>
  </si>
  <si>
    <t>AV AV</t>
  </si>
  <si>
    <t>start</t>
  </si>
  <si>
    <t>end</t>
  </si>
  <si>
    <t>Downstream reservoir volume</t>
  </si>
  <si>
    <t>mL</t>
  </si>
  <si>
    <t>Volume PumpA</t>
  </si>
  <si>
    <t>Experiment</t>
  </si>
  <si>
    <t>Cycle</t>
  </si>
  <si>
    <t>Ds volume</t>
  </si>
  <si>
    <t>mm3</t>
  </si>
  <si>
    <t>Ds Volume</t>
  </si>
  <si>
    <t>Volume pipe</t>
  </si>
  <si>
    <t>red</t>
  </si>
  <si>
    <t>purple</t>
  </si>
  <si>
    <t>Volume vessel (done with jacketed gouge holder)</t>
  </si>
  <si>
    <t>rettangolo</t>
  </si>
  <si>
    <t>1.4 x 4.5</t>
  </si>
  <si>
    <t>depends on sample</t>
  </si>
  <si>
    <t>La parte downstream con GEMS non è chiusa, solo la PumpA era STOP a volume costante.</t>
  </si>
  <si>
    <t>In prima approssimazione il volume nel vessel col giacchetto e il portacampioni in gouge può essere considerato.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</si>
  <si>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</si>
  <si>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s</t>
  </si>
  <si>
    <t>Period</t>
  </si>
  <si>
    <t>Diameter</t>
  </si>
  <si>
    <t>Lenght</t>
  </si>
  <si>
    <t>perm/L*S</t>
  </si>
  <si>
    <t>error perm/L*S</t>
  </si>
  <si>
    <t>inputs to JM perm process</t>
  </si>
  <si>
    <t>outputs of JM perm process</t>
  </si>
  <si>
    <t>transmissivity across equivalent cylinder</t>
  </si>
  <si>
    <t>in</t>
  </si>
  <si>
    <t>error Kh (rot)</t>
  </si>
  <si>
    <t>error Kh (stat)</t>
  </si>
  <si>
    <t>method</t>
  </si>
  <si>
    <t>Pf oscillations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</si>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</sst>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1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6" xfId="0" applyNumberFormat="1" applyBorder="1"/>
    <xf numFmtId="0" fontId="0" fillId="0" borderId="8" xfId="0" applyBorder="1"/>
    <xf numFmtId="0" fontId="0" fillId="0" borderId="1" xfId="0" applyBorder="1"/>
    <xf numFmtId="11" fontId="0" fillId="0" borderId="1" xfId="0" applyNumberFormat="1" applyBorder="1"/>
    <xf numFmtId="11" fontId="0" fillId="0" borderId="3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1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1" fontId="0" fillId="0" borderId="0" xfId="0" applyNumberFormat="1" applyBorder="1" applyAlignment="1">
      <alignment horizontal="center" vertical="center" wrapText="1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 applyAlignment="1">
      <alignment horizontal="center" vertical="center"/>
    </xf>
    <xf numFmtId="11" fontId="0" fillId="0" borderId="2" xfId="0" applyNumberFormat="1" applyFill="1" applyBorder="1" applyAlignment="1">
      <alignment horizontal="center" vertical="center" wrapText="1"/>
    </xf>
    <xf numFmtId="11" fontId="0" fillId="0" borderId="0" xfId="0" applyNumberFormat="1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15</xdr:row>
      <xdr:rowOff>181492</xdr:rowOff>
    </xdr:from>
    <xdr:to>
      <xdr:col>8</xdr:col>
      <xdr:colOff>428626</xdr:colOff>
      <xdr:row>33</xdr:row>
      <xdr:rowOff>143415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3610492"/>
          <a:ext cx="6915150" cy="339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ompart.com/en/unicode/U+03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8" sqref="A8:XFD8"/>
    </sheetView>
  </sheetViews>
  <sheetFormatPr defaultRowHeight="15"/>
  <cols>
    <col min="2" max="2" width="15" customWidth="1"/>
  </cols>
  <sheetData>
    <row r="1" spans="1:9" ht="18">
      <c r="A1" s="30"/>
      <c r="B1" s="30" t="s">
        <v>14</v>
      </c>
      <c r="C1" s="30" t="s">
        <v>38</v>
      </c>
      <c r="D1" s="30" t="s">
        <v>37</v>
      </c>
      <c r="E1" s="30" t="s">
        <v>36</v>
      </c>
      <c r="F1" s="30" t="s">
        <v>35</v>
      </c>
      <c r="G1" s="30" t="s">
        <v>34</v>
      </c>
      <c r="H1" s="30" t="s">
        <v>15</v>
      </c>
      <c r="I1" s="40" t="s">
        <v>18</v>
      </c>
    </row>
    <row r="2" spans="1:9">
      <c r="A2" s="30"/>
      <c r="B2" s="30"/>
      <c r="C2" s="30" t="s">
        <v>33</v>
      </c>
      <c r="D2" s="30" t="s">
        <v>33</v>
      </c>
      <c r="E2" s="30" t="s">
        <v>33</v>
      </c>
      <c r="F2" s="30" t="s">
        <v>33</v>
      </c>
      <c r="G2" s="30" t="s">
        <v>33</v>
      </c>
      <c r="H2" s="30"/>
      <c r="I2" s="40"/>
    </row>
    <row r="3" spans="1:9">
      <c r="A3" s="30">
        <v>1</v>
      </c>
      <c r="B3" s="30" t="s">
        <v>16</v>
      </c>
      <c r="C3" s="30">
        <v>53.94</v>
      </c>
      <c r="D3" s="30">
        <v>15.1</v>
      </c>
      <c r="E3" s="30">
        <v>24.3</v>
      </c>
      <c r="F3" s="30">
        <v>9.1999999999999993</v>
      </c>
      <c r="G3" s="30"/>
      <c r="H3" s="30">
        <v>7.4399999999999994E-2</v>
      </c>
      <c r="I3" s="33" t="s">
        <v>19</v>
      </c>
    </row>
    <row r="4" spans="1:9">
      <c r="A4" s="30">
        <v>2</v>
      </c>
      <c r="B4" s="30" t="s">
        <v>17</v>
      </c>
      <c r="C4" s="30">
        <v>52.17</v>
      </c>
      <c r="D4" s="30">
        <v>15.1</v>
      </c>
      <c r="E4" s="30">
        <v>23.7</v>
      </c>
      <c r="F4" s="30">
        <v>8.6</v>
      </c>
      <c r="G4" s="30"/>
      <c r="H4" s="30">
        <v>7.0599999999999996E-2</v>
      </c>
      <c r="I4" s="33" t="s">
        <v>19</v>
      </c>
    </row>
    <row r="5" spans="1:9">
      <c r="A5" s="33">
        <v>3</v>
      </c>
      <c r="B5" s="40" t="s">
        <v>21</v>
      </c>
      <c r="C5" s="33">
        <v>52.13</v>
      </c>
      <c r="D5" s="42">
        <v>15</v>
      </c>
      <c r="E5" s="33">
        <f>D5+F5</f>
        <v>24.91</v>
      </c>
      <c r="F5" s="33">
        <v>9.91</v>
      </c>
      <c r="G5" s="33">
        <v>2.84</v>
      </c>
      <c r="H5" s="33">
        <f>(F5)/(PI()*(D5+E5))</f>
        <v>7.9039112304719772E-2</v>
      </c>
      <c r="I5" s="33" t="s">
        <v>20</v>
      </c>
    </row>
    <row r="6" spans="1:9">
      <c r="A6" s="40">
        <v>4</v>
      </c>
      <c r="B6" s="40" t="s">
        <v>22</v>
      </c>
      <c r="C6" s="33">
        <v>51.7</v>
      </c>
      <c r="D6" s="43">
        <v>15</v>
      </c>
      <c r="E6" s="33">
        <f>D6+F6</f>
        <v>24.83</v>
      </c>
      <c r="F6" s="33">
        <v>9.83</v>
      </c>
      <c r="G6" s="33">
        <v>8.1999999999999993</v>
      </c>
      <c r="H6" s="33">
        <f>(F6)/(PI()*(D6+E6))</f>
        <v>7.8558528274834602E-2</v>
      </c>
      <c r="I6" s="33" t="s">
        <v>20</v>
      </c>
    </row>
    <row r="7" spans="1:9">
      <c r="A7" s="40">
        <v>5</v>
      </c>
      <c r="B7" s="40" t="s">
        <v>41</v>
      </c>
      <c r="C7" s="40">
        <v>52.32</v>
      </c>
      <c r="D7" s="5">
        <f>30.2/2</f>
        <v>15.1</v>
      </c>
      <c r="E7" s="5">
        <f>49.87/2</f>
        <v>24.934999999999999</v>
      </c>
      <c r="F7" s="5">
        <v>9.1300000000000008</v>
      </c>
      <c r="G7" s="5">
        <v>7.6</v>
      </c>
      <c r="H7" s="33">
        <f>(F7)/(PI()*(D7+E7))</f>
        <v>7.2590714646134868E-2</v>
      </c>
      <c r="I7" s="44" t="s">
        <v>39</v>
      </c>
    </row>
    <row r="8" spans="1:9">
      <c r="A8" s="40">
        <v>6</v>
      </c>
      <c r="B8" s="40" t="s">
        <v>42</v>
      </c>
      <c r="C8" s="40">
        <v>52.65</v>
      </c>
      <c r="D8" s="5">
        <f>30.3/2</f>
        <v>15.15</v>
      </c>
      <c r="E8" s="5">
        <f>49.59/2</f>
        <v>24.795000000000002</v>
      </c>
      <c r="F8" s="5">
        <f>E8-D8</f>
        <v>9.6450000000000014</v>
      </c>
      <c r="G8" s="5">
        <v>6.55</v>
      </c>
      <c r="H8" s="33">
        <f>(F8)/(PI()*(D8+E8))</f>
        <v>7.6858151264054611E-2</v>
      </c>
      <c r="I8" s="44" t="s">
        <v>39</v>
      </c>
    </row>
    <row r="9" spans="1:9">
      <c r="A9" s="40">
        <v>7</v>
      </c>
      <c r="B9" s="40" t="s">
        <v>42</v>
      </c>
      <c r="C9" s="40">
        <v>51.86</v>
      </c>
      <c r="D9" s="5">
        <f>29.96/2</f>
        <v>14.98</v>
      </c>
      <c r="E9" s="5">
        <f>49.72/2</f>
        <v>24.86</v>
      </c>
      <c r="F9" s="5">
        <f>E9-D9</f>
        <v>9.879999999999999</v>
      </c>
      <c r="G9" s="5">
        <v>5.7</v>
      </c>
      <c r="H9" s="33">
        <f t="shared" ref="H9:H10" si="0">(F9)/(PI()*(D9+E9))</f>
        <v>7.8938295067666947E-2</v>
      </c>
      <c r="I9" s="44" t="s">
        <v>40</v>
      </c>
    </row>
    <row r="10" spans="1:9">
      <c r="A10" s="40">
        <v>8</v>
      </c>
      <c r="B10" s="40" t="s">
        <v>41</v>
      </c>
      <c r="C10" s="40">
        <v>51.9</v>
      </c>
      <c r="D10" s="5">
        <f>29.8/2</f>
        <v>14.9</v>
      </c>
      <c r="E10" s="5">
        <f>48.7/2</f>
        <v>24.35</v>
      </c>
      <c r="F10" s="5">
        <f>E10-D10</f>
        <v>9.4500000000000011</v>
      </c>
      <c r="G10" s="5">
        <v>7.2</v>
      </c>
      <c r="H10" s="33">
        <f t="shared" si="0"/>
        <v>7.6637666864632414E-2</v>
      </c>
      <c r="I10" s="44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6" sqref="D6:D8"/>
    </sheetView>
  </sheetViews>
  <sheetFormatPr defaultRowHeight="15"/>
  <cols>
    <col min="1" max="1" width="11.28515625" bestFit="1" customWidth="1"/>
    <col min="3" max="3" width="10.5703125" bestFit="1" customWidth="1"/>
    <col min="4" max="4" width="10.28515625" bestFit="1" customWidth="1"/>
    <col min="5" max="5" width="15" bestFit="1" customWidth="1"/>
    <col min="6" max="6" width="14.85546875" bestFit="1" customWidth="1"/>
    <col min="7" max="7" width="14.140625" bestFit="1" customWidth="1"/>
    <col min="8" max="8" width="15" bestFit="1" customWidth="1"/>
  </cols>
  <sheetData>
    <row r="1" spans="1:9" ht="60">
      <c r="A1" t="s">
        <v>68</v>
      </c>
      <c r="B1" t="s">
        <v>69</v>
      </c>
      <c r="C1" t="s">
        <v>72</v>
      </c>
      <c r="D1" t="s">
        <v>70</v>
      </c>
      <c r="E1" t="s">
        <v>67</v>
      </c>
      <c r="F1" t="s">
        <v>73</v>
      </c>
      <c r="G1" s="51" t="s">
        <v>76</v>
      </c>
    </row>
    <row r="2" spans="1:9">
      <c r="C2" t="s">
        <v>66</v>
      </c>
      <c r="D2" t="s">
        <v>71</v>
      </c>
      <c r="E2" t="s">
        <v>66</v>
      </c>
      <c r="F2" t="s">
        <v>66</v>
      </c>
      <c r="G2" t="s">
        <v>66</v>
      </c>
    </row>
    <row r="3" spans="1:9">
      <c r="A3" s="38" t="s">
        <v>20</v>
      </c>
      <c r="B3" s="40">
        <v>4</v>
      </c>
      <c r="C3" s="33">
        <f>SUM(E3:G3)</f>
        <v>442.01528399999995</v>
      </c>
      <c r="D3" s="33">
        <f t="shared" ref="D3:D8" si="0">C3*1000</f>
        <v>442015.28399999993</v>
      </c>
      <c r="E3" s="33">
        <v>297.64028400000001</v>
      </c>
      <c r="F3" s="33">
        <v>5.15</v>
      </c>
      <c r="G3" s="33">
        <v>139.22499999999999</v>
      </c>
      <c r="H3" s="50"/>
      <c r="I3" s="33"/>
    </row>
    <row r="4" spans="1:9">
      <c r="A4" s="41" t="s">
        <v>20</v>
      </c>
      <c r="B4" s="23">
        <v>5</v>
      </c>
      <c r="C4" s="21">
        <f t="shared" ref="C4:C8" si="1">SUM(E4:G4)</f>
        <v>442.01527999999996</v>
      </c>
      <c r="D4" s="21">
        <f t="shared" si="0"/>
        <v>442015.27999999997</v>
      </c>
      <c r="E4" s="21">
        <v>297.64028000000002</v>
      </c>
      <c r="F4" s="21">
        <v>5.15</v>
      </c>
      <c r="G4" s="21">
        <v>139.22499999999999</v>
      </c>
      <c r="H4" s="50"/>
      <c r="I4" s="33"/>
    </row>
    <row r="5" spans="1:9">
      <c r="A5" s="52" t="s">
        <v>39</v>
      </c>
      <c r="B5" s="53">
        <v>3</v>
      </c>
      <c r="C5" s="54">
        <f t="shared" si="1"/>
        <v>431.78075000000001</v>
      </c>
      <c r="D5" s="54">
        <f t="shared" si="0"/>
        <v>431780.75</v>
      </c>
      <c r="E5" s="54">
        <v>287.40575000000001</v>
      </c>
      <c r="F5" s="54">
        <v>5.15</v>
      </c>
      <c r="G5" s="54">
        <v>139.22499999999999</v>
      </c>
      <c r="H5" s="50"/>
      <c r="I5" s="33"/>
    </row>
    <row r="6" spans="1:9">
      <c r="A6" s="46" t="s">
        <v>40</v>
      </c>
      <c r="B6" s="17">
        <v>2</v>
      </c>
      <c r="C6" s="55">
        <f t="shared" si="1"/>
        <v>599.05560100000002</v>
      </c>
      <c r="D6" s="55">
        <f t="shared" si="0"/>
        <v>599055.60100000002</v>
      </c>
      <c r="E6" s="55">
        <v>454.68060100000002</v>
      </c>
      <c r="F6" s="55">
        <v>5.15</v>
      </c>
      <c r="G6" s="55">
        <v>139.22499999999999</v>
      </c>
      <c r="H6" s="50"/>
      <c r="I6" s="33"/>
    </row>
    <row r="7" spans="1:9">
      <c r="A7" s="38" t="s">
        <v>40</v>
      </c>
      <c r="B7" s="40">
        <v>3</v>
      </c>
      <c r="C7" s="33">
        <f t="shared" si="1"/>
        <v>599.05560100000002</v>
      </c>
      <c r="D7" s="33">
        <f t="shared" si="0"/>
        <v>599055.60100000002</v>
      </c>
      <c r="E7" s="33">
        <v>454.68060100000002</v>
      </c>
      <c r="F7" s="33">
        <v>5.15</v>
      </c>
      <c r="G7" s="33">
        <v>139.22499999999999</v>
      </c>
      <c r="H7" s="50"/>
      <c r="I7" s="33"/>
    </row>
    <row r="8" spans="1:9">
      <c r="A8" s="41" t="s">
        <v>40</v>
      </c>
      <c r="B8" s="23">
        <v>4</v>
      </c>
      <c r="C8" s="21">
        <f t="shared" si="1"/>
        <v>599.05560100000002</v>
      </c>
      <c r="D8" s="21">
        <f t="shared" si="0"/>
        <v>599055.60100000002</v>
      </c>
      <c r="E8" s="21">
        <v>454.68060100000002</v>
      </c>
      <c r="F8" s="21">
        <v>5.15</v>
      </c>
      <c r="G8" s="21">
        <v>139.22499999999999</v>
      </c>
      <c r="H8" s="50"/>
      <c r="I8" s="33"/>
    </row>
    <row r="11" spans="1:9">
      <c r="A11" s="56" t="s">
        <v>81</v>
      </c>
    </row>
    <row r="12" spans="1:9">
      <c r="A12" t="s">
        <v>80</v>
      </c>
    </row>
    <row r="20" spans="11:13">
      <c r="K20" t="s">
        <v>74</v>
      </c>
      <c r="L20">
        <v>52</v>
      </c>
    </row>
    <row r="22" spans="11:13">
      <c r="K22" t="s">
        <v>75</v>
      </c>
      <c r="L22">
        <v>18.5</v>
      </c>
    </row>
    <row r="24" spans="11:13">
      <c r="K24" t="s">
        <v>77</v>
      </c>
      <c r="L24" t="s">
        <v>78</v>
      </c>
      <c r="M24" t="s">
        <v>79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="72" workbookViewId="0">
      <selection activeCell="W10" sqref="W10:X21"/>
    </sheetView>
  </sheetViews>
  <sheetFormatPr defaultRowHeight="15"/>
  <cols>
    <col min="2" max="2" width="9" bestFit="1" customWidth="1"/>
    <col min="3" max="3" width="19.7109375" customWidth="1"/>
    <col min="4" max="5" width="9.28515625" bestFit="1" customWidth="1"/>
    <col min="6" max="6" width="9" bestFit="1" customWidth="1"/>
    <col min="7" max="7" width="12.140625" bestFit="1" customWidth="1"/>
    <col min="8" max="8" width="9" bestFit="1" customWidth="1"/>
    <col min="9" max="10" width="12.140625" bestFit="1" customWidth="1"/>
    <col min="11" max="14" width="12.7109375" bestFit="1" customWidth="1"/>
    <col min="15" max="16" width="12.7109375" customWidth="1"/>
    <col min="17" max="17" width="12.28515625" bestFit="1" customWidth="1"/>
    <col min="19" max="19" width="16.5703125" customWidth="1"/>
    <col min="20" max="20" width="14.7109375" customWidth="1"/>
    <col min="21" max="24" width="18.5703125" customWidth="1"/>
    <col min="31" max="32" width="9" bestFit="1" customWidth="1"/>
  </cols>
  <sheetData>
    <row r="1" spans="1:32">
      <c r="O1" s="61" t="s">
        <v>89</v>
      </c>
      <c r="P1" s="61"/>
      <c r="Q1" s="61"/>
      <c r="R1" s="61"/>
      <c r="S1" s="62" t="s">
        <v>90</v>
      </c>
      <c r="T1" s="62"/>
      <c r="U1" s="63" t="s">
        <v>91</v>
      </c>
      <c r="V1" s="63"/>
      <c r="W1" s="60"/>
      <c r="X1" s="60"/>
    </row>
    <row r="2" spans="1:32" ht="75">
      <c r="A2" s="14" t="s">
        <v>18</v>
      </c>
      <c r="B2" s="15" t="s">
        <v>0</v>
      </c>
      <c r="C2" s="15" t="s">
        <v>44</v>
      </c>
      <c r="D2" s="15" t="s">
        <v>63</v>
      </c>
      <c r="E2" s="15" t="s">
        <v>64</v>
      </c>
      <c r="F2" s="15" t="s">
        <v>23</v>
      </c>
      <c r="G2" s="15" t="s">
        <v>26</v>
      </c>
      <c r="H2" s="16" t="s">
        <v>2</v>
      </c>
      <c r="I2" s="15" t="s">
        <v>27</v>
      </c>
      <c r="J2" s="15" t="s">
        <v>28</v>
      </c>
      <c r="K2" s="15" t="s">
        <v>29</v>
      </c>
      <c r="L2" s="15" t="s">
        <v>30</v>
      </c>
      <c r="M2" s="17" t="s">
        <v>32</v>
      </c>
      <c r="N2" s="18" t="s">
        <v>31</v>
      </c>
      <c r="O2" s="40" t="s">
        <v>85</v>
      </c>
      <c r="P2" s="40" t="s">
        <v>86</v>
      </c>
      <c r="Q2" s="15" t="s">
        <v>65</v>
      </c>
      <c r="R2" s="40" t="s">
        <v>84</v>
      </c>
      <c r="S2" s="40" t="s">
        <v>87</v>
      </c>
      <c r="T2" s="40" t="s">
        <v>88</v>
      </c>
      <c r="U2" s="40" t="s">
        <v>27</v>
      </c>
      <c r="V2" s="40" t="s">
        <v>28</v>
      </c>
      <c r="W2" s="40" t="s">
        <v>93</v>
      </c>
      <c r="X2" s="40" t="s">
        <v>94</v>
      </c>
      <c r="Y2" s="13" t="s">
        <v>4</v>
      </c>
      <c r="Z2" s="13" t="s">
        <v>5</v>
      </c>
      <c r="AE2" s="2" t="s">
        <v>6</v>
      </c>
      <c r="AF2" s="3" t="s">
        <v>7</v>
      </c>
    </row>
    <row r="3" spans="1:32" ht="17.25">
      <c r="A3" s="19"/>
      <c r="B3" s="20"/>
      <c r="C3" s="20"/>
      <c r="D3" s="20"/>
      <c r="E3" s="20"/>
      <c r="F3" s="20" t="s">
        <v>24</v>
      </c>
      <c r="G3" s="21" t="s">
        <v>13</v>
      </c>
      <c r="H3" s="22" t="s">
        <v>1</v>
      </c>
      <c r="I3" s="21" t="s">
        <v>12</v>
      </c>
      <c r="J3" s="21" t="s">
        <v>12</v>
      </c>
      <c r="K3" s="21" t="s">
        <v>11</v>
      </c>
      <c r="L3" s="21" t="s">
        <v>11</v>
      </c>
      <c r="M3" s="23" t="s">
        <v>3</v>
      </c>
      <c r="N3" s="24" t="s">
        <v>3</v>
      </c>
      <c r="O3" s="40" t="s">
        <v>33</v>
      </c>
      <c r="P3" s="40" t="s">
        <v>33</v>
      </c>
      <c r="Q3" s="33" t="s">
        <v>82</v>
      </c>
      <c r="R3" s="44" t="s">
        <v>83</v>
      </c>
      <c r="S3" s="44"/>
      <c r="T3" s="44"/>
      <c r="U3" s="33" t="s">
        <v>12</v>
      </c>
      <c r="V3" s="33" t="s">
        <v>12</v>
      </c>
      <c r="W3" s="33" t="s">
        <v>12</v>
      </c>
      <c r="X3" s="33" t="s">
        <v>12</v>
      </c>
      <c r="Y3" s="12" t="s">
        <v>10</v>
      </c>
      <c r="Z3" s="12" t="s">
        <v>10</v>
      </c>
      <c r="AE3" s="4" t="s">
        <v>10</v>
      </c>
      <c r="AF3" s="6" t="s">
        <v>10</v>
      </c>
    </row>
    <row r="4" spans="1:32">
      <c r="A4" s="25" t="s">
        <v>19</v>
      </c>
      <c r="B4" s="15">
        <v>1</v>
      </c>
      <c r="C4" s="15" t="s">
        <v>45</v>
      </c>
      <c r="D4" s="15">
        <v>9394</v>
      </c>
      <c r="E4" s="15">
        <v>9651</v>
      </c>
      <c r="F4" s="15">
        <v>7.5</v>
      </c>
      <c r="G4" s="26">
        <v>2.6E-7</v>
      </c>
      <c r="H4" s="15">
        <v>100000</v>
      </c>
      <c r="I4" s="27">
        <f>G4*0.001*0.0706/H4</f>
        <v>1.8355999999999997E-16</v>
      </c>
      <c r="J4" s="27">
        <f>G4*0.001*0.0744/H4</f>
        <v>1.9343999999999997E-16</v>
      </c>
      <c r="K4" s="27">
        <f t="shared" ref="K4:K5" si="0">I4/0.001</f>
        <v>1.8355999999999998E-13</v>
      </c>
      <c r="L4" s="27">
        <f t="shared" ref="L4:L5" si="1">J4/0.001</f>
        <v>1.9343999999999996E-13</v>
      </c>
      <c r="M4" s="27">
        <f t="shared" ref="M4:N9" si="2">K4*1000*9.81/0.001</f>
        <v>1.8007235999999998E-6</v>
      </c>
      <c r="N4" s="28">
        <f t="shared" si="2"/>
        <v>1.8976463999999996E-6</v>
      </c>
      <c r="O4" s="32"/>
      <c r="P4" s="32"/>
      <c r="Q4" s="30"/>
      <c r="R4" s="5"/>
      <c r="S4" s="48"/>
      <c r="T4" s="48"/>
      <c r="U4" s="48"/>
      <c r="V4" s="48"/>
      <c r="W4" s="48"/>
      <c r="X4" s="48"/>
      <c r="Y4" s="12"/>
      <c r="Z4" s="12"/>
      <c r="AD4" s="9" t="s">
        <v>8</v>
      </c>
      <c r="AE4" s="10">
        <v>9.9999999999999995E-7</v>
      </c>
      <c r="AF4" s="11">
        <v>4.1000000000000003E-9</v>
      </c>
    </row>
    <row r="5" spans="1:32">
      <c r="A5" s="29" t="s">
        <v>19</v>
      </c>
      <c r="B5" s="30">
        <v>2</v>
      </c>
      <c r="C5" s="30" t="s">
        <v>46</v>
      </c>
      <c r="D5" s="30">
        <v>82710</v>
      </c>
      <c r="E5" s="30">
        <v>83890</v>
      </c>
      <c r="F5" s="30">
        <v>7.5</v>
      </c>
      <c r="G5" s="31">
        <v>2.2399999999999999E-8</v>
      </c>
      <c r="H5" s="30">
        <v>300000</v>
      </c>
      <c r="I5" s="32">
        <f t="shared" ref="I5:I6" si="3">G5*0.001*0.0706/H5</f>
        <v>5.2714666666666658E-18</v>
      </c>
      <c r="J5" s="32">
        <f t="shared" ref="J5:J6" si="4">G5*0.001*0.0744/H5</f>
        <v>5.5551999999999988E-18</v>
      </c>
      <c r="K5" s="32">
        <f t="shared" si="0"/>
        <v>5.2714666666666653E-15</v>
      </c>
      <c r="L5" s="32">
        <f t="shared" si="1"/>
        <v>5.5551999999999984E-15</v>
      </c>
      <c r="M5" s="32">
        <f t="shared" si="2"/>
        <v>5.171308799999999E-8</v>
      </c>
      <c r="N5" s="34">
        <f t="shared" si="2"/>
        <v>5.4496511999999985E-8</v>
      </c>
      <c r="O5" s="32"/>
      <c r="P5" s="32"/>
      <c r="Q5" s="30"/>
      <c r="R5" s="5"/>
      <c r="S5" s="48"/>
      <c r="T5" s="48"/>
      <c r="U5" s="48"/>
      <c r="V5" s="48"/>
      <c r="W5" s="48"/>
      <c r="X5" s="48"/>
      <c r="Y5" s="12"/>
      <c r="Z5" s="12"/>
      <c r="AB5" s="1"/>
      <c r="AC5" s="1"/>
      <c r="AD5" s="7" t="s">
        <v>9</v>
      </c>
      <c r="AE5" s="7">
        <v>1.0000000000000001E-5</v>
      </c>
      <c r="AF5" s="8"/>
    </row>
    <row r="6" spans="1:32" ht="30">
      <c r="A6" s="19" t="s">
        <v>19</v>
      </c>
      <c r="B6" s="20">
        <v>3</v>
      </c>
      <c r="C6" s="20" t="s">
        <v>47</v>
      </c>
      <c r="D6" s="20">
        <v>109400</v>
      </c>
      <c r="E6" s="20">
        <v>162200</v>
      </c>
      <c r="F6" s="20">
        <v>7.5</v>
      </c>
      <c r="G6" s="35">
        <v>1.8399999999999999E-8</v>
      </c>
      <c r="H6" s="20">
        <v>300000</v>
      </c>
      <c r="I6" s="36">
        <f t="shared" si="3"/>
        <v>4.3301333333333333E-18</v>
      </c>
      <c r="J6" s="36">
        <f t="shared" si="4"/>
        <v>4.5631999999999997E-18</v>
      </c>
      <c r="K6" s="36">
        <f t="shared" ref="K6:L8" si="5">I6/0.001</f>
        <v>4.3301333333333335E-15</v>
      </c>
      <c r="L6" s="36">
        <f t="shared" si="5"/>
        <v>4.5631999999999997E-15</v>
      </c>
      <c r="M6" s="36">
        <f t="shared" si="2"/>
        <v>4.2478608000000007E-8</v>
      </c>
      <c r="N6" s="37">
        <f t="shared" si="2"/>
        <v>4.4764992000000002E-8</v>
      </c>
      <c r="O6" s="32"/>
      <c r="P6" s="32"/>
      <c r="Q6" s="30"/>
      <c r="R6" s="5"/>
      <c r="S6" s="48"/>
      <c r="T6" s="48"/>
      <c r="U6" s="48"/>
      <c r="V6" s="48"/>
      <c r="W6" s="48"/>
      <c r="X6" s="48"/>
      <c r="Y6" s="12"/>
      <c r="Z6" s="12"/>
      <c r="AA6" t="s">
        <v>25</v>
      </c>
      <c r="AB6" s="1"/>
      <c r="AC6" s="1"/>
      <c r="AD6" s="1"/>
    </row>
    <row r="7" spans="1:32">
      <c r="A7" s="46" t="s">
        <v>20</v>
      </c>
      <c r="B7" s="15">
        <v>1</v>
      </c>
      <c r="C7" s="15" t="s">
        <v>45</v>
      </c>
      <c r="D7" s="15">
        <v>9451</v>
      </c>
      <c r="E7" s="15">
        <v>9750</v>
      </c>
      <c r="F7" s="15">
        <v>7.5</v>
      </c>
      <c r="G7" s="47">
        <v>1.765E-7</v>
      </c>
      <c r="H7" s="17">
        <v>100000</v>
      </c>
      <c r="I7" s="27">
        <f>G7*0.001*0.078559/H7</f>
        <v>1.3865663500000003E-16</v>
      </c>
      <c r="J7" s="27">
        <f>G7*0.001*0.079039112/H7</f>
        <v>1.3950403268E-16</v>
      </c>
      <c r="K7" s="27">
        <f t="shared" si="5"/>
        <v>1.3865663500000002E-13</v>
      </c>
      <c r="L7" s="27">
        <f t="shared" si="5"/>
        <v>1.3950403267999999E-13</v>
      </c>
      <c r="M7" s="27">
        <f t="shared" si="2"/>
        <v>1.3602215893500001E-6</v>
      </c>
      <c r="N7" s="28">
        <f t="shared" si="2"/>
        <v>1.3685345605907999E-6</v>
      </c>
      <c r="O7" s="32"/>
      <c r="P7" s="32"/>
      <c r="Q7" s="30"/>
      <c r="R7" s="5"/>
      <c r="S7" s="48"/>
      <c r="T7" s="48"/>
      <c r="U7" s="48"/>
      <c r="V7" s="48"/>
      <c r="W7" s="48"/>
      <c r="X7" s="48"/>
      <c r="Y7" s="12"/>
      <c r="Z7" s="12"/>
    </row>
    <row r="8" spans="1:32">
      <c r="A8" s="38" t="s">
        <v>20</v>
      </c>
      <c r="B8" s="30">
        <v>2</v>
      </c>
      <c r="C8" s="30" t="s">
        <v>46</v>
      </c>
      <c r="D8" s="30">
        <v>41980</v>
      </c>
      <c r="E8" s="30">
        <v>44560</v>
      </c>
      <c r="F8" s="30">
        <v>7.5</v>
      </c>
      <c r="G8" s="39">
        <v>6.1E-9</v>
      </c>
      <c r="H8" s="40">
        <v>300000</v>
      </c>
      <c r="I8" s="32">
        <f>G8*0.001*0.078559/H8</f>
        <v>1.5973663333333335E-18</v>
      </c>
      <c r="J8" s="32">
        <f>G8*0.001*0.079039112/H8</f>
        <v>1.6071286106666668E-18</v>
      </c>
      <c r="K8" s="32">
        <f t="shared" si="5"/>
        <v>1.5973663333333336E-15</v>
      </c>
      <c r="L8" s="32">
        <f t="shared" si="5"/>
        <v>1.6071286106666667E-15</v>
      </c>
      <c r="M8" s="32">
        <f t="shared" si="2"/>
        <v>1.5670163730000003E-8</v>
      </c>
      <c r="N8" s="34">
        <f t="shared" si="2"/>
        <v>1.5765931670640002E-8</v>
      </c>
      <c r="O8" s="32"/>
      <c r="P8" s="32"/>
      <c r="Q8" s="30"/>
      <c r="R8" s="5"/>
      <c r="S8" s="48"/>
      <c r="T8" s="48"/>
      <c r="U8" s="48"/>
      <c r="V8" s="48"/>
      <c r="W8" s="48"/>
      <c r="X8" s="48"/>
      <c r="Y8" s="12"/>
      <c r="Z8" s="12"/>
    </row>
    <row r="9" spans="1:32">
      <c r="A9" s="38" t="s">
        <v>20</v>
      </c>
      <c r="B9" s="30">
        <v>3</v>
      </c>
      <c r="C9" s="30" t="s">
        <v>46</v>
      </c>
      <c r="D9" s="30">
        <v>44560</v>
      </c>
      <c r="E9" s="30">
        <v>50890</v>
      </c>
      <c r="F9" s="30">
        <v>7.5</v>
      </c>
      <c r="G9" s="39">
        <v>8.5E-9</v>
      </c>
      <c r="H9" s="40">
        <v>500000</v>
      </c>
      <c r="I9" s="32">
        <f t="shared" ref="I9:I13" si="6">G9*0.001*0.078559/H9</f>
        <v>1.335503E-18</v>
      </c>
      <c r="J9" s="32">
        <f t="shared" ref="J9:J13" si="7">G9*0.001*0.079039112/H9</f>
        <v>1.3436649039999999E-18</v>
      </c>
      <c r="K9" s="32">
        <f t="shared" ref="K9:K13" si="8">I9/0.001</f>
        <v>1.335503E-15</v>
      </c>
      <c r="L9" s="32">
        <f t="shared" ref="L9:L13" si="9">J9/0.001</f>
        <v>1.3436649039999998E-15</v>
      </c>
      <c r="M9" s="32">
        <f t="shared" si="2"/>
        <v>1.310128443E-8</v>
      </c>
      <c r="N9" s="34">
        <f t="shared" si="2"/>
        <v>1.3181352708239998E-8</v>
      </c>
      <c r="O9" s="32"/>
      <c r="P9" s="32"/>
      <c r="Q9" s="30"/>
      <c r="R9" s="5"/>
      <c r="S9" s="48"/>
      <c r="T9" s="48"/>
      <c r="U9" s="48"/>
      <c r="V9" s="48"/>
      <c r="W9" s="48"/>
      <c r="X9" s="48"/>
      <c r="Y9" s="12"/>
      <c r="Z9" s="12"/>
    </row>
    <row r="10" spans="1:32">
      <c r="A10" s="38" t="s">
        <v>20</v>
      </c>
      <c r="B10" s="40">
        <v>4</v>
      </c>
      <c r="C10" s="30" t="s">
        <v>46</v>
      </c>
      <c r="D10" s="30">
        <v>57780</v>
      </c>
      <c r="E10" s="30">
        <v>68770</v>
      </c>
      <c r="F10" s="40">
        <v>7.5</v>
      </c>
      <c r="G10" s="40" t="s">
        <v>43</v>
      </c>
      <c r="H10" s="33"/>
      <c r="I10" s="32"/>
      <c r="J10" s="32"/>
      <c r="K10" s="32"/>
      <c r="L10" s="32"/>
      <c r="M10" s="32"/>
      <c r="N10" s="34"/>
      <c r="O10" s="58">
        <v>1128.4000000000001</v>
      </c>
      <c r="P10" s="59">
        <v>1000</v>
      </c>
      <c r="Q10" s="59">
        <v>442015.28399999993</v>
      </c>
      <c r="R10" s="59">
        <v>60</v>
      </c>
      <c r="S10" s="32">
        <v>3.0630000000000002E-16</v>
      </c>
      <c r="T10" s="32">
        <v>2.9389999999999999E-18</v>
      </c>
      <c r="U10" s="32">
        <f>S10*(samples!$E$6-samples!$D$6)/(samples!$E$6+samples!$D$6)</f>
        <v>7.5594501631935724E-17</v>
      </c>
      <c r="V10" s="32">
        <f>S10*(samples!$E$5-samples!$D$5)/(samples!$E$5+samples!$D$5)</f>
        <v>7.6056953144575316E-17</v>
      </c>
      <c r="W10" s="32">
        <f>T10*(samples!$E$6-samples!$D$6)/(samples!$E$6+samples!$D$6)</f>
        <v>7.2534195330153137E-19</v>
      </c>
      <c r="X10" s="32">
        <f>T10*(samples!$E$5-samples!$D$5)/(samples!$E$5+samples!$D$5)</f>
        <v>7.2977925331996992E-19</v>
      </c>
      <c r="Y10" s="12"/>
      <c r="Z10" s="12"/>
    </row>
    <row r="11" spans="1:32">
      <c r="A11" s="38" t="s">
        <v>20</v>
      </c>
      <c r="B11" s="40">
        <v>5</v>
      </c>
      <c r="C11" s="30" t="s">
        <v>48</v>
      </c>
      <c r="D11" s="30">
        <v>1426000</v>
      </c>
      <c r="E11" s="30">
        <v>1467000</v>
      </c>
      <c r="F11" s="40">
        <f>7.5-3.9</f>
        <v>3.6</v>
      </c>
      <c r="G11" s="40" t="s">
        <v>43</v>
      </c>
      <c r="H11" s="33"/>
      <c r="I11" s="32"/>
      <c r="J11" s="32"/>
      <c r="K11" s="32"/>
      <c r="L11" s="32"/>
      <c r="M11" s="32"/>
      <c r="N11" s="34"/>
      <c r="O11" s="58">
        <v>1128.4000000000001</v>
      </c>
      <c r="P11" s="59">
        <v>1000</v>
      </c>
      <c r="Q11" s="59">
        <v>442015.27999999997</v>
      </c>
      <c r="R11" s="59">
        <v>60</v>
      </c>
      <c r="S11" s="32">
        <v>1.482E-15</v>
      </c>
      <c r="T11" s="32">
        <v>1.4189999999999999E-17</v>
      </c>
      <c r="U11" s="32">
        <f>S11*(samples!$E$6-samples!$D$6)/(samples!$E$6+samples!$D$6)</f>
        <v>3.6575596284207877E-16</v>
      </c>
      <c r="V11" s="32">
        <f>S11*(samples!$E$5-samples!$D$5)/(samples!$E$5+samples!$D$5)</f>
        <v>3.6799348534201962E-16</v>
      </c>
      <c r="W11" s="32">
        <f>T11*(samples!$E$6-samples!$D$6)/(samples!$E$6+samples!$D$6)</f>
        <v>3.5020763243786083E-18</v>
      </c>
      <c r="X11" s="32">
        <f>T11*(samples!$E$5-samples!$D$5)/(samples!$E$5+samples!$D$5)</f>
        <v>3.5235003758456529E-18</v>
      </c>
      <c r="Y11" s="12"/>
      <c r="Z11" s="12"/>
    </row>
    <row r="12" spans="1:32">
      <c r="A12" s="38" t="s">
        <v>20</v>
      </c>
      <c r="B12" s="40">
        <v>6</v>
      </c>
      <c r="C12" s="30" t="s">
        <v>48</v>
      </c>
      <c r="D12" s="30">
        <v>1468000</v>
      </c>
      <c r="E12" s="30">
        <v>1472000</v>
      </c>
      <c r="F12" s="40">
        <f>10-3.9</f>
        <v>6.1</v>
      </c>
      <c r="G12" s="40">
        <v>6.9999999999999998E-9</v>
      </c>
      <c r="H12" s="40">
        <v>200000</v>
      </c>
      <c r="I12" s="32">
        <f t="shared" si="6"/>
        <v>2.7495650000000001E-18</v>
      </c>
      <c r="J12" s="32">
        <f t="shared" si="7"/>
        <v>2.76636892E-18</v>
      </c>
      <c r="K12" s="32">
        <f t="shared" si="8"/>
        <v>2.7495649999999999E-15</v>
      </c>
      <c r="L12" s="32">
        <f t="shared" si="9"/>
        <v>2.7663689199999998E-15</v>
      </c>
      <c r="M12" s="32">
        <f t="shared" ref="M12:N14" si="10">K12*1000*9.81/0.001</f>
        <v>2.6973232650000002E-8</v>
      </c>
      <c r="N12" s="34">
        <f t="shared" si="10"/>
        <v>2.7138079105200003E-8</v>
      </c>
      <c r="O12" s="32"/>
      <c r="P12" s="32"/>
      <c r="Q12" s="59"/>
      <c r="R12" s="59"/>
      <c r="S12" s="32"/>
      <c r="T12" s="32"/>
      <c r="U12" s="32"/>
      <c r="V12" s="32"/>
      <c r="W12" s="32"/>
      <c r="X12" s="32"/>
      <c r="Y12" s="12"/>
      <c r="Z12" s="12"/>
    </row>
    <row r="13" spans="1:32">
      <c r="A13" s="41" t="s">
        <v>20</v>
      </c>
      <c r="B13" s="23">
        <v>7</v>
      </c>
      <c r="C13" s="20" t="s">
        <v>48</v>
      </c>
      <c r="D13" s="20">
        <v>1474000</v>
      </c>
      <c r="E13" s="20">
        <v>1480000</v>
      </c>
      <c r="F13" s="23">
        <v>7.5</v>
      </c>
      <c r="G13" s="23">
        <v>7.3E-9</v>
      </c>
      <c r="H13" s="23">
        <v>300000</v>
      </c>
      <c r="I13" s="36">
        <f t="shared" si="6"/>
        <v>1.9116023333333335E-18</v>
      </c>
      <c r="J13" s="36">
        <f t="shared" si="7"/>
        <v>1.9232850586666665E-18</v>
      </c>
      <c r="K13" s="36">
        <f t="shared" si="8"/>
        <v>1.9116023333333334E-15</v>
      </c>
      <c r="L13" s="36">
        <f t="shared" si="9"/>
        <v>1.9232850586666664E-15</v>
      </c>
      <c r="M13" s="36">
        <f t="shared" si="10"/>
        <v>1.8752818890000001E-8</v>
      </c>
      <c r="N13" s="37">
        <f t="shared" si="10"/>
        <v>1.8867426425519997E-8</v>
      </c>
      <c r="O13" s="32"/>
      <c r="P13" s="32"/>
      <c r="Q13" s="59"/>
      <c r="R13" s="59"/>
      <c r="S13" s="32"/>
      <c r="T13" s="32"/>
      <c r="U13" s="32"/>
      <c r="V13" s="32"/>
      <c r="W13" s="32"/>
      <c r="X13" s="32"/>
      <c r="Y13" s="12"/>
      <c r="Z13" s="12"/>
    </row>
    <row r="14" spans="1:32">
      <c r="A14" s="46" t="s">
        <v>39</v>
      </c>
      <c r="B14" s="17">
        <v>1</v>
      </c>
      <c r="C14" s="15" t="s">
        <v>45</v>
      </c>
      <c r="D14" s="15">
        <v>9397</v>
      </c>
      <c r="E14" s="15">
        <v>10610</v>
      </c>
      <c r="F14" s="17">
        <v>7.5</v>
      </c>
      <c r="G14" s="17">
        <f>2.55*0.0000000166667</f>
        <v>4.2500084999999994E-8</v>
      </c>
      <c r="H14" s="17">
        <v>100000</v>
      </c>
      <c r="I14" s="27">
        <f>G14*0.001*samples!$H$8/H14</f>
        <v>3.2664779616651779E-17</v>
      </c>
      <c r="J14" s="27">
        <f>G14*0.001*samples!$H$7/H14</f>
        <v>3.0851115426714765E-17</v>
      </c>
      <c r="K14" s="27">
        <f t="shared" ref="K14" si="11">I14/0.001</f>
        <v>3.2664779616651782E-14</v>
      </c>
      <c r="L14" s="27">
        <f t="shared" ref="L14" si="12">J14/0.001</f>
        <v>3.0851115426714765E-14</v>
      </c>
      <c r="M14" s="27">
        <f t="shared" si="10"/>
        <v>3.2044148803935397E-7</v>
      </c>
      <c r="N14" s="28">
        <f t="shared" si="10"/>
        <v>3.0264944233607188E-7</v>
      </c>
      <c r="O14" s="5"/>
      <c r="P14" s="5"/>
      <c r="Q14" s="59"/>
      <c r="R14" s="59"/>
      <c r="S14" s="32"/>
      <c r="T14" s="32"/>
      <c r="U14" s="32"/>
      <c r="V14" s="32"/>
      <c r="W14" s="32"/>
      <c r="X14" s="32"/>
      <c r="Y14" s="45"/>
      <c r="Z14" s="45"/>
    </row>
    <row r="15" spans="1:32">
      <c r="A15" s="38" t="s">
        <v>39</v>
      </c>
      <c r="B15" s="40">
        <v>2</v>
      </c>
      <c r="C15" s="30" t="s">
        <v>46</v>
      </c>
      <c r="D15" s="30">
        <v>89960</v>
      </c>
      <c r="E15" s="30">
        <v>96970</v>
      </c>
      <c r="F15" s="40">
        <v>7.5</v>
      </c>
      <c r="G15" s="40">
        <f>AVERAGE(1.05,1.12)*0.0000000166667</f>
        <v>1.8083369500000001E-8</v>
      </c>
      <c r="H15" s="40">
        <v>500000</v>
      </c>
      <c r="I15" s="32">
        <f>G15*0.001*samples!$H$8/H15</f>
        <v>2.7797086967895835E-18</v>
      </c>
      <c r="J15" s="32">
        <f>G15*0.001*samples!$H$7/H15</f>
        <v>2.6253694304302375E-18</v>
      </c>
      <c r="K15" s="32">
        <f t="shared" ref="K15:K18" si="13">I15/0.001</f>
        <v>2.7797086967895836E-15</v>
      </c>
      <c r="L15" s="32">
        <f t="shared" ref="L15:L18" si="14">J15/0.001</f>
        <v>2.6253694304302376E-15</v>
      </c>
      <c r="M15" s="32">
        <f t="shared" ref="M15:M18" si="15">K15*1000*9.81/0.001</f>
        <v>2.7268942315505816E-8</v>
      </c>
      <c r="N15" s="34">
        <f t="shared" ref="N15:N18" si="16">L15*1000*9.81/0.001</f>
        <v>2.5754874112520632E-8</v>
      </c>
      <c r="O15" s="5"/>
      <c r="P15" s="5"/>
      <c r="Q15" s="59"/>
      <c r="R15" s="59"/>
      <c r="S15" s="32"/>
      <c r="T15" s="32"/>
      <c r="U15" s="32"/>
      <c r="V15" s="32"/>
      <c r="W15" s="32"/>
      <c r="X15" s="32"/>
      <c r="Y15" s="45"/>
      <c r="Z15" s="45"/>
    </row>
    <row r="16" spans="1:32">
      <c r="A16" s="38" t="s">
        <v>39</v>
      </c>
      <c r="B16" s="40">
        <v>3</v>
      </c>
      <c r="C16" s="30" t="s">
        <v>46</v>
      </c>
      <c r="D16" s="30">
        <v>100300</v>
      </c>
      <c r="E16" s="30">
        <v>113700</v>
      </c>
      <c r="F16" s="40">
        <v>7.5</v>
      </c>
      <c r="G16" s="40" t="s">
        <v>43</v>
      </c>
      <c r="H16" s="5"/>
      <c r="I16" s="32"/>
      <c r="J16" s="32"/>
      <c r="K16" s="32"/>
      <c r="L16" s="32"/>
      <c r="M16" s="32"/>
      <c r="N16" s="34"/>
      <c r="O16" s="58">
        <v>1128.4000000000001</v>
      </c>
      <c r="P16" s="59">
        <v>1000</v>
      </c>
      <c r="Q16" s="59">
        <v>431780.75</v>
      </c>
      <c r="R16" s="59">
        <v>60</v>
      </c>
      <c r="S16" s="32">
        <v>5.2309999999999996E-16</v>
      </c>
      <c r="T16" s="32">
        <v>5.0200000000000003E-18</v>
      </c>
      <c r="U16" s="32">
        <f>S16*(samples!$E$8-samples!$D$8)/(samples!$E$8+samples!$D$8)</f>
        <v>1.2630615846789336E-16</v>
      </c>
      <c r="V16" s="32">
        <f>S16*(samples!$E$7-samples!$D$7)/(samples!$E$7+samples!$D$7)</f>
        <v>1.2850477082552765E-16</v>
      </c>
      <c r="W16" s="32">
        <f>T16*(samples!$E$8-samples!$D$8)/(samples!$E$8+samples!$D$8)</f>
        <v>1.2121141569658283E-18</v>
      </c>
      <c r="X16" s="32">
        <f>T16*(samples!$E$7-samples!$D$7)/(samples!$E$7+samples!$D$7)</f>
        <v>1.2332134382415387E-18</v>
      </c>
      <c r="Y16" s="45"/>
      <c r="Z16" s="45"/>
    </row>
    <row r="17" spans="1:26">
      <c r="A17" s="41" t="s">
        <v>39</v>
      </c>
      <c r="B17" s="23">
        <v>4</v>
      </c>
      <c r="C17" s="20" t="s">
        <v>48</v>
      </c>
      <c r="D17" s="20"/>
      <c r="E17" s="20"/>
      <c r="F17" s="23">
        <v>7.5</v>
      </c>
      <c r="G17" s="23" t="s">
        <v>43</v>
      </c>
      <c r="H17" s="49"/>
      <c r="I17" s="36"/>
      <c r="J17" s="36"/>
      <c r="K17" s="36"/>
      <c r="L17" s="36"/>
      <c r="M17" s="36"/>
      <c r="N17" s="37"/>
      <c r="O17" s="58">
        <v>1128.4000000000001</v>
      </c>
      <c r="P17" s="59">
        <v>1000</v>
      </c>
      <c r="Q17" s="59">
        <v>431780.75</v>
      </c>
      <c r="R17" s="59">
        <v>60</v>
      </c>
      <c r="S17" s="32">
        <v>1.908E-17</v>
      </c>
      <c r="T17" s="32">
        <v>1.8300000000000001E-19</v>
      </c>
      <c r="U17" s="32">
        <f>S17*(samples!$E$8-samples!$D$8)/(samples!$E$8+samples!$D$8)</f>
        <v>4.6069996244836657E-18</v>
      </c>
      <c r="V17" s="32">
        <f>S17*(samples!$E$7-samples!$D$7)/(samples!$E$7+samples!$D$7)</f>
        <v>4.6871937055076806E-18</v>
      </c>
      <c r="W17" s="32">
        <f>T17*(samples!$E$8-samples!$D$8)/(samples!$E$8+samples!$D$8)</f>
        <v>4.4186631618475417E-20</v>
      </c>
      <c r="X17" s="32">
        <f>T17*(samples!$E$7-samples!$D$7)/(samples!$E$7+samples!$D$7)</f>
        <v>4.4955788684900709E-20</v>
      </c>
      <c r="Y17" s="45"/>
      <c r="Z17" s="45"/>
    </row>
    <row r="18" spans="1:26">
      <c r="A18" s="46" t="s">
        <v>40</v>
      </c>
      <c r="B18" s="17">
        <v>1</v>
      </c>
      <c r="C18" s="15" t="s">
        <v>45</v>
      </c>
      <c r="D18" s="15">
        <v>12270</v>
      </c>
      <c r="E18" s="15">
        <v>13510</v>
      </c>
      <c r="F18" s="17">
        <v>7.5</v>
      </c>
      <c r="G18" s="17">
        <f>AVERAGE(0.61,0.63,0.6,0.64,0.62)*0.0000000166667</f>
        <v>1.0333353999999999E-8</v>
      </c>
      <c r="H18" s="17">
        <v>100000</v>
      </c>
      <c r="I18" s="27">
        <f>G18*0.001*samples!$H$9/H18</f>
        <v>8.1569734709065653E-18</v>
      </c>
      <c r="J18" s="27">
        <f>G18*0.001*samples!$H$10/H18</f>
        <v>7.9192414144631672E-18</v>
      </c>
      <c r="K18" s="27">
        <f t="shared" si="13"/>
        <v>8.1569734709065643E-15</v>
      </c>
      <c r="L18" s="27">
        <f t="shared" si="14"/>
        <v>7.919241414463167E-15</v>
      </c>
      <c r="M18" s="27">
        <f t="shared" si="15"/>
        <v>8.0019909749593386E-8</v>
      </c>
      <c r="N18" s="28">
        <f t="shared" si="16"/>
        <v>7.768775827588367E-8</v>
      </c>
      <c r="O18" s="57"/>
      <c r="P18" s="57"/>
      <c r="Q18" s="59"/>
      <c r="R18" s="59"/>
      <c r="S18" s="32"/>
      <c r="T18" s="32"/>
      <c r="U18" s="32"/>
      <c r="V18" s="32"/>
      <c r="W18" s="32"/>
      <c r="X18" s="32"/>
      <c r="Y18" s="45"/>
      <c r="Z18" s="45"/>
    </row>
    <row r="19" spans="1:26">
      <c r="A19" s="38" t="s">
        <v>40</v>
      </c>
      <c r="B19" s="40">
        <v>2</v>
      </c>
      <c r="C19" s="30" t="s">
        <v>45</v>
      </c>
      <c r="D19" s="30">
        <v>14170</v>
      </c>
      <c r="E19" s="30">
        <v>26660</v>
      </c>
      <c r="F19" s="40">
        <v>7.5</v>
      </c>
      <c r="G19" s="40" t="s">
        <v>43</v>
      </c>
      <c r="H19" s="5"/>
      <c r="I19" s="5"/>
      <c r="J19" s="5"/>
      <c r="K19" s="5"/>
      <c r="L19" s="5"/>
      <c r="M19" s="5"/>
      <c r="N19" s="6"/>
      <c r="O19" s="58">
        <v>1128.4000000000001</v>
      </c>
      <c r="P19" s="59">
        <v>1000</v>
      </c>
      <c r="Q19" s="59">
        <v>599055.60100000002</v>
      </c>
      <c r="R19" s="59">
        <v>60</v>
      </c>
      <c r="S19" s="32">
        <v>1.1609999999999999E-15</v>
      </c>
      <c r="T19" s="32">
        <v>1.1829999999999999E-16</v>
      </c>
      <c r="U19" s="32">
        <f>S19*(samples!$E$9-samples!$D$9)/(samples!$E$9+samples!$D$9)</f>
        <v>2.879186746987951E-16</v>
      </c>
      <c r="V19" s="32">
        <f>S19*(samples!$E$10-samples!$D$10)/(samples!$E$10+samples!$D$10)</f>
        <v>2.7952738853503186E-16</v>
      </c>
      <c r="W19" s="32">
        <f>T19*(samples!$E$9-samples!$D$9)/(samples!$E$9+samples!$D$9)</f>
        <v>2.9337449799196778E-17</v>
      </c>
      <c r="X19" s="32">
        <f>T19*(samples!$E$10-samples!$D$10)/(samples!$E$10+samples!$D$10)</f>
        <v>2.8482420382165605E-17</v>
      </c>
      <c r="Y19" s="45"/>
      <c r="Z19" s="45"/>
    </row>
    <row r="20" spans="1:26">
      <c r="A20" s="38" t="s">
        <v>40</v>
      </c>
      <c r="B20" s="40">
        <v>3</v>
      </c>
      <c r="C20" s="30" t="s">
        <v>45</v>
      </c>
      <c r="D20" s="30">
        <v>27700</v>
      </c>
      <c r="E20" s="30">
        <v>35200</v>
      </c>
      <c r="F20" s="40">
        <v>7.5</v>
      </c>
      <c r="G20" s="40" t="s">
        <v>43</v>
      </c>
      <c r="H20" s="5"/>
      <c r="I20" s="5"/>
      <c r="J20" s="5"/>
      <c r="K20" s="5"/>
      <c r="L20" s="5"/>
      <c r="M20" s="5"/>
      <c r="N20" s="6"/>
      <c r="O20" s="58">
        <v>1128.4000000000001</v>
      </c>
      <c r="P20" s="59">
        <v>1000</v>
      </c>
      <c r="Q20" s="59">
        <v>599055.60100000002</v>
      </c>
      <c r="R20" s="59">
        <v>30</v>
      </c>
      <c r="S20" s="32">
        <v>1.1599999999999999E-15</v>
      </c>
      <c r="T20" s="32">
        <v>8.6460000000000004E-17</v>
      </c>
      <c r="U20" s="32">
        <f>S20*(samples!$E$9-samples!$D$9)/(samples!$E$9+samples!$D$9)</f>
        <v>2.8767068273092362E-16</v>
      </c>
      <c r="V20" s="32">
        <f>S20*(samples!$E$10-samples!$D$10)/(samples!$E$10+samples!$D$10)</f>
        <v>2.7928662420382168E-16</v>
      </c>
      <c r="W20" s="32">
        <f>T20*(samples!$E$9-samples!$D$9)/(samples!$E$9+samples!$D$9)</f>
        <v>2.1441385542168671E-17</v>
      </c>
      <c r="X20" s="32">
        <f>T20*(samples!$E$10-samples!$D$10)/(samples!$E$10+samples!$D$10)</f>
        <v>2.0816484076433123E-17</v>
      </c>
      <c r="Y20" s="45"/>
      <c r="Z20" s="45"/>
    </row>
    <row r="21" spans="1:26" ht="30">
      <c r="A21" s="41" t="s">
        <v>40</v>
      </c>
      <c r="B21" s="23">
        <v>4</v>
      </c>
      <c r="C21" s="20" t="s">
        <v>47</v>
      </c>
      <c r="D21" s="20">
        <v>428600</v>
      </c>
      <c r="E21" s="20">
        <v>446700</v>
      </c>
      <c r="F21" s="23">
        <v>7.5</v>
      </c>
      <c r="G21" s="23" t="s">
        <v>43</v>
      </c>
      <c r="H21" s="49"/>
      <c r="I21" s="49"/>
      <c r="J21" s="49"/>
      <c r="K21" s="49"/>
      <c r="L21" s="49"/>
      <c r="M21" s="49"/>
      <c r="N21" s="8"/>
      <c r="O21" s="58">
        <v>1128.4000000000001</v>
      </c>
      <c r="P21" s="59">
        <v>1000</v>
      </c>
      <c r="Q21" s="59">
        <v>599055.60100000002</v>
      </c>
      <c r="R21" s="59">
        <v>60</v>
      </c>
      <c r="S21" s="32">
        <v>2.778E-16</v>
      </c>
      <c r="T21" s="32">
        <v>2.6650000000000001E-18</v>
      </c>
      <c r="U21" s="32">
        <f>S21*(samples!$E$9-samples!$D$9)/(samples!$E$9+samples!$D$9)</f>
        <v>6.8892168674698777E-17</v>
      </c>
      <c r="V21" s="32">
        <f>S21*(samples!$E$10-samples!$D$10)/(samples!$E$10+samples!$D$10)</f>
        <v>6.6884331210191094E-17</v>
      </c>
      <c r="W21" s="32">
        <f>T21*(samples!$E$9-samples!$D$9)/(samples!$E$9+samples!$D$9)</f>
        <v>6.6089859437750991E-19</v>
      </c>
      <c r="X21" s="32">
        <f>T21*(samples!$E$10-samples!$D$10)/(samples!$E$10+samples!$D$10)</f>
        <v>6.4163694267515932E-19</v>
      </c>
      <c r="Y21" s="45"/>
      <c r="Z21" s="45"/>
    </row>
    <row r="22" spans="1:26">
      <c r="Q22" s="5"/>
    </row>
    <row r="23" spans="1:26">
      <c r="A23" s="44" t="s">
        <v>61</v>
      </c>
      <c r="I23" s="1">
        <f>AVERAGE(I4:I21)</f>
        <v>3.4819430313728597E-17</v>
      </c>
      <c r="J23" s="1">
        <f>AVERAGE(J4:J21)</f>
        <v>3.5645327858631052E-17</v>
      </c>
    </row>
    <row r="24" spans="1:26">
      <c r="A24" s="44" t="s">
        <v>62</v>
      </c>
      <c r="I24" s="1">
        <f>AVERAGE(I23:J23)</f>
        <v>3.5232379086179828E-17</v>
      </c>
    </row>
  </sheetData>
  <mergeCells count="3">
    <mergeCell ref="O1:R1"/>
    <mergeCell ref="S1:T1"/>
    <mergeCell ref="U1:V1"/>
  </mergeCells>
  <hyperlinks>
    <hyperlink ref="H2" r:id="rId1" display="https://www.compart.com/en/unicode/U+0394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88" workbookViewId="0">
      <selection activeCell="D17" sqref="D17"/>
    </sheetView>
  </sheetViews>
  <sheetFormatPr defaultRowHeight="15"/>
  <cols>
    <col min="1" max="1" width="12.140625" bestFit="1" customWidth="1"/>
    <col min="3" max="3" width="29.42578125" bestFit="1" customWidth="1"/>
    <col min="4" max="4" width="29.42578125" customWidth="1"/>
    <col min="5" max="5" width="10.5703125" bestFit="1" customWidth="1"/>
    <col min="8" max="8" width="11.5703125" bestFit="1" customWidth="1"/>
    <col min="10" max="10" width="12.28515625" bestFit="1" customWidth="1"/>
    <col min="12" max="12" width="10.5703125" bestFit="1" customWidth="1"/>
  </cols>
  <sheetData>
    <row r="1" spans="1:16">
      <c r="A1" t="s">
        <v>18</v>
      </c>
      <c r="B1" t="s">
        <v>0</v>
      </c>
      <c r="C1" t="s">
        <v>49</v>
      </c>
      <c r="D1" t="s">
        <v>95</v>
      </c>
      <c r="E1" t="s">
        <v>50</v>
      </c>
      <c r="F1" t="s">
        <v>51</v>
      </c>
      <c r="G1" t="s">
        <v>52</v>
      </c>
      <c r="H1" t="s">
        <v>59</v>
      </c>
      <c r="I1" t="s">
        <v>53</v>
      </c>
      <c r="J1" t="s">
        <v>60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</row>
    <row r="2" spans="1:16">
      <c r="A2" s="33" t="s">
        <v>19</v>
      </c>
      <c r="B2">
        <v>1</v>
      </c>
      <c r="C2" t="s">
        <v>45</v>
      </c>
      <c r="D2" t="s">
        <v>97</v>
      </c>
      <c r="E2">
        <v>0</v>
      </c>
      <c r="F2">
        <v>0</v>
      </c>
      <c r="G2">
        <v>0</v>
      </c>
      <c r="H2">
        <v>1.8355999999999997E-16</v>
      </c>
      <c r="J2">
        <v>1.9343999999999997E-16</v>
      </c>
      <c r="M2">
        <v>10</v>
      </c>
      <c r="N2">
        <v>2.5</v>
      </c>
      <c r="O2">
        <v>2.5</v>
      </c>
      <c r="P2">
        <v>7.5</v>
      </c>
    </row>
    <row r="3" spans="1:16">
      <c r="A3" s="33" t="s">
        <v>19</v>
      </c>
      <c r="B3">
        <v>2</v>
      </c>
      <c r="C3" t="s">
        <v>46</v>
      </c>
      <c r="D3" t="s">
        <v>97</v>
      </c>
      <c r="E3">
        <v>0</v>
      </c>
      <c r="F3">
        <v>0</v>
      </c>
      <c r="G3">
        <v>0</v>
      </c>
      <c r="H3">
        <v>5.2714666666666658E-18</v>
      </c>
      <c r="J3">
        <v>5.5551999999999988E-18</v>
      </c>
      <c r="M3">
        <v>10</v>
      </c>
      <c r="N3">
        <v>2.5</v>
      </c>
      <c r="O3">
        <v>2.5</v>
      </c>
      <c r="P3">
        <v>7.5</v>
      </c>
    </row>
    <row r="4" spans="1:16">
      <c r="A4" s="33" t="s">
        <v>19</v>
      </c>
      <c r="B4">
        <v>3</v>
      </c>
      <c r="C4" t="s">
        <v>47</v>
      </c>
      <c r="D4" t="s">
        <v>97</v>
      </c>
      <c r="E4">
        <v>0</v>
      </c>
      <c r="F4">
        <v>0</v>
      </c>
      <c r="G4">
        <v>0</v>
      </c>
      <c r="H4">
        <v>4.3301333333333333E-18</v>
      </c>
      <c r="J4">
        <v>4.5631999999999997E-18</v>
      </c>
      <c r="M4">
        <v>10</v>
      </c>
      <c r="N4">
        <v>2.5</v>
      </c>
      <c r="O4">
        <v>2.5</v>
      </c>
      <c r="P4">
        <v>7.5</v>
      </c>
    </row>
    <row r="5" spans="1:16">
      <c r="A5" s="44" t="s">
        <v>20</v>
      </c>
      <c r="B5">
        <v>1</v>
      </c>
      <c r="C5" t="s">
        <v>45</v>
      </c>
      <c r="D5" t="s">
        <v>97</v>
      </c>
      <c r="E5">
        <v>0</v>
      </c>
      <c r="F5">
        <v>0</v>
      </c>
      <c r="G5">
        <v>0</v>
      </c>
      <c r="H5">
        <v>1.3865663500000003E-16</v>
      </c>
      <c r="J5">
        <v>1.3950403268E-16</v>
      </c>
      <c r="M5">
        <v>10</v>
      </c>
      <c r="N5">
        <v>2.5</v>
      </c>
      <c r="O5">
        <v>2.5</v>
      </c>
      <c r="P5">
        <v>7.5</v>
      </c>
    </row>
    <row r="6" spans="1:16">
      <c r="A6" s="44" t="s">
        <v>20</v>
      </c>
      <c r="B6">
        <v>2</v>
      </c>
      <c r="C6" t="s">
        <v>46</v>
      </c>
      <c r="D6" t="s">
        <v>97</v>
      </c>
      <c r="E6">
        <v>0</v>
      </c>
      <c r="F6">
        <v>0</v>
      </c>
      <c r="G6">
        <v>0</v>
      </c>
      <c r="H6">
        <v>1.5973663333333335E-18</v>
      </c>
      <c r="J6">
        <v>1.6071286106666668E-18</v>
      </c>
      <c r="M6">
        <v>10</v>
      </c>
      <c r="N6">
        <v>2.5</v>
      </c>
      <c r="O6">
        <v>2.5</v>
      </c>
      <c r="P6">
        <v>7.5</v>
      </c>
    </row>
    <row r="7" spans="1:16">
      <c r="A7" s="44" t="s">
        <v>20</v>
      </c>
      <c r="B7">
        <v>3</v>
      </c>
      <c r="C7" t="s">
        <v>46</v>
      </c>
      <c r="D7" t="s">
        <v>97</v>
      </c>
      <c r="E7">
        <v>0</v>
      </c>
      <c r="F7">
        <v>0</v>
      </c>
      <c r="G7">
        <v>0</v>
      </c>
      <c r="H7">
        <v>1.335503E-18</v>
      </c>
      <c r="J7">
        <v>1.3436649039999999E-18</v>
      </c>
      <c r="M7">
        <v>10</v>
      </c>
      <c r="N7">
        <v>2.5</v>
      </c>
      <c r="O7">
        <v>2.5</v>
      </c>
      <c r="P7">
        <v>7.5</v>
      </c>
    </row>
    <row r="8" spans="1:16">
      <c r="A8" s="44" t="s">
        <v>20</v>
      </c>
      <c r="B8">
        <v>4</v>
      </c>
      <c r="C8" t="s">
        <v>46</v>
      </c>
      <c r="D8" t="s">
        <v>96</v>
      </c>
      <c r="E8">
        <v>0</v>
      </c>
      <c r="F8">
        <v>60</v>
      </c>
      <c r="G8">
        <v>10</v>
      </c>
      <c r="H8">
        <v>7.5594501631935724E-17</v>
      </c>
      <c r="I8">
        <v>7.2534195330153137E-19</v>
      </c>
      <c r="J8">
        <v>7.6056953144575316E-17</v>
      </c>
      <c r="K8">
        <v>7.2977925331996992E-19</v>
      </c>
      <c r="L8" t="s">
        <v>92</v>
      </c>
      <c r="M8">
        <v>10</v>
      </c>
      <c r="N8">
        <v>2.5</v>
      </c>
      <c r="O8">
        <v>2.5</v>
      </c>
      <c r="P8">
        <v>7.5</v>
      </c>
    </row>
    <row r="9" spans="1:16">
      <c r="A9" s="44" t="s">
        <v>20</v>
      </c>
      <c r="B9">
        <v>5</v>
      </c>
      <c r="C9" t="s">
        <v>48</v>
      </c>
      <c r="D9" t="s">
        <v>96</v>
      </c>
      <c r="E9">
        <v>0</v>
      </c>
      <c r="F9">
        <v>60</v>
      </c>
      <c r="G9">
        <v>10</v>
      </c>
      <c r="H9">
        <v>3.6575596284207877E-16</v>
      </c>
      <c r="I9">
        <v>3.5020763243786083E-18</v>
      </c>
      <c r="J9">
        <v>3.6799348534201962E-16</v>
      </c>
      <c r="K9">
        <v>3.5235003758456529E-18</v>
      </c>
      <c r="L9" t="s">
        <v>92</v>
      </c>
      <c r="M9">
        <v>10</v>
      </c>
      <c r="N9">
        <v>3.9</v>
      </c>
      <c r="O9">
        <v>3.9</v>
      </c>
      <c r="P9">
        <v>6.1</v>
      </c>
    </row>
    <row r="10" spans="1:16">
      <c r="A10" s="44" t="s">
        <v>20</v>
      </c>
      <c r="B10">
        <v>6</v>
      </c>
      <c r="C10" t="s">
        <v>48</v>
      </c>
      <c r="D10" t="s">
        <v>97</v>
      </c>
      <c r="E10">
        <v>0</v>
      </c>
      <c r="F10">
        <v>0</v>
      </c>
      <c r="G10">
        <v>0</v>
      </c>
      <c r="H10">
        <v>2.7495650000000001E-18</v>
      </c>
      <c r="J10">
        <v>2.76636892E-18</v>
      </c>
      <c r="M10">
        <v>10</v>
      </c>
      <c r="N10">
        <v>3.9</v>
      </c>
      <c r="O10">
        <v>3.9</v>
      </c>
      <c r="P10">
        <v>6.1</v>
      </c>
    </row>
    <row r="11" spans="1:16">
      <c r="A11" s="44" t="s">
        <v>20</v>
      </c>
      <c r="B11">
        <v>7</v>
      </c>
      <c r="C11" t="s">
        <v>48</v>
      </c>
      <c r="D11" t="s">
        <v>97</v>
      </c>
      <c r="E11">
        <v>0</v>
      </c>
      <c r="F11">
        <v>0</v>
      </c>
      <c r="G11">
        <v>0</v>
      </c>
      <c r="H11">
        <v>1.9116023333333335E-18</v>
      </c>
      <c r="J11">
        <v>1.9232850586666665E-18</v>
      </c>
      <c r="M11">
        <v>10</v>
      </c>
      <c r="N11">
        <v>2.5</v>
      </c>
      <c r="O11">
        <v>2.5</v>
      </c>
      <c r="P11">
        <v>7.5</v>
      </c>
    </row>
    <row r="12" spans="1:16">
      <c r="A12" s="44" t="s">
        <v>39</v>
      </c>
      <c r="B12">
        <v>1</v>
      </c>
      <c r="C12" t="s">
        <v>45</v>
      </c>
      <c r="D12" t="s">
        <v>97</v>
      </c>
      <c r="E12">
        <v>0</v>
      </c>
      <c r="F12">
        <v>0</v>
      </c>
      <c r="G12">
        <v>0</v>
      </c>
      <c r="H12">
        <v>3.2664779616651779E-17</v>
      </c>
      <c r="J12">
        <v>3.0851115426714765E-17</v>
      </c>
      <c r="M12">
        <v>10</v>
      </c>
      <c r="N12">
        <v>2.5</v>
      </c>
      <c r="O12">
        <v>2.5</v>
      </c>
      <c r="P12">
        <v>7.5</v>
      </c>
    </row>
    <row r="13" spans="1:16">
      <c r="A13" s="44" t="s">
        <v>39</v>
      </c>
      <c r="B13">
        <v>2</v>
      </c>
      <c r="C13" t="s">
        <v>46</v>
      </c>
      <c r="D13" t="s">
        <v>97</v>
      </c>
      <c r="E13">
        <v>0</v>
      </c>
      <c r="F13">
        <v>0</v>
      </c>
      <c r="G13">
        <v>0</v>
      </c>
      <c r="H13">
        <v>2.7797086967895835E-18</v>
      </c>
      <c r="J13">
        <v>2.6253694304302375E-18</v>
      </c>
      <c r="M13">
        <v>10</v>
      </c>
      <c r="N13">
        <v>2.5</v>
      </c>
      <c r="O13">
        <v>2.5</v>
      </c>
      <c r="P13">
        <v>7.5</v>
      </c>
    </row>
    <row r="14" spans="1:16">
      <c r="A14" s="44" t="s">
        <v>39</v>
      </c>
      <c r="B14">
        <v>3</v>
      </c>
      <c r="C14" t="s">
        <v>46</v>
      </c>
      <c r="D14" t="s">
        <v>96</v>
      </c>
      <c r="E14">
        <v>0</v>
      </c>
      <c r="F14">
        <v>60</v>
      </c>
      <c r="G14">
        <v>10</v>
      </c>
      <c r="H14">
        <v>1.2630615846789336E-16</v>
      </c>
      <c r="I14">
        <v>1.2121141569658283E-18</v>
      </c>
      <c r="J14">
        <v>1.2850477082552765E-16</v>
      </c>
      <c r="K14">
        <v>1.2332134382415387E-18</v>
      </c>
      <c r="L14" t="s">
        <v>92</v>
      </c>
      <c r="M14">
        <v>10</v>
      </c>
      <c r="N14">
        <v>2.5</v>
      </c>
      <c r="O14">
        <v>2.5</v>
      </c>
      <c r="P14">
        <v>7.5</v>
      </c>
    </row>
    <row r="15" spans="1:16">
      <c r="A15" s="44" t="s">
        <v>39</v>
      </c>
      <c r="B15">
        <v>4</v>
      </c>
      <c r="C15" t="s">
        <v>48</v>
      </c>
      <c r="D15" t="s">
        <v>96</v>
      </c>
      <c r="E15">
        <v>0</v>
      </c>
      <c r="F15">
        <v>60</v>
      </c>
      <c r="G15">
        <v>10</v>
      </c>
      <c r="H15">
        <v>4.6069996244836657E-18</v>
      </c>
      <c r="I15">
        <v>4.4186631618475417E-20</v>
      </c>
      <c r="J15">
        <v>4.6871937055076806E-18</v>
      </c>
      <c r="K15">
        <v>4.4955788684900709E-20</v>
      </c>
      <c r="L15" t="s">
        <v>92</v>
      </c>
      <c r="M15">
        <v>10</v>
      </c>
      <c r="N15">
        <v>2.5</v>
      </c>
      <c r="O15">
        <v>2.5</v>
      </c>
      <c r="P15">
        <v>7.5</v>
      </c>
    </row>
    <row r="16" spans="1:16">
      <c r="A16" s="44" t="s">
        <v>40</v>
      </c>
      <c r="B16">
        <v>1</v>
      </c>
      <c r="C16" t="s">
        <v>45</v>
      </c>
      <c r="D16" t="s">
        <v>97</v>
      </c>
      <c r="E16">
        <v>0</v>
      </c>
      <c r="F16">
        <v>0</v>
      </c>
      <c r="G16">
        <v>0</v>
      </c>
      <c r="H16">
        <v>8.1569734709065653E-18</v>
      </c>
      <c r="J16">
        <v>7.9192414144631672E-18</v>
      </c>
      <c r="M16">
        <v>10</v>
      </c>
      <c r="N16">
        <v>2.5</v>
      </c>
      <c r="O16">
        <v>2.5</v>
      </c>
      <c r="P16">
        <v>7.5</v>
      </c>
    </row>
    <row r="17" spans="1:16">
      <c r="A17" s="44" t="s">
        <v>40</v>
      </c>
      <c r="B17">
        <v>2</v>
      </c>
      <c r="C17" t="s">
        <v>45</v>
      </c>
      <c r="D17" t="s">
        <v>96</v>
      </c>
      <c r="E17">
        <v>0</v>
      </c>
      <c r="F17">
        <v>60</v>
      </c>
      <c r="G17">
        <v>10</v>
      </c>
      <c r="H17">
        <v>2.879186746987951E-16</v>
      </c>
      <c r="I17">
        <v>2.9337449799196778E-17</v>
      </c>
      <c r="J17">
        <v>2.7952738853503186E-16</v>
      </c>
      <c r="K17">
        <v>2.8482420382165605E-17</v>
      </c>
      <c r="L17" t="s">
        <v>92</v>
      </c>
      <c r="M17">
        <v>10</v>
      </c>
      <c r="N17">
        <v>2.5</v>
      </c>
      <c r="O17">
        <v>2.5</v>
      </c>
      <c r="P17">
        <v>7.5</v>
      </c>
    </row>
    <row r="18" spans="1:16">
      <c r="A18" s="44" t="s">
        <v>40</v>
      </c>
      <c r="B18">
        <v>3</v>
      </c>
      <c r="C18" t="s">
        <v>45</v>
      </c>
      <c r="D18" t="s">
        <v>96</v>
      </c>
      <c r="E18">
        <v>0</v>
      </c>
      <c r="F18">
        <v>30</v>
      </c>
      <c r="G18">
        <v>10</v>
      </c>
      <c r="H18">
        <v>2.8767068273092362E-16</v>
      </c>
      <c r="I18">
        <v>2.1441385542168671E-17</v>
      </c>
      <c r="J18">
        <v>2.7928662420382168E-16</v>
      </c>
      <c r="K18">
        <v>2.0816484076433123E-17</v>
      </c>
      <c r="L18" t="s">
        <v>92</v>
      </c>
      <c r="M18">
        <v>10</v>
      </c>
      <c r="N18">
        <v>2.5</v>
      </c>
      <c r="O18">
        <v>2.5</v>
      </c>
      <c r="P18">
        <v>7.5</v>
      </c>
    </row>
    <row r="19" spans="1:16">
      <c r="A19" t="s">
        <v>40</v>
      </c>
      <c r="B19">
        <v>4</v>
      </c>
      <c r="C19" t="s">
        <v>47</v>
      </c>
      <c r="D19" t="s">
        <v>96</v>
      </c>
      <c r="E19">
        <v>0</v>
      </c>
      <c r="F19">
        <v>60</v>
      </c>
      <c r="G19">
        <v>10</v>
      </c>
      <c r="H19">
        <v>6.8892168674698777E-17</v>
      </c>
      <c r="I19">
        <v>6.6089859437750991E-19</v>
      </c>
      <c r="J19">
        <v>6.6884331210191094E-17</v>
      </c>
      <c r="K19">
        <v>6.4163694267515932E-19</v>
      </c>
      <c r="L19" t="s">
        <v>92</v>
      </c>
      <c r="M19">
        <v>10</v>
      </c>
      <c r="N19">
        <v>2.5</v>
      </c>
      <c r="O19">
        <v>2.5</v>
      </c>
      <c r="P19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samples</vt:lpstr>
      <vt:lpstr>downstream volumes</vt:lpstr>
      <vt:lpstr>transmissivity</vt:lpstr>
      <vt:lpstr>to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2023-12-13T13:51:33Z</dcterms:modified>
</cp:coreProperties>
</file>