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Raw" sheetId="2" r:id="rId5"/>
    <sheet state="visible" name="Graphs" sheetId="3" r:id="rId6"/>
    <sheet state="visible" name="Baked" sheetId="4" r:id="rId7"/>
  </sheets>
  <definedNames/>
  <calcPr/>
  <extLst>
    <ext uri="GoogleSheetsCustomDataVersion2">
      <go:sheetsCustomData xmlns:go="http://customooxmlschemas.google.com/" r:id="rId8" roundtripDataChecksum="AZT6yTBHlPfAICwTtNrax45vWeI2zLjZwPIilt6l340="/>
    </ext>
  </extLst>
</workbook>
</file>

<file path=xl/sharedStrings.xml><?xml version="1.0" encoding="utf-8"?>
<sst xmlns="http://schemas.openxmlformats.org/spreadsheetml/2006/main" count="3471" uniqueCount="1291">
  <si>
    <t>Table 1</t>
  </si>
  <si>
    <t>Summary Statistics</t>
  </si>
  <si>
    <t>N</t>
  </si>
  <si>
    <t>Mean</t>
  </si>
  <si>
    <t>Std. Dev.</t>
  </si>
  <si>
    <t>Min</t>
  </si>
  <si>
    <t>Max</t>
  </si>
  <si>
    <t>Panel A: Bank Stability</t>
  </si>
  <si>
    <t>Z-Score</t>
  </si>
  <si>
    <t>NPL to gross loans</t>
  </si>
  <si>
    <t>Panel B: Cost of Funding</t>
  </si>
  <si>
    <t>Interest expense to total liabilities</t>
  </si>
  <si>
    <t>Interest expense to total deposits</t>
  </si>
  <si>
    <t>Panel C: Regulatory Capital</t>
  </si>
  <si>
    <t>Tier1 leverage ratio</t>
  </si>
  <si>
    <t>Tier1 risk based capital ratio</t>
  </si>
  <si>
    <t>Panel D: Bank Risk</t>
  </si>
  <si>
    <t>Risk-weighted assets to total assets</t>
  </si>
  <si>
    <t>Charge-offs ratio</t>
  </si>
  <si>
    <t>Panel E: Liquidity</t>
  </si>
  <si>
    <t>Core liquidity ratio</t>
  </si>
  <si>
    <t>Liquidity ratio</t>
  </si>
  <si>
    <t>Panel F: MSME Loan Securitization</t>
  </si>
  <si>
    <t>MSME loan securitization to total assets</t>
  </si>
  <si>
    <t>MSME loan securitization to total loans</t>
  </si>
  <si>
    <t>Panel G: Control Variables</t>
  </si>
  <si>
    <t>Size</t>
  </si>
  <si>
    <t>Trading assets to total assets ratio</t>
  </si>
  <si>
    <t>Loans to total assets ratio</t>
  </si>
  <si>
    <t>Loans to deposits ratio</t>
  </si>
  <si>
    <t>Deposits to total assets ratio</t>
  </si>
  <si>
    <t>Capital ratio</t>
  </si>
  <si>
    <t>Market share</t>
  </si>
  <si>
    <t>GDP real growth</t>
  </si>
  <si>
    <t>Originating Country</t>
  </si>
  <si>
    <t>Deal Name</t>
  </si>
  <si>
    <t>ED Code</t>
  </si>
  <si>
    <t>ISIN</t>
  </si>
  <si>
    <t>Bloomber Ticker</t>
  </si>
  <si>
    <t>Originator</t>
  </si>
  <si>
    <t>Issuance Date</t>
  </si>
  <si>
    <t>Offering Amount (€mm)</t>
  </si>
  <si>
    <t>Issuance Period</t>
  </si>
  <si>
    <t>Belgium</t>
  </si>
  <si>
    <t>Belgian Lion SME II</t>
  </si>
  <si>
    <t>SMESBE000087100620121</t>
  </si>
  <si>
    <t>BE0002417898</t>
  </si>
  <si>
    <t>BELGL 2012-SME2 A1</t>
  </si>
  <si>
    <t>ING Belgium NV/SA</t>
  </si>
  <si>
    <t>Q3 2012</t>
  </si>
  <si>
    <t>BE0002418904</t>
  </si>
  <si>
    <t>BELGL 2012-SME2 A2</t>
  </si>
  <si>
    <t>BE6241015351</t>
  </si>
  <si>
    <t>BELGL 2012-SME2 B</t>
  </si>
  <si>
    <t>Belgian Lion SME III</t>
  </si>
  <si>
    <t>SMESBE000087102020189</t>
  </si>
  <si>
    <t>BE0002624055</t>
  </si>
  <si>
    <t>BELGL 2018-SME3 A1</t>
  </si>
  <si>
    <t>Q4 2018</t>
  </si>
  <si>
    <t>BE0002625060</t>
  </si>
  <si>
    <t>BELGL 2018-SME3 A2</t>
  </si>
  <si>
    <t>BE0002626076</t>
  </si>
  <si>
    <t>BELGL 2018-SME3 B</t>
  </si>
  <si>
    <t>Esmée Master Issuer N.V. - S.A.</t>
  </si>
  <si>
    <t>SMEMBE000095100220092</t>
  </si>
  <si>
    <t>BE0002387596</t>
  </si>
  <si>
    <t>ESMEE 2009-1 A</t>
  </si>
  <si>
    <t>BNP Paribas Fortis SA</t>
  </si>
  <si>
    <t>Q4 2009</t>
  </si>
  <si>
    <t>BE0002388602</t>
  </si>
  <si>
    <t>ESMEE 2009-1 B</t>
  </si>
  <si>
    <t>BE0002389618</t>
  </si>
  <si>
    <t>ESMEE 2009-1 C</t>
  </si>
  <si>
    <t>BE0002390624</t>
  </si>
  <si>
    <t>ESMEE 2009-1 D</t>
  </si>
  <si>
    <t>BE0002391630</t>
  </si>
  <si>
    <t>ESMEE 2009-1 E</t>
  </si>
  <si>
    <t>BE0002392646</t>
  </si>
  <si>
    <t>ESMEE 2009-1 F</t>
  </si>
  <si>
    <t>BE0002393651</t>
  </si>
  <si>
    <t>ESMEE 2009-1 G</t>
  </si>
  <si>
    <t>MERCURIUS-1</t>
  </si>
  <si>
    <t>SMESBE000043100320121</t>
  </si>
  <si>
    <t>BE0002469444</t>
  </si>
  <si>
    <t>MERCF 2014-1 A</t>
  </si>
  <si>
    <t>Belfius Bank SA</t>
  </si>
  <si>
    <t>Q2 2014</t>
  </si>
  <si>
    <t>BE6265766517</t>
  </si>
  <si>
    <t>MERCF 2014-1 B</t>
  </si>
  <si>
    <t>SME Loan Invest 2017</t>
  </si>
  <si>
    <t>SMESBE000044100720179</t>
  </si>
  <si>
    <t>BE0002275445</t>
  </si>
  <si>
    <t>HLI 2017-SME A</t>
  </si>
  <si>
    <t>KBC Bank NV</t>
  </si>
  <si>
    <t>Q2 2017</t>
  </si>
  <si>
    <t>SME Loan Invest 2020</t>
  </si>
  <si>
    <t>SMESBE000044100920209</t>
  </si>
  <si>
    <t>BE0002720010</t>
  </si>
  <si>
    <t>HLI 2020-SME A</t>
  </si>
  <si>
    <t>Q3 2020</t>
  </si>
  <si>
    <t>France</t>
  </si>
  <si>
    <t>Auto ABS DFP Master Comp France 2013 Renewal 2020</t>
  </si>
  <si>
    <t>SMEMFR000521100420179</t>
  </si>
  <si>
    <t>FR0013519535</t>
  </si>
  <si>
    <t>ADFP 2013-F1 S201</t>
  </si>
  <si>
    <t>Credipar</t>
  </si>
  <si>
    <t>FR0013536679</t>
  </si>
  <si>
    <t>ADFP 2013-F1 S203</t>
  </si>
  <si>
    <t>FR0013536687</t>
  </si>
  <si>
    <t>ADFP 2013-F1 S202</t>
  </si>
  <si>
    <t>FR0014006NO5</t>
  </si>
  <si>
    <t>N/A</t>
  </si>
  <si>
    <t>Q4 2021</t>
  </si>
  <si>
    <t>AUTO ABS DFP MASTER COMPARTMENT FRANCE 2013</t>
  </si>
  <si>
    <t>SMEMFR000262100120135</t>
  </si>
  <si>
    <t>FR0011524891</t>
  </si>
  <si>
    <t>Q2 2013</t>
  </si>
  <si>
    <t>FR0011710953</t>
  </si>
  <si>
    <t>Q1 2014</t>
  </si>
  <si>
    <t>FR0011814540</t>
  </si>
  <si>
    <t>FR0011931641</t>
  </si>
  <si>
    <t>FR0012473981</t>
  </si>
  <si>
    <t>Q1 2015</t>
  </si>
  <si>
    <t>FR0012633451</t>
  </si>
  <si>
    <t>FR0012698116</t>
  </si>
  <si>
    <t>Q2 2015</t>
  </si>
  <si>
    <t>FR0012750578</t>
  </si>
  <si>
    <t>FR0012820058</t>
  </si>
  <si>
    <t>FR0012880243</t>
  </si>
  <si>
    <t>FR0012980688</t>
  </si>
  <si>
    <t>Q3 2015</t>
  </si>
  <si>
    <t>FR0013220878</t>
  </si>
  <si>
    <t>Q4 2016</t>
  </si>
  <si>
    <t>FR0013228525</t>
  </si>
  <si>
    <t>BS CDN ENT</t>
  </si>
  <si>
    <t>SMESFR000098100120122</t>
  </si>
  <si>
    <t>FR0011147966</t>
  </si>
  <si>
    <t>BSENT 2012-1 A</t>
  </si>
  <si>
    <t>Société Générale Société anonyme</t>
  </si>
  <si>
    <t>Q1 2012</t>
  </si>
  <si>
    <t>ERIDAN 2010-01</t>
  </si>
  <si>
    <t>SMESFR000175100520103</t>
  </si>
  <si>
    <t>FR0010979385</t>
  </si>
  <si>
    <t>ERID 2010-1 A</t>
  </si>
  <si>
    <t>BRED Banque Populaire S.A.</t>
  </si>
  <si>
    <t>Q4 2010</t>
  </si>
  <si>
    <t>FR0010979393</t>
  </si>
  <si>
    <t>ERID 2010-1 B</t>
  </si>
  <si>
    <t>ESNI - CR GCA-CPE-006 - Old Templates</t>
  </si>
  <si>
    <t>SMEMFR000226100420159</t>
  </si>
  <si>
    <t>FR0013414661</t>
  </si>
  <si>
    <t>Crédit Agricole S.A.</t>
  </si>
  <si>
    <t>Q2 2019</t>
  </si>
  <si>
    <t>ESNI-CACIB-GAIA-003 - Old Templates</t>
  </si>
  <si>
    <t>SMEMFR001075100220146</t>
  </si>
  <si>
    <t>FR0013261708</t>
  </si>
  <si>
    <t>Crédit Agricole Corporate and Investment Bank Société Anonyme</t>
  </si>
  <si>
    <t>Q3 2017</t>
  </si>
  <si>
    <t>FCT Bpifrance SME 2019-1</t>
  </si>
  <si>
    <t>SMESFR102024100120190</t>
  </si>
  <si>
    <t>FR0013452117</t>
  </si>
  <si>
    <t>BPIFR 2019-1 A</t>
  </si>
  <si>
    <t>Bpifrance</t>
  </si>
  <si>
    <t>Q4 2019</t>
  </si>
  <si>
    <t>FR0013454212</t>
  </si>
  <si>
    <t>BPIFR 2019-1 B</t>
  </si>
  <si>
    <t>Q4 2020</t>
  </si>
  <si>
    <t>SMESFR102024100220206</t>
  </si>
  <si>
    <t>FR0014000GV7</t>
  </si>
  <si>
    <t>FCT CARS ALLIANCE DFP FRANCE</t>
  </si>
  <si>
    <t>SMEMFR000101100220133</t>
  </si>
  <si>
    <t>FR0013346582</t>
  </si>
  <si>
    <t>CAR 2018-1FR A</t>
  </si>
  <si>
    <t>DIAC S.A.</t>
  </si>
  <si>
    <t>Q3 2018</t>
  </si>
  <si>
    <t>FCT LAFAYETTE 2021</t>
  </si>
  <si>
    <t>SMESFR000082100520218</t>
  </si>
  <si>
    <t>FR00140020K8</t>
  </si>
  <si>
    <t>FCTLA 2021-1 A</t>
  </si>
  <si>
    <t>BNP Paribas SA</t>
  </si>
  <si>
    <t>Q1 2021</t>
  </si>
  <si>
    <t>FCT RED &amp; BLACK FRENCH SMALL BUSINESS 2010-1</t>
  </si>
  <si>
    <t>SMESFR000086100220109</t>
  </si>
  <si>
    <t>FR0010917609</t>
  </si>
  <si>
    <t>RNBB 2010-1 A</t>
  </si>
  <si>
    <t>Auto ABS DFP Master Compartment France 2013</t>
  </si>
  <si>
    <t>SMEMDE000262100220136</t>
  </si>
  <si>
    <t>FR0011617752</t>
  </si>
  <si>
    <t>ADFP 2013-G1 A</t>
  </si>
  <si>
    <t>Q4 2013</t>
  </si>
  <si>
    <t>Cars Alliance DFP Germany 2017</t>
  </si>
  <si>
    <t>SMESDE000283100520173</t>
  </si>
  <si>
    <t>FR0013268034</t>
  </si>
  <si>
    <t>CAR 2017-GER A</t>
  </si>
  <si>
    <t>RCI Banque S.A.</t>
  </si>
  <si>
    <t>Germany</t>
  </si>
  <si>
    <t>Rosenkavalier 2015 UG</t>
  </si>
  <si>
    <t>SMESDE000556100320151</t>
  </si>
  <si>
    <t>DE000A1687E2</t>
  </si>
  <si>
    <t>ROSEN 2015-1 A</t>
  </si>
  <si>
    <t>UniCredit Bank AG</t>
  </si>
  <si>
    <t>Q4 2015</t>
  </si>
  <si>
    <t>DE000A1687F9</t>
  </si>
  <si>
    <t>ROSEN 2015-1 B</t>
  </si>
  <si>
    <t>Rügen Eins GmbH</t>
  </si>
  <si>
    <t>SMESDE000153100120094</t>
  </si>
  <si>
    <t>DE000A0Z2MT6</t>
  </si>
  <si>
    <t>RUEGE 2009-1 A</t>
  </si>
  <si>
    <t>Commerzbank AG</t>
  </si>
  <si>
    <t>Weser Funding 2</t>
  </si>
  <si>
    <t>SMESDE001415100320209</t>
  </si>
  <si>
    <t>XS2156515848</t>
  </si>
  <si>
    <t>WESER 2 A</t>
  </si>
  <si>
    <t>Oldenburgische Landesbank AG</t>
  </si>
  <si>
    <t>Q2 2020</t>
  </si>
  <si>
    <t>XS2156516226</t>
  </si>
  <si>
    <t>WESER 2 B</t>
  </si>
  <si>
    <t>Weser Funding 3</t>
  </si>
  <si>
    <t>SMESDE001415100420215</t>
  </si>
  <si>
    <t>XS2351351163</t>
  </si>
  <si>
    <t>Q3 2021</t>
  </si>
  <si>
    <t>Weser Funding S.A</t>
  </si>
  <si>
    <t>SMESDE001415100220169</t>
  </si>
  <si>
    <t>xs1609257875</t>
  </si>
  <si>
    <t>WESER 1 A</t>
  </si>
  <si>
    <t>Italy</t>
  </si>
  <si>
    <t>ASTI GROUP PMI SRL</t>
  </si>
  <si>
    <t>SMESIT000059100920176</t>
  </si>
  <si>
    <t>IT0005246076</t>
  </si>
  <si>
    <t>ASTI 1 A</t>
  </si>
  <si>
    <t>Cassa di Risparmio di Asti S.p.A</t>
  </si>
  <si>
    <t>Q1 2017</t>
  </si>
  <si>
    <t>IT0005246084</t>
  </si>
  <si>
    <t>ASTI 1 B</t>
  </si>
  <si>
    <t>ASTI PMI SRL</t>
  </si>
  <si>
    <t>SMESIT000059100520141</t>
  </si>
  <si>
    <t>IT0005067159</t>
  </si>
  <si>
    <t>ASTIP 2014-1 A</t>
  </si>
  <si>
    <t>Q4 2014</t>
  </si>
  <si>
    <t>Berica PMI 2 Srl</t>
  </si>
  <si>
    <t>SMESIT000052101220167</t>
  </si>
  <si>
    <t>IT0005174526</t>
  </si>
  <si>
    <t>BESME 2 A</t>
  </si>
  <si>
    <t>Banca Popolare di Vicenza S.p.A.</t>
  </si>
  <si>
    <t>Q1 2016</t>
  </si>
  <si>
    <t>IT0005174534</t>
  </si>
  <si>
    <t>BESME 2 J</t>
  </si>
  <si>
    <t>Berica PMI S.r.l.</t>
  </si>
  <si>
    <t>SMESIT000052100920130</t>
  </si>
  <si>
    <t>IT0004941149</t>
  </si>
  <si>
    <t>BESME 1 A1X</t>
  </si>
  <si>
    <t>Q3 2013</t>
  </si>
  <si>
    <t>IT0004941313</t>
  </si>
  <si>
    <t>BESME 1 A1Y</t>
  </si>
  <si>
    <t>IT0004941321</t>
  </si>
  <si>
    <t>BESME 1 B</t>
  </si>
  <si>
    <t>BPL Mortgages S.r.l. SME 2014</t>
  </si>
  <si>
    <t>SMESIT000195101120141</t>
  </si>
  <si>
    <t>IT0005029944</t>
  </si>
  <si>
    <t>BPLM 2014-SME1 A1</t>
  </si>
  <si>
    <t>Banco BPM S.p.A.</t>
  </si>
  <si>
    <t>IT0005029969</t>
  </si>
  <si>
    <t>BPLM 2014-SME1 B1</t>
  </si>
  <si>
    <t>IT0005030025</t>
  </si>
  <si>
    <t>BPLM 2014-SME1 C1</t>
  </si>
  <si>
    <t>IT0005170243</t>
  </si>
  <si>
    <t>BPLM 2014-SME1 A2</t>
  </si>
  <si>
    <t>IT0005170250</t>
  </si>
  <si>
    <t>BPLM 2014-SME1 B2</t>
  </si>
  <si>
    <t>IT0005170268</t>
  </si>
  <si>
    <t>BPLM 2014-SME1 C2</t>
  </si>
  <si>
    <t>BPL Mortgages S.r.l. SMEs</t>
  </si>
  <si>
    <t>SMESIT000195100520135</t>
  </si>
  <si>
    <t>IT0004898521</t>
  </si>
  <si>
    <t>BPLM 2013-SME1 B</t>
  </si>
  <si>
    <t>Q1 2013</t>
  </si>
  <si>
    <t>IT0004898539</t>
  </si>
  <si>
    <t>BPLM 2013-SME1 A</t>
  </si>
  <si>
    <t>BPM Securitisation 3 S.r.l.</t>
  </si>
  <si>
    <t>SMESIT000128100520144</t>
  </si>
  <si>
    <t>IT0005046039</t>
  </si>
  <si>
    <t>BPM 3 A</t>
  </si>
  <si>
    <t>Q3 2014</t>
  </si>
  <si>
    <t>IT0005046047</t>
  </si>
  <si>
    <t>BPM 3 Z</t>
  </si>
  <si>
    <t>BRERA Sec  S.r.l. - SME</t>
  </si>
  <si>
    <t>SMESIT000207100320182</t>
  </si>
  <si>
    <t>IT0005355661</t>
  </si>
  <si>
    <t>BRERA 2 A</t>
  </si>
  <si>
    <t>Intesa Sanpaolo S.p.A.</t>
  </si>
  <si>
    <t>IT0005355687</t>
  </si>
  <si>
    <t>BRERA 2 B</t>
  </si>
  <si>
    <t>CIVITAS-SPV-SRL-BDC-CIVITAS2-SME</t>
  </si>
  <si>
    <t>SMESIT000165100820199</t>
  </si>
  <si>
    <t>IT0004842263</t>
  </si>
  <si>
    <t>CIVIT 2012-2 B</t>
  </si>
  <si>
    <t>Banca di Cividale S.C.p.A.</t>
  </si>
  <si>
    <t>IT0004842545</t>
  </si>
  <si>
    <t>CIVIT 2012-2 A</t>
  </si>
  <si>
    <t>CIVITAS SPV SRL 2019-1 SME</t>
  </si>
  <si>
    <t>IT0005388316</t>
  </si>
  <si>
    <t>CIVIT 2019-1 A</t>
  </si>
  <si>
    <t>IT0005388324</t>
  </si>
  <si>
    <t>CIVIT 2019-1 B</t>
  </si>
  <si>
    <t>IT0005388332</t>
  </si>
  <si>
    <t>CIVIT 2019-1 C</t>
  </si>
  <si>
    <t>CLARIS SME 2011 S.R.L.</t>
  </si>
  <si>
    <t>SMESIT000102100220112</t>
  </si>
  <si>
    <t>IT0004682404</t>
  </si>
  <si>
    <t>CLSME 2011-1 A</t>
  </si>
  <si>
    <t>Veneto Banca S.p.A.</t>
  </si>
  <si>
    <t>Q1 2011</t>
  </si>
  <si>
    <t>IT0004682412</t>
  </si>
  <si>
    <t>CLSME 2011-1 B</t>
  </si>
  <si>
    <t>CLARIS SME 2012 S.R.L.</t>
  </si>
  <si>
    <t>SMESIT000102100420126</t>
  </si>
  <si>
    <t>IT0004845142</t>
  </si>
  <si>
    <t>CLSME 2012-1 A</t>
  </si>
  <si>
    <t>IT0004845191</t>
  </si>
  <si>
    <t>CLSME 2012-1 B1</t>
  </si>
  <si>
    <t>IT0004845217</t>
  </si>
  <si>
    <t>CLSME 2012-1 B2</t>
  </si>
  <si>
    <t>IT0004845233</t>
  </si>
  <si>
    <t>CLSME 2012-1 B3</t>
  </si>
  <si>
    <t>CLARIS SME 2015 S.R.L.</t>
  </si>
  <si>
    <t>SMESIT000102101120154</t>
  </si>
  <si>
    <t>IT0005139727</t>
  </si>
  <si>
    <t>CLSME 2015-1 A</t>
  </si>
  <si>
    <t>IT0005139735</t>
  </si>
  <si>
    <t>CLSME 2015-1 B</t>
  </si>
  <si>
    <t>IT0005139768</t>
  </si>
  <si>
    <t>CLSME 2015-1 J1</t>
  </si>
  <si>
    <t>IT0005139776</t>
  </si>
  <si>
    <t>CLSME 2015-1 J2</t>
  </si>
  <si>
    <t>Estense S.M.E. S.r.l.</t>
  </si>
  <si>
    <t>SMEMIT000103100120123</t>
  </si>
  <si>
    <t>IT0004881006</t>
  </si>
  <si>
    <t>ESSME 1 B</t>
  </si>
  <si>
    <t>BPER Banca SpA</t>
  </si>
  <si>
    <t>Q4 2012</t>
  </si>
  <si>
    <t>IT0004881014</t>
  </si>
  <si>
    <t>ESSME 1 A</t>
  </si>
  <si>
    <t>Etruria Securitisation SPV S.r.l. series 2012</t>
  </si>
  <si>
    <t>SMESIT000051100420125</t>
  </si>
  <si>
    <t>IT0004855299</t>
  </si>
  <si>
    <t>ETRUR 1 A</t>
  </si>
  <si>
    <t>Banca Tirrenica S.p.A.</t>
  </si>
  <si>
    <t>IT0005157760</t>
  </si>
  <si>
    <t>ETRUR 1 B</t>
  </si>
  <si>
    <t>IT0005157778</t>
  </si>
  <si>
    <t>ETRUR 1 C</t>
  </si>
  <si>
    <t>GIADA SEC S.r.l.</t>
  </si>
  <si>
    <t>SMESIT000207100620201</t>
  </si>
  <si>
    <t>IT0005429235</t>
  </si>
  <si>
    <t>GIADA 1 A</t>
  </si>
  <si>
    <t>IT0005429243</t>
  </si>
  <si>
    <t>GIADA 1 B</t>
  </si>
  <si>
    <t>IMPRESA ONE S.R.L.</t>
  </si>
  <si>
    <t>SMESIT000061100420116</t>
  </si>
  <si>
    <t>IMPRE 1 A</t>
  </si>
  <si>
    <t>UniCredit S.p.A.</t>
  </si>
  <si>
    <t>Q4 2011</t>
  </si>
  <si>
    <t>IMPRE 1 B</t>
  </si>
  <si>
    <t>IMPRE 1 C</t>
  </si>
  <si>
    <t>IMPRE 1 D</t>
  </si>
  <si>
    <t>Impresa Two S.r.l.</t>
  </si>
  <si>
    <t>SMESIT000061101620193</t>
  </si>
  <si>
    <t>IT0005389520</t>
  </si>
  <si>
    <t>IMPRE 2 A</t>
  </si>
  <si>
    <t>IT0005389538</t>
  </si>
  <si>
    <t>IMPRE 2 B</t>
  </si>
  <si>
    <t>LANTERNA FINANCE (2020)</t>
  </si>
  <si>
    <t>SMESIT000211100620203</t>
  </si>
  <si>
    <t>IT0005415218</t>
  </si>
  <si>
    <t>LANTE 2020-1 A1</t>
  </si>
  <si>
    <t>IT0005415226</t>
  </si>
  <si>
    <t>LANTE 2020-1 A2</t>
  </si>
  <si>
    <t>IT0005415234</t>
  </si>
  <si>
    <t>LANTE 2020-1 B</t>
  </si>
  <si>
    <t>IT0005450710</t>
  </si>
  <si>
    <t>LANTE 2021-1 A</t>
  </si>
  <si>
    <t>Q2 2021</t>
  </si>
  <si>
    <t>IT0005450728</t>
  </si>
  <si>
    <t>LANTE 2021-1 B</t>
  </si>
  <si>
    <t>LANTERNA FINANCE S.R.L.</t>
  </si>
  <si>
    <t>SMESIT000211100320150</t>
  </si>
  <si>
    <t>IT0005154064</t>
  </si>
  <si>
    <t>LANTE 2015-1 A</t>
  </si>
  <si>
    <t>IT0005154072</t>
  </si>
  <si>
    <t>LANTE 2015-1 B</t>
  </si>
  <si>
    <t>Marche M5 Srl</t>
  </si>
  <si>
    <t>SMESIT000099100120120</t>
  </si>
  <si>
    <t>IT0004825227</t>
  </si>
  <si>
    <t>MARCH 5 J</t>
  </si>
  <si>
    <t>Banca Adriatica S.p.A.</t>
  </si>
  <si>
    <t>Q2 2012</t>
  </si>
  <si>
    <t>IT0004825417</t>
  </si>
  <si>
    <t>MARCH 5 A</t>
  </si>
  <si>
    <t>Quadrivio SME 2012 S.r.l.</t>
  </si>
  <si>
    <t>SMESIT000160100120120</t>
  </si>
  <si>
    <t>IT0004844665</t>
  </si>
  <si>
    <t>QUADS 2012-1 B</t>
  </si>
  <si>
    <t>Credito Valtellinese S.p.A.</t>
  </si>
  <si>
    <t>IT0004844673</t>
  </si>
  <si>
    <t>QUADS 2012-1 A</t>
  </si>
  <si>
    <t>Quadrivio SME 2014 S.r.l.</t>
  </si>
  <si>
    <t>SMESIT000160100420140</t>
  </si>
  <si>
    <t>IT0004997406</t>
  </si>
  <si>
    <t>QUADS 2014-1 A1</t>
  </si>
  <si>
    <t>IT0004997414</t>
  </si>
  <si>
    <t>QUADS 2014-1 JNR</t>
  </si>
  <si>
    <t>IT0004997422</t>
  </si>
  <si>
    <t>QUADS 2014-1 A2A</t>
  </si>
  <si>
    <t>IT0004997786</t>
  </si>
  <si>
    <t>QUADS 2014-1 A2B</t>
  </si>
  <si>
    <t>Quadrivio SME 2018 S.r.l.</t>
  </si>
  <si>
    <t>SMESIT000160100920180</t>
  </si>
  <si>
    <t>IT0005339459</t>
  </si>
  <si>
    <t>QUADS 2018-1 A1</t>
  </si>
  <si>
    <t>IT0005339467</t>
  </si>
  <si>
    <t>QUADS 2018-1 A2</t>
  </si>
  <si>
    <t>IT0005339475</t>
  </si>
  <si>
    <t>QUADS 2018-1 A3</t>
  </si>
  <si>
    <t>IT0005339483</t>
  </si>
  <si>
    <t>QUADS 2018-1 B</t>
  </si>
  <si>
    <t>IT0005339491</t>
  </si>
  <si>
    <t>QUADS 2018-1 C1</t>
  </si>
  <si>
    <t>IT0005339509</t>
  </si>
  <si>
    <t>QUADS 2018-1 C2</t>
  </si>
  <si>
    <t>IT0005339517</t>
  </si>
  <si>
    <t>QUADS 2018-1 J</t>
  </si>
  <si>
    <t>Siena PMI 2015 Srl</t>
  </si>
  <si>
    <t>SMESIT000094100720151</t>
  </si>
  <si>
    <t>IT0005124646</t>
  </si>
  <si>
    <t>SIENP 2015-1 A1B</t>
  </si>
  <si>
    <t>Banca Monte dei Paschi di Siena S.p.A.</t>
  </si>
  <si>
    <t>IT0005124828</t>
  </si>
  <si>
    <t>SIENP 2015-1 A1A</t>
  </si>
  <si>
    <t>IT0005124836</t>
  </si>
  <si>
    <t>SIENP 2015-1 A2A</t>
  </si>
  <si>
    <t>IT0005124844</t>
  </si>
  <si>
    <t>SIENP 2015-1 A2B</t>
  </si>
  <si>
    <t>IT0005124851</t>
  </si>
  <si>
    <t>SIENP 2015-1 B</t>
  </si>
  <si>
    <t>IT0005124869</t>
  </si>
  <si>
    <t>SIENP 2015-1 C</t>
  </si>
  <si>
    <t>IT0005124877</t>
  </si>
  <si>
    <t>SIENP 2015-1 D &amp; JNR</t>
  </si>
  <si>
    <t>Siena PMI 2016</t>
  </si>
  <si>
    <t>SMESIT000094100920165</t>
  </si>
  <si>
    <t>IT0005218216</t>
  </si>
  <si>
    <t>SIENP 2016-1 A1</t>
  </si>
  <si>
    <t>IT0005218224</t>
  </si>
  <si>
    <t>SIENP 2016-1 A2</t>
  </si>
  <si>
    <t>IT0005218232</t>
  </si>
  <si>
    <t>SIENP 2016-1 B</t>
  </si>
  <si>
    <t>IT0005218240</t>
  </si>
  <si>
    <t>SIENP 2016-1 C</t>
  </si>
  <si>
    <t>IT0005218257</t>
  </si>
  <si>
    <t>SIENP 2016-1 J</t>
  </si>
  <si>
    <t>Siena PMI 2016 Serie 2</t>
  </si>
  <si>
    <t>SMESIT000094101220193</t>
  </si>
  <si>
    <t>IT0005372948</t>
  </si>
  <si>
    <t>SIENP 2016-2 A1</t>
  </si>
  <si>
    <t>IT0005372955</t>
  </si>
  <si>
    <t>SIENP 2016-2 A2</t>
  </si>
  <si>
    <t>IT0005372963</t>
  </si>
  <si>
    <t>SIENP 2016-2 B</t>
  </si>
  <si>
    <t>IT0005372971</t>
  </si>
  <si>
    <t>SIENP 2016-2 C</t>
  </si>
  <si>
    <t>IT0005372989</t>
  </si>
  <si>
    <t>SIENP 2016-2 D</t>
  </si>
  <si>
    <t>IT0005372997</t>
  </si>
  <si>
    <t>SIENP 2016-2 J</t>
  </si>
  <si>
    <t>UBI Finance 2 SRL</t>
  </si>
  <si>
    <t>SMESIT000151100120095</t>
  </si>
  <si>
    <t>IT0004456197</t>
  </si>
  <si>
    <t>UBIF 2009-2 A</t>
  </si>
  <si>
    <t>Unione di Banche Italiane S.p.A.</t>
  </si>
  <si>
    <t>Q1 2009</t>
  </si>
  <si>
    <t>IT0004456171</t>
  </si>
  <si>
    <t>UBIF 2009-2 B</t>
  </si>
  <si>
    <t>UBI Finance 3 SRL</t>
  </si>
  <si>
    <t>SMESIT000151100220119</t>
  </si>
  <si>
    <t>IT0004675861</t>
  </si>
  <si>
    <t>UBIF 2011-1 A</t>
  </si>
  <si>
    <t>Q3 2011</t>
  </si>
  <si>
    <t>IT0004675879</t>
  </si>
  <si>
    <t>UBIF 2011-1 B</t>
  </si>
  <si>
    <t>UBI SPV BPA 2012 Srl</t>
  </si>
  <si>
    <t>SMESIT000151100420123</t>
  </si>
  <si>
    <t>IT0004841141</t>
  </si>
  <si>
    <t>UBBPA 2012-1 A</t>
  </si>
  <si>
    <t>IT0004841158</t>
  </si>
  <si>
    <t>UBBPA 2012-1 B</t>
  </si>
  <si>
    <t>VALSABBINA SME 3 SPV S.R.L.</t>
  </si>
  <si>
    <t>SMESIT000063100420211</t>
  </si>
  <si>
    <t>IT0005453797</t>
  </si>
  <si>
    <t>VALSA 2021-1 A</t>
  </si>
  <si>
    <t>Banca Valsabbina S.C.p.A.</t>
  </si>
  <si>
    <t>IT0005453805</t>
  </si>
  <si>
    <t>VALSA 2021-1 J</t>
  </si>
  <si>
    <t>VALSABBINA SME SPV SRL</t>
  </si>
  <si>
    <t>SMESIT000063100320197</t>
  </si>
  <si>
    <t>IT0005380115</t>
  </si>
  <si>
    <t>VALSA 2019-1 A</t>
  </si>
  <si>
    <t>Q3 2019</t>
  </si>
  <si>
    <t>IT0005380123</t>
  </si>
  <si>
    <t>VALSA 2019-1 J</t>
  </si>
  <si>
    <t>Voba N. 4 srl</t>
  </si>
  <si>
    <t>SMESIT000177100120124</t>
  </si>
  <si>
    <t>IT0004840960</t>
  </si>
  <si>
    <t>VOBAF 2012-4 A</t>
  </si>
  <si>
    <t>Banca Popolare dell'Alto Adige S.p.A.</t>
  </si>
  <si>
    <t>IT0004840978</t>
  </si>
  <si>
    <t>VOBAF 2012-4 J</t>
  </si>
  <si>
    <t>Voba N. 6 srl</t>
  </si>
  <si>
    <t>SMESIT000177100620164</t>
  </si>
  <si>
    <t>IT0005212805</t>
  </si>
  <si>
    <t>VOBAF 6 A1</t>
  </si>
  <si>
    <t>IT0005212813</t>
  </si>
  <si>
    <t>VOBAF 6 A2</t>
  </si>
  <si>
    <t>IT0005212821</t>
  </si>
  <si>
    <t>VOBAF 6 B</t>
  </si>
  <si>
    <t>IT0005215774</t>
  </si>
  <si>
    <t>VOBAF 6 J</t>
  </si>
  <si>
    <t>Voba N. 7 srl</t>
  </si>
  <si>
    <t>SMESIT000177100820186</t>
  </si>
  <si>
    <t>IT0005335465</t>
  </si>
  <si>
    <t>VOBAF 7 A1</t>
  </si>
  <si>
    <t>Q2 2018</t>
  </si>
  <si>
    <t>IT0005335473</t>
  </si>
  <si>
    <t>VOBAF 7 A2</t>
  </si>
  <si>
    <t>IT0005335481</t>
  </si>
  <si>
    <t>VOBAF 7 B</t>
  </si>
  <si>
    <t>IT0005335499</t>
  </si>
  <si>
    <t>VOBAF 7 J</t>
  </si>
  <si>
    <t>Luxembourg</t>
  </si>
  <si>
    <t>Geldilux-TS-2015 S.A</t>
  </si>
  <si>
    <t>SMESLU000556100220152</t>
  </si>
  <si>
    <t>XS1261539610</t>
  </si>
  <si>
    <t>GELDI 2015-TS A</t>
  </si>
  <si>
    <t>Netherlands</t>
  </si>
  <si>
    <t>BEST SME 2021</t>
  </si>
  <si>
    <t>SMESNL000148500120219</t>
  </si>
  <si>
    <t>NL0015000IU0</t>
  </si>
  <si>
    <t>BSTSM 2021 C</t>
  </si>
  <si>
    <t>Coöperatieve Rabobank U.A.</t>
  </si>
  <si>
    <t>NL0015000IV8</t>
  </si>
  <si>
    <t>BSTSM 2021 B</t>
  </si>
  <si>
    <t>NL0015000IW6</t>
  </si>
  <si>
    <t>BSTSM 2021 A</t>
  </si>
  <si>
    <t>SME Lion III B.V.</t>
  </si>
  <si>
    <t>SMESNL000087500220217</t>
  </si>
  <si>
    <t>ES0305515001</t>
  </si>
  <si>
    <t>SLION 2020-2 A1</t>
  </si>
  <si>
    <t>ING Bank N.V.</t>
  </si>
  <si>
    <t>ES0305515019</t>
  </si>
  <si>
    <t>SLION 2020-2 A2</t>
  </si>
  <si>
    <t>ES0305515027</t>
  </si>
  <si>
    <t>SLION 2020-2 A3</t>
  </si>
  <si>
    <t>ES0305515035</t>
  </si>
  <si>
    <t>SLION 2020-2 A4</t>
  </si>
  <si>
    <t>ES0305515043</t>
  </si>
  <si>
    <t>SLION 2020-2 A5</t>
  </si>
  <si>
    <t>NL0015000OC6</t>
  </si>
  <si>
    <t>SMEL 3 A1</t>
  </si>
  <si>
    <t>NL0015000OD4</t>
  </si>
  <si>
    <t>SMEL 3 A2</t>
  </si>
  <si>
    <t>NL0015000OE2</t>
  </si>
  <si>
    <t>SMEL 3 A3</t>
  </si>
  <si>
    <t>NL0015000OQ6</t>
  </si>
  <si>
    <t>SMEL 3 C</t>
  </si>
  <si>
    <t>NL0015000OR4</t>
  </si>
  <si>
    <t>SMEL 3 B</t>
  </si>
  <si>
    <t>Portugal</t>
  </si>
  <si>
    <t>Lusitano SME3</t>
  </si>
  <si>
    <t>SMESPT000158101020161</t>
  </si>
  <si>
    <t>PTSSC2OM0007</t>
  </si>
  <si>
    <t>LSME 3 A</t>
  </si>
  <si>
    <t>Novo Banco, S.A.</t>
  </si>
  <si>
    <t>PTSSC3OM0006</t>
  </si>
  <si>
    <t>LSME 3 B</t>
  </si>
  <si>
    <t>PTSSC4OM0005</t>
  </si>
  <si>
    <t>LSME 3 C</t>
  </si>
  <si>
    <t>PTSSC5OM0004</t>
  </si>
  <si>
    <t>PTSSC6OM0003</t>
  </si>
  <si>
    <t>PTSSC7OM0002</t>
  </si>
  <si>
    <t>PELICAN SME N º1 Issued by Sagres - Sociedade de Titularização de Créditos, S.A.</t>
  </si>
  <si>
    <t>SMESPT000050100220100</t>
  </si>
  <si>
    <t>XS0517202536</t>
  </si>
  <si>
    <t>PELIS 2010-1 A</t>
  </si>
  <si>
    <t>Caixa Económica Montepio Geral</t>
  </si>
  <si>
    <t>Q2 2010</t>
  </si>
  <si>
    <t>XS0517208061</t>
  </si>
  <si>
    <t>PELIS 2010-1 B</t>
  </si>
  <si>
    <t>XS0517211289</t>
  </si>
  <si>
    <t>PELIS 2010-1 V</t>
  </si>
  <si>
    <t>XS0517215439</t>
  </si>
  <si>
    <t>PELIS 2010-1 C</t>
  </si>
  <si>
    <t>XS0517219183</t>
  </si>
  <si>
    <t>PELIS 2010-1 R</t>
  </si>
  <si>
    <t>Pelican SME No. 2</t>
  </si>
  <si>
    <t>SMESPT000050100920154</t>
  </si>
  <si>
    <t>PTSSC1OM0008</t>
  </si>
  <si>
    <t>PELIS 2 S</t>
  </si>
  <si>
    <t>PTSSCWOM0008</t>
  </si>
  <si>
    <t>PELIS 2 A</t>
  </si>
  <si>
    <t>PTSSCXOM0007</t>
  </si>
  <si>
    <t>PELIS 2 B</t>
  </si>
  <si>
    <t>PTSSCYOM0006</t>
  </si>
  <si>
    <t>PELIS 2 C</t>
  </si>
  <si>
    <t>PTSSCZOM0005</t>
  </si>
  <si>
    <t>PELIS 2 D</t>
  </si>
  <si>
    <t>Sagres – Sociedade de Titularização de Créditos, S.A. - Douro SME No. 2</t>
  </si>
  <si>
    <t>SMESPT000112100620117</t>
  </si>
  <si>
    <t>PTSSCMOM0000</t>
  </si>
  <si>
    <t>DOURO 2011-2 A</t>
  </si>
  <si>
    <t>Banco BPI, S.A.</t>
  </si>
  <si>
    <t>PTSSCNOM0009</t>
  </si>
  <si>
    <t>DOURO 2011-2 B</t>
  </si>
  <si>
    <t>PTSSCOOM0008</t>
  </si>
  <si>
    <t>DOURO 2011-2 C</t>
  </si>
  <si>
    <t>PTSSCPOM0007</t>
  </si>
  <si>
    <t>DOURO 2011-2 R</t>
  </si>
  <si>
    <t>Syntotta 1 (Synthetic Deal)</t>
  </si>
  <si>
    <t>SMESPT000093101020194</t>
  </si>
  <si>
    <t>XS2019929152</t>
  </si>
  <si>
    <t>SYNT 1 CLN</t>
  </si>
  <si>
    <t>Banco Santander Totta, S.A.</t>
  </si>
  <si>
    <t>Spain</t>
  </si>
  <si>
    <t>BANKIA PYME I FTA</t>
  </si>
  <si>
    <t>SMESES000110103420135</t>
  </si>
  <si>
    <t>ES0313499008</t>
  </si>
  <si>
    <t>BKPYM 1 NOTE</t>
  </si>
  <si>
    <t>Bankia, S.A.</t>
  </si>
  <si>
    <t>BANKINTER 2 PYME FONDO DE TITULIZACIÓN DE ACTIVOS</t>
  </si>
  <si>
    <t>SMESES000076101420064</t>
  </si>
  <si>
    <t>ES0313716005</t>
  </si>
  <si>
    <t>BANKP I A1</t>
  </si>
  <si>
    <t>Bankinter, S.A.</t>
  </si>
  <si>
    <t>Q2 2006</t>
  </si>
  <si>
    <t>ES0313716013</t>
  </si>
  <si>
    <t>BANKP I A2</t>
  </si>
  <si>
    <t>ES0313716021</t>
  </si>
  <si>
    <t>BANKP I B</t>
  </si>
  <si>
    <t>ES0313716039</t>
  </si>
  <si>
    <t>BANKP I C</t>
  </si>
  <si>
    <t>ES0313716047</t>
  </si>
  <si>
    <t>BANKP I D</t>
  </si>
  <si>
    <t>ES0313716054</t>
  </si>
  <si>
    <t>BANKP I E</t>
  </si>
  <si>
    <t>BANKINTER 3 FTPYME FONDO DE TITULIZACIÓN DE ACTIVOS</t>
  </si>
  <si>
    <t>SMESES000076101520079</t>
  </si>
  <si>
    <t>ES0313273007</t>
  </si>
  <si>
    <t>BANKI 2007-3 A1</t>
  </si>
  <si>
    <t>Q4 2007</t>
  </si>
  <si>
    <t>ES0313273015</t>
  </si>
  <si>
    <t>BANKI 2007-3 A2</t>
  </si>
  <si>
    <t>ES0313273023</t>
  </si>
  <si>
    <t>BANKI 2007-3 A3</t>
  </si>
  <si>
    <t>ES0313273031</t>
  </si>
  <si>
    <t>BANKI 2007-3 B</t>
  </si>
  <si>
    <t>ES0313273049</t>
  </si>
  <si>
    <t>BANKI 2007-3 C</t>
  </si>
  <si>
    <t>ES0313273056</t>
  </si>
  <si>
    <t>BANKI 2007-3 D</t>
  </si>
  <si>
    <t>ES0313273064</t>
  </si>
  <si>
    <t>BANKI 2007-3 E</t>
  </si>
  <si>
    <t>BANKINTER 4 FTPYME FONDO DE TITULIZACIÓN DE ACTIVOS</t>
  </si>
  <si>
    <t>SMESES000076100820082</t>
  </si>
  <si>
    <t>ES0313583009</t>
  </si>
  <si>
    <t>BANKI 2008-4 A1</t>
  </si>
  <si>
    <t>Q3 2008</t>
  </si>
  <si>
    <t>ES0313583017</t>
  </si>
  <si>
    <t>BANKI 2008-4 A2G</t>
  </si>
  <si>
    <t>ES0313583025</t>
  </si>
  <si>
    <t>BANKI 2008-4 A3</t>
  </si>
  <si>
    <t>ES0313583033</t>
  </si>
  <si>
    <t>BANKI 2008-4 B</t>
  </si>
  <si>
    <t>ES0313583041</t>
  </si>
  <si>
    <t>BANKI 2008-4 C</t>
  </si>
  <si>
    <t>BBVA EMPRESAS 1 FTA</t>
  </si>
  <si>
    <t>SMESES000060103520071</t>
  </si>
  <si>
    <t>ES0313820005</t>
  </si>
  <si>
    <t>BBVAE 2007-1 A1</t>
  </si>
  <si>
    <t>Banco Bilbao Vizcaya Argentaria, S.A.</t>
  </si>
  <si>
    <t>ES0313820013</t>
  </si>
  <si>
    <t>BBVAE 2007-1 A2</t>
  </si>
  <si>
    <t>ES0313820047</t>
  </si>
  <si>
    <t>BBVAE 2007-1 A3</t>
  </si>
  <si>
    <t>ES0313820021</t>
  </si>
  <si>
    <t>BBVAE 2007-1 B</t>
  </si>
  <si>
    <t>ES0313820039</t>
  </si>
  <si>
    <t>BBVAE 2007-1 C</t>
  </si>
  <si>
    <t>BBVA EMPRESAS 2 FTA</t>
  </si>
  <si>
    <t>SMESES000060103620095</t>
  </si>
  <si>
    <t>ES0314789001</t>
  </si>
  <si>
    <t>BBVAE 2009-2 A</t>
  </si>
  <si>
    <t>ES0314789019</t>
  </si>
  <si>
    <t>BBVAE 2009-2 B</t>
  </si>
  <si>
    <t>ES0314789027</t>
  </si>
  <si>
    <t>BBVAE 2009-2 C</t>
  </si>
  <si>
    <t>BBVA EMPRESAS 3 FTA</t>
  </si>
  <si>
    <t>SMESES000060103720093</t>
  </si>
  <si>
    <t>ES0313524003</t>
  </si>
  <si>
    <t>BBVAE 2009-3 A</t>
  </si>
  <si>
    <t>ES0313524011</t>
  </si>
  <si>
    <t>BBVAE 2009-3 B</t>
  </si>
  <si>
    <t>ES0313524029</t>
  </si>
  <si>
    <t>BBVAE 2009-3 C</t>
  </si>
  <si>
    <t>BBVA EMPRESAS 4 FTA</t>
  </si>
  <si>
    <t>SMESES000060103820109</t>
  </si>
  <si>
    <t>ES0313280002</t>
  </si>
  <si>
    <t>BBVAE 2010-4 A</t>
  </si>
  <si>
    <t>Q3 2010</t>
  </si>
  <si>
    <t>BBVA EMPRESAS 5 FTA</t>
  </si>
  <si>
    <t>SMESES000060103920115</t>
  </si>
  <si>
    <t>ES0313281000</t>
  </si>
  <si>
    <t>BBVAE 2011-5 A</t>
  </si>
  <si>
    <t>ES0313281018</t>
  </si>
  <si>
    <t>BBVAE 2011-5 B</t>
  </si>
  <si>
    <t>BBVA EMPRESAS 6 FTA</t>
  </si>
  <si>
    <t>SMESES000060104020113</t>
  </si>
  <si>
    <t>ES0314586001</t>
  </si>
  <si>
    <t>BBVAE 2011-6 A</t>
  </si>
  <si>
    <t>ES0314586019</t>
  </si>
  <si>
    <t>BBVAE 2011-6 B</t>
  </si>
  <si>
    <t>ES0314586027</t>
  </si>
  <si>
    <t>BBVAE 2011-6 C</t>
  </si>
  <si>
    <t>BBVA-10 PYME FT</t>
  </si>
  <si>
    <t>SMESES000060105420155</t>
  </si>
  <si>
    <t>ES0305110001</t>
  </si>
  <si>
    <t>BBVAP 10 A</t>
  </si>
  <si>
    <t>ES0305110019</t>
  </si>
  <si>
    <t>BBVAP 10 B</t>
  </si>
  <si>
    <t>BBVA-3 FTPYME FTA</t>
  </si>
  <si>
    <t>SMESES000060101420043</t>
  </si>
  <si>
    <t>ES0310110004</t>
  </si>
  <si>
    <t>BBVAP 3 A1</t>
  </si>
  <si>
    <t>Q4 2004</t>
  </si>
  <si>
    <t>ES0310110012</t>
  </si>
  <si>
    <t>BBVAP 3 A2G</t>
  </si>
  <si>
    <t>ES0310110020</t>
  </si>
  <si>
    <t>BBVAP 3 B</t>
  </si>
  <si>
    <t>ES0310110038</t>
  </si>
  <si>
    <t>BBVAP 3 C</t>
  </si>
  <si>
    <t>BBVA-4 PYME FTA</t>
  </si>
  <si>
    <t>SMESES000060101620055</t>
  </si>
  <si>
    <t>ES0370458004</t>
  </si>
  <si>
    <t>BBVAP 4 A1</t>
  </si>
  <si>
    <t>Q3 2005</t>
  </si>
  <si>
    <t>ES0370458012</t>
  </si>
  <si>
    <t>BBVAP 4 A2</t>
  </si>
  <si>
    <t>ES0370458020</t>
  </si>
  <si>
    <t>BBVAP 4 B</t>
  </si>
  <si>
    <t>ES0370458038</t>
  </si>
  <si>
    <t>BBVAP 4 C</t>
  </si>
  <si>
    <t>BBVA-5 FTPYME FTA</t>
  </si>
  <si>
    <t>SMESES000060102120063</t>
  </si>
  <si>
    <t>ES0370459002</t>
  </si>
  <si>
    <t>BBVAP 5 A1</t>
  </si>
  <si>
    <t>Q4 2006</t>
  </si>
  <si>
    <t>ES0370459010</t>
  </si>
  <si>
    <t>BBVAP 5 A2</t>
  </si>
  <si>
    <t>ES0370459028</t>
  </si>
  <si>
    <t>BBVAP 5 A3G</t>
  </si>
  <si>
    <t>ES0370459036</t>
  </si>
  <si>
    <t>BBVAP 5 B</t>
  </si>
  <si>
    <t>ES0370459044</t>
  </si>
  <si>
    <t>BBVAP 5 C</t>
  </si>
  <si>
    <t>BBVA-6 FTPYME FTA</t>
  </si>
  <si>
    <t>SMESES000060102220079</t>
  </si>
  <si>
    <t>ES0370460000</t>
  </si>
  <si>
    <t>BBVAP 6 A1</t>
  </si>
  <si>
    <t>Q2 2007</t>
  </si>
  <si>
    <t>ES0370460018</t>
  </si>
  <si>
    <t>BBVAP 6 A2G</t>
  </si>
  <si>
    <t>ES0370460026</t>
  </si>
  <si>
    <t>BBVAP 6 B</t>
  </si>
  <si>
    <t>ES0370460034</t>
  </si>
  <si>
    <t>BBVAP 6 C</t>
  </si>
  <si>
    <t>BBVA-9 PYME FTA</t>
  </si>
  <si>
    <t>SMESES000060102320127</t>
  </si>
  <si>
    <t>ES0370463004</t>
  </si>
  <si>
    <t>BBVAP 9 A</t>
  </si>
  <si>
    <t>ES0370463012</t>
  </si>
  <si>
    <t>BBVAP 9 B</t>
  </si>
  <si>
    <t>CAIXABANK PYMES 10. F.T.</t>
  </si>
  <si>
    <t>SMESES000138101620182</t>
  </si>
  <si>
    <t>ES0305380000</t>
  </si>
  <si>
    <t>FONCA 10 A</t>
  </si>
  <si>
    <t>CaixaBank, S.A.</t>
  </si>
  <si>
    <t>ES0305380018</t>
  </si>
  <si>
    <t>FONCA 10 B</t>
  </si>
  <si>
    <t>CAIXABANK PYMES 11, F.T.</t>
  </si>
  <si>
    <t>SMESES000138101820196</t>
  </si>
  <si>
    <t>ES0305460000</t>
  </si>
  <si>
    <t>FONCA 11 A</t>
  </si>
  <si>
    <t>ES0305460018</t>
  </si>
  <si>
    <t>FONCA 11 B</t>
  </si>
  <si>
    <t>CAIXABANK PYMES 12, F.T</t>
  </si>
  <si>
    <t>SMESES000138102020200</t>
  </si>
  <si>
    <t>ES0305516009</t>
  </si>
  <si>
    <t>FONCA 12 A</t>
  </si>
  <si>
    <t>ES0305516017</t>
  </si>
  <si>
    <t>FONCA 12 B</t>
  </si>
  <si>
    <t>CAIXABANK PYMES 8, F.T</t>
  </si>
  <si>
    <t>SMESES000141102220176</t>
  </si>
  <si>
    <t>ES0305215008</t>
  </si>
  <si>
    <t>FONCA 8 A</t>
  </si>
  <si>
    <t>ES0305215016</t>
  </si>
  <si>
    <t>FONCA 8 B</t>
  </si>
  <si>
    <t>CAIXABANK PYMES 9, F.T.</t>
  </si>
  <si>
    <t>SMESES000141102520179</t>
  </si>
  <si>
    <t>ES0305292007</t>
  </si>
  <si>
    <t>FONCA 9 A</t>
  </si>
  <si>
    <t>Q4 2017</t>
  </si>
  <si>
    <t>ES0305292015</t>
  </si>
  <si>
    <t>FONCA 9 B</t>
  </si>
  <si>
    <t>Empresas Banesto 5 Fondo de Titulización de Activos</t>
  </si>
  <si>
    <t>SMESES000156100220101</t>
  </si>
  <si>
    <t>ES0330864002</t>
  </si>
  <si>
    <t>BTOE 2010-5 A</t>
  </si>
  <si>
    <t>Banco Español de Crédito, S.A.</t>
  </si>
  <si>
    <t>ES0330864010</t>
  </si>
  <si>
    <t>BTOE 2010-5 B</t>
  </si>
  <si>
    <t>ES0330864028</t>
  </si>
  <si>
    <t>BTOE 2010-5 C</t>
  </si>
  <si>
    <t>EMPRESAS BANESTO 6 FONDO DE TITULIZACIÓN DE ACTIVOS</t>
  </si>
  <si>
    <t>SMESES000156100320117</t>
  </si>
  <si>
    <t>ES0330821002</t>
  </si>
  <si>
    <t>BTOE 2011-6 A</t>
  </si>
  <si>
    <t>ES0330821010</t>
  </si>
  <si>
    <t>BTOE 2011-6 B</t>
  </si>
  <si>
    <t>ES0330821028</t>
  </si>
  <si>
    <t>BTOE 2011-6 C</t>
  </si>
  <si>
    <t>F.T. PYMES SANTANDER 12</t>
  </si>
  <si>
    <t>SMESES000089103320158</t>
  </si>
  <si>
    <t>ES0305107007</t>
  </si>
  <si>
    <t>SANFT 12 A</t>
  </si>
  <si>
    <t>Banco Santander, S.A.</t>
  </si>
  <si>
    <t>ES0305107015</t>
  </si>
  <si>
    <t>SANFT 12 B</t>
  </si>
  <si>
    <t>ES0305107023</t>
  </si>
  <si>
    <t>SANFT 12 C</t>
  </si>
  <si>
    <t>F.T. Pymes Santander 13</t>
  </si>
  <si>
    <t>SMESES000089103620185</t>
  </si>
  <si>
    <t>ES0305289003</t>
  </si>
  <si>
    <t>SANFT 13 A</t>
  </si>
  <si>
    <t>Q1 2018</t>
  </si>
  <si>
    <t>ES0305289011</t>
  </si>
  <si>
    <t>SANFT 13 B</t>
  </si>
  <si>
    <t>ES0305289029</t>
  </si>
  <si>
    <t>SANFT 13 C</t>
  </si>
  <si>
    <t>F.T.A. PYMES SANTANDER 6</t>
  </si>
  <si>
    <t>SMESES000089102120138</t>
  </si>
  <si>
    <t>ES0314698004</t>
  </si>
  <si>
    <t>SANFT 6 A</t>
  </si>
  <si>
    <t>ES0314698012</t>
  </si>
  <si>
    <t>SANFT 6 B</t>
  </si>
  <si>
    <t>ES0314698020</t>
  </si>
  <si>
    <t>SANFT 6 C</t>
  </si>
  <si>
    <t>F.T.A. PYMES SANTANDER 7</t>
  </si>
  <si>
    <t>SMESES000089102220136</t>
  </si>
  <si>
    <t>ES0314699002</t>
  </si>
  <si>
    <t>SANFT 7 A</t>
  </si>
  <si>
    <t>ES0314699010</t>
  </si>
  <si>
    <t>SANFT 7 B</t>
  </si>
  <si>
    <t>ES0314699028</t>
  </si>
  <si>
    <t>SANFT 7 C</t>
  </si>
  <si>
    <t>FONCAIXA AUTÓNOMOS 1, F.T.A.</t>
  </si>
  <si>
    <t>SMESES000141100520114</t>
  </si>
  <si>
    <t>ES0337605002</t>
  </si>
  <si>
    <t>FONAU 2011-1 A</t>
  </si>
  <si>
    <t>ES0337605010</t>
  </si>
  <si>
    <t>FONAU 2011-1 B</t>
  </si>
  <si>
    <t>FONCAIXA PYMES 3, F.T.A.</t>
  </si>
  <si>
    <t>SMESES000141100220137</t>
  </si>
  <si>
    <t>ES0338016001</t>
  </si>
  <si>
    <t>FONCA 3 A</t>
  </si>
  <si>
    <t>ES0338016019</t>
  </si>
  <si>
    <t>FONCA 3 B</t>
  </si>
  <si>
    <t>FONCAIXA PYMES 4, F.T.A.</t>
  </si>
  <si>
    <t>SMESES000141101420140</t>
  </si>
  <si>
    <t>ES0337885000</t>
  </si>
  <si>
    <t>FONCA 4 A</t>
  </si>
  <si>
    <t>ES0337885018</t>
  </si>
  <si>
    <t>FONCA 4 B</t>
  </si>
  <si>
    <t>FONCAIXA PYMES 5, F.T.A.</t>
  </si>
  <si>
    <t>SMESES000141101720150</t>
  </si>
  <si>
    <t>ES0305051007</t>
  </si>
  <si>
    <t>FONCA 5 A</t>
  </si>
  <si>
    <t>ES0305051015</t>
  </si>
  <si>
    <t>FONCA 5 B</t>
  </si>
  <si>
    <t>FONCAIXA PYMES 6, F.T.</t>
  </si>
  <si>
    <t>SMESES000141101820166</t>
  </si>
  <si>
    <t>ES0305096002</t>
  </si>
  <si>
    <t>FONCA 6 A</t>
  </si>
  <si>
    <t>ES0305096010</t>
  </si>
  <si>
    <t>FONCA 6 B</t>
  </si>
  <si>
    <t>FONCAIXA PYMES 7, F.T.</t>
  </si>
  <si>
    <t>SMESES000141101920164</t>
  </si>
  <si>
    <t>ES0305104004</t>
  </si>
  <si>
    <t>FONCA 7 A</t>
  </si>
  <si>
    <t>ES0305104012</t>
  </si>
  <si>
    <t>FONCA 7 B</t>
  </si>
  <si>
    <t>FONDO DE TITULIZACIÓN DE ACTIVOS FTPYME SANTANDER 1</t>
  </si>
  <si>
    <t>SMESES000089100920034</t>
  </si>
  <si>
    <t>ES0339773006</t>
  </si>
  <si>
    <t>SANFT 1 A</t>
  </si>
  <si>
    <t>Q3 2003</t>
  </si>
  <si>
    <t>ES0339773014</t>
  </si>
  <si>
    <t>SANFT 1 B1G</t>
  </si>
  <si>
    <t>ES0339773022</t>
  </si>
  <si>
    <t>SANFT 1 B2</t>
  </si>
  <si>
    <t>ES0339773030</t>
  </si>
  <si>
    <t>SANFT 1 C</t>
  </si>
  <si>
    <t>ES0339773048</t>
  </si>
  <si>
    <t>SANFT 1 D</t>
  </si>
  <si>
    <t>FONDO DE TITULIZACIÓN DE ACTIVOS FTPYME SANTANDER 2</t>
  </si>
  <si>
    <t>SMESES000089101020040</t>
  </si>
  <si>
    <t>ES0338048004</t>
  </si>
  <si>
    <t>SANFT 2 A</t>
  </si>
  <si>
    <t>ES0338048012</t>
  </si>
  <si>
    <t>SANFT 2 BG</t>
  </si>
  <si>
    <t>ES0338048020</t>
  </si>
  <si>
    <t>SANFT 2 C</t>
  </si>
  <si>
    <t>ES0338048038</t>
  </si>
  <si>
    <t>SANFT 2 D</t>
  </si>
  <si>
    <t>ES0338048046</t>
  </si>
  <si>
    <t>SANFT 2 E</t>
  </si>
  <si>
    <t>FONDO DE TITULIZACIÓN DE ACTIVOS PYMES BANESTO 2</t>
  </si>
  <si>
    <t>SMESES000156100120061</t>
  </si>
  <si>
    <t>ES0372260002</t>
  </si>
  <si>
    <t>BTOA 2 A1</t>
  </si>
  <si>
    <t>ES0372260010</t>
  </si>
  <si>
    <t>BTOA 2 A2</t>
  </si>
  <si>
    <t>ES0372260028</t>
  </si>
  <si>
    <t>BTOA 2 B</t>
  </si>
  <si>
    <t>ES0372260036</t>
  </si>
  <si>
    <t>BTOA 2 C</t>
  </si>
  <si>
    <t>FONDO DE TITULIZACIÓN DE ACTIVOS PYMES SANTANDER 3</t>
  </si>
  <si>
    <t>SMESES000089101120121</t>
  </si>
  <si>
    <t>ES0325633008</t>
  </si>
  <si>
    <t>SANFT 3 A</t>
  </si>
  <si>
    <t>ES0325633016</t>
  </si>
  <si>
    <t>SANFT 3 B</t>
  </si>
  <si>
    <t>ES0325633024</t>
  </si>
  <si>
    <t>SANFT 3 C</t>
  </si>
  <si>
    <t>FONDO DE TITULIZACIÓN DE ACTIVOS PYMES SANTANDER 4</t>
  </si>
  <si>
    <t>SMESES000089101220129</t>
  </si>
  <si>
    <t>ES0325634006</t>
  </si>
  <si>
    <t>SANFT 4 A</t>
  </si>
  <si>
    <t>ES0325634014</t>
  </si>
  <si>
    <t>SANFT 4 B</t>
  </si>
  <si>
    <t>ES0325634022</t>
  </si>
  <si>
    <t>SANFT 4 C</t>
  </si>
  <si>
    <t>FONDO DE TITULIZACIÓN PYMES SANTANDER 15</t>
  </si>
  <si>
    <t>SMESES000089103820199</t>
  </si>
  <si>
    <t>ES0305458004</t>
  </si>
  <si>
    <t>SANFT 15 A</t>
  </si>
  <si>
    <t>ES0305458012</t>
  </si>
  <si>
    <t>SANFT 15 B</t>
  </si>
  <si>
    <t>ES0305458020</t>
  </si>
  <si>
    <t>SANFT 15 C</t>
  </si>
  <si>
    <t>FT Pymes Santander 14</t>
  </si>
  <si>
    <t>SMESES000089103720183</t>
  </si>
  <si>
    <t>ES0305381008</t>
  </si>
  <si>
    <t>SANFT 14 A</t>
  </si>
  <si>
    <t>ES0305381016</t>
  </si>
  <si>
    <t>SANFT 14 B</t>
  </si>
  <si>
    <t>ES0305381024</t>
  </si>
  <si>
    <t>SANFT 14 C</t>
  </si>
  <si>
    <t>FTA PYMES SANTANDER 10</t>
  </si>
  <si>
    <t>SMESES000089103020147</t>
  </si>
  <si>
    <t>ES0305054001</t>
  </si>
  <si>
    <t>SANFT 10 A</t>
  </si>
  <si>
    <t>ES0305054019</t>
  </si>
  <si>
    <t>SANFT 10 B</t>
  </si>
  <si>
    <t>ES0305054027</t>
  </si>
  <si>
    <t>SANFT 10 C</t>
  </si>
  <si>
    <t>FTA PYMES SANTANDER 11</t>
  </si>
  <si>
    <t>SMESES000089103120152</t>
  </si>
  <si>
    <t>ES0305070007</t>
  </si>
  <si>
    <t>SANFT 11 A</t>
  </si>
  <si>
    <t>ES0305070015</t>
  </si>
  <si>
    <t>SANFT 11 B</t>
  </si>
  <si>
    <t>ES0305070023</t>
  </si>
  <si>
    <t>SANFT 11 C</t>
  </si>
  <si>
    <t>FTA PYMES SANTANDER 5</t>
  </si>
  <si>
    <t>SMESES000089101920132</t>
  </si>
  <si>
    <t>ES0325635003</t>
  </si>
  <si>
    <t>SANFT 5 A</t>
  </si>
  <si>
    <t>ES0325635011</t>
  </si>
  <si>
    <t>SANFT 5 B</t>
  </si>
  <si>
    <t>ES0325635029</t>
  </si>
  <si>
    <t>SANFT 5 C</t>
  </si>
  <si>
    <t>FTA Pymes Santander 8</t>
  </si>
  <si>
    <t>SMESES000089102620145</t>
  </si>
  <si>
    <t>ES0305024004</t>
  </si>
  <si>
    <t>SANFT 8 A</t>
  </si>
  <si>
    <t>ES0305024012</t>
  </si>
  <si>
    <t>SANFT 8 B</t>
  </si>
  <si>
    <t>ES0305024020</t>
  </si>
  <si>
    <t>SANFT 8 C</t>
  </si>
  <si>
    <t>FTA Pymes Santander 9</t>
  </si>
  <si>
    <t>SMESES000089102520147</t>
  </si>
  <si>
    <t>ES0305023006</t>
  </si>
  <si>
    <t>SANFT 9 A</t>
  </si>
  <si>
    <t>ES0305023014</t>
  </si>
  <si>
    <t>SANFT 9 B</t>
  </si>
  <si>
    <t>FTA SANTANDER EMPRESAS 1</t>
  </si>
  <si>
    <t>SMESES000089101320051</t>
  </si>
  <si>
    <t>ES0382041004</t>
  </si>
  <si>
    <t>SANTM 1 A1</t>
  </si>
  <si>
    <t>Q4 2005</t>
  </si>
  <si>
    <t>ES0382041012</t>
  </si>
  <si>
    <t>SANTM 1 A2</t>
  </si>
  <si>
    <t>ES0382041020</t>
  </si>
  <si>
    <t>SANTM 1 B</t>
  </si>
  <si>
    <t>ES0382041038</t>
  </si>
  <si>
    <t>SANTM 1 C</t>
  </si>
  <si>
    <t>ES0382041046</t>
  </si>
  <si>
    <t>SANTM 1 D</t>
  </si>
  <si>
    <t>FTA SANTANDER EMPRESAS 10</t>
  </si>
  <si>
    <t>SMESES000089101820118</t>
  </si>
  <si>
    <t>ES0313587000</t>
  </si>
  <si>
    <t>SANTM 10 A</t>
  </si>
  <si>
    <t>ES0313587018</t>
  </si>
  <si>
    <t>SANTM 10 B</t>
  </si>
  <si>
    <t>ES0313587026</t>
  </si>
  <si>
    <t>SANTM 10 C</t>
  </si>
  <si>
    <t>FTA SANTANDER EMPRESAS 2</t>
  </si>
  <si>
    <t>SMESES000089101420067</t>
  </si>
  <si>
    <t>ES0338058011</t>
  </si>
  <si>
    <t>SANTM 2 A2</t>
  </si>
  <si>
    <t>ES0338058029</t>
  </si>
  <si>
    <t>SANTM 2 B</t>
  </si>
  <si>
    <t>ES0338058033</t>
  </si>
  <si>
    <t>ES0338058037</t>
  </si>
  <si>
    <t>SANTM 2 C</t>
  </si>
  <si>
    <t>ES0338058045</t>
  </si>
  <si>
    <t>SANTM 2 D</t>
  </si>
  <si>
    <t>ES0338058052</t>
  </si>
  <si>
    <t>SANTM 2 E</t>
  </si>
  <si>
    <t>ES0338058060</t>
  </si>
  <si>
    <t>SANTM 2 F</t>
  </si>
  <si>
    <t>FTA SANTANDER EMPRESAS 3</t>
  </si>
  <si>
    <t>SMESES000089101520072</t>
  </si>
  <si>
    <t>ES0337710000</t>
  </si>
  <si>
    <t>SANTM 3 A1</t>
  </si>
  <si>
    <t>ES0337710018</t>
  </si>
  <si>
    <t>SANTM 3 A2</t>
  </si>
  <si>
    <t>ES0337710026</t>
  </si>
  <si>
    <t>SANTM 3 A3</t>
  </si>
  <si>
    <t>ES0337710034</t>
  </si>
  <si>
    <t>SANTM 3 B</t>
  </si>
  <si>
    <t>ES0337710042</t>
  </si>
  <si>
    <t>SANTM 3 C</t>
  </si>
  <si>
    <t>ES0337710059</t>
  </si>
  <si>
    <t>SANTM 3 D</t>
  </si>
  <si>
    <t>ES0337710067</t>
  </si>
  <si>
    <t>SANTM 3 E</t>
  </si>
  <si>
    <t>ES0337710075</t>
  </si>
  <si>
    <t>SANTM 3 F</t>
  </si>
  <si>
    <t>FTA SANTANDER EMPRESAS 8</t>
  </si>
  <si>
    <t>SMESES000089101620112</t>
  </si>
  <si>
    <t>ES0336101003</t>
  </si>
  <si>
    <t>SANTM 8 A</t>
  </si>
  <si>
    <t>ES0336101011</t>
  </si>
  <si>
    <t>SANTM 8 B</t>
  </si>
  <si>
    <t>ES0336101029</t>
  </si>
  <si>
    <t>SANTM 8 C</t>
  </si>
  <si>
    <t>FTA SANTANDER EMPRESAS 9</t>
  </si>
  <si>
    <t>SMESES000089101720110</t>
  </si>
  <si>
    <t>ES0336102001</t>
  </si>
  <si>
    <t>SANTM 9 A</t>
  </si>
  <si>
    <t>Q2 2011</t>
  </si>
  <si>
    <t>ES0336102019</t>
  </si>
  <si>
    <t>SANTM 9 B</t>
  </si>
  <si>
    <t>ES0336102027</t>
  </si>
  <si>
    <t>SANTM 9 C</t>
  </si>
  <si>
    <t>GC FTPYME SABADELL 4, F.T.A.</t>
  </si>
  <si>
    <t>SMESES000141101220052</t>
  </si>
  <si>
    <t>ES0341169003</t>
  </si>
  <si>
    <t>GCSAB 4 AS</t>
  </si>
  <si>
    <t>Banco de Sabadell, S.A.</t>
  </si>
  <si>
    <t>ES0341169011</t>
  </si>
  <si>
    <t>GCSAB 4 AG</t>
  </si>
  <si>
    <t>ES0341169029</t>
  </si>
  <si>
    <t>GCSAB 4 B</t>
  </si>
  <si>
    <t>ES0341169037</t>
  </si>
  <si>
    <t>GCSAB 4 C</t>
  </si>
  <si>
    <t>GC FTPYME SABADELL 5, F.T.A.</t>
  </si>
  <si>
    <t>SMESES000141100620070</t>
  </si>
  <si>
    <t>ES0332234006</t>
  </si>
  <si>
    <t>GCSAB 5 A1</t>
  </si>
  <si>
    <t>ES0332234014</t>
  </si>
  <si>
    <t>GCSAB 5 A2</t>
  </si>
  <si>
    <t>ES0332234022</t>
  </si>
  <si>
    <t>GCSAB 5 A3G</t>
  </si>
  <si>
    <t>ES0332234030</t>
  </si>
  <si>
    <t>GCSAB 5 B</t>
  </si>
  <si>
    <t>ES0332234048</t>
  </si>
  <si>
    <t>GCSAB 5 C</t>
  </si>
  <si>
    <t>GC FTPYME SABADELL 6, F.T.A.</t>
  </si>
  <si>
    <t>SMESES000141100720078</t>
  </si>
  <si>
    <t>ES0341099002</t>
  </si>
  <si>
    <t>GCSAB 6 A1</t>
  </si>
  <si>
    <t>ES0341099010</t>
  </si>
  <si>
    <t>GCSAB 6 A2</t>
  </si>
  <si>
    <t>ES0341099028</t>
  </si>
  <si>
    <t>GCSAB 6 A3G</t>
  </si>
  <si>
    <t>ES0341099036</t>
  </si>
  <si>
    <t>GCSAB 6 B</t>
  </si>
  <si>
    <t>ES0341099044</t>
  </si>
  <si>
    <t>GCSAB 6 C</t>
  </si>
  <si>
    <t>GC FTPYME SABADELL 8, F.T.A.</t>
  </si>
  <si>
    <t>SMESES000141100820118</t>
  </si>
  <si>
    <t>ES0341100008</t>
  </si>
  <si>
    <t>GCSAB 8 A1G</t>
  </si>
  <si>
    <t>ES0341100016</t>
  </si>
  <si>
    <t>GCSAB 8 A2G</t>
  </si>
  <si>
    <t>ES0341100024</t>
  </si>
  <si>
    <t>GCSAB 8 A3</t>
  </si>
  <si>
    <t>ES0341100032</t>
  </si>
  <si>
    <t>GCSAB 8 B</t>
  </si>
  <si>
    <t>GC FTPYME UNNIM 1, F.T.A.</t>
  </si>
  <si>
    <t>SMESES000141101120120</t>
  </si>
  <si>
    <t>ES0341101006</t>
  </si>
  <si>
    <t>GCUNM 2011-1 AG</t>
  </si>
  <si>
    <t>Unnim Banc, S.A.U.</t>
  </si>
  <si>
    <t>ES0341101014</t>
  </si>
  <si>
    <t>GCUNM 2011-1 AS</t>
  </si>
  <si>
    <t>ES0341101022</t>
  </si>
  <si>
    <t>GCUNM 2011-1 B</t>
  </si>
  <si>
    <t>IM BANCO POPULAR FTPYME 1</t>
  </si>
  <si>
    <t>SMESES000065100520040</t>
  </si>
  <si>
    <t>ES0347847008</t>
  </si>
  <si>
    <t>POPUP 1 A</t>
  </si>
  <si>
    <t>Banco Popular Español, S.A.</t>
  </si>
  <si>
    <t>ES0347847016</t>
  </si>
  <si>
    <t>POPUP 1 AG</t>
  </si>
  <si>
    <t>ES0347847024</t>
  </si>
  <si>
    <t>POPUP 1 B</t>
  </si>
  <si>
    <t>ES0347847032</t>
  </si>
  <si>
    <t>POPUP 1 C</t>
  </si>
  <si>
    <t>IM BCC CAJAMAR PYME 1</t>
  </si>
  <si>
    <t>SMESES000065103220168</t>
  </si>
  <si>
    <t>ES0305149009</t>
  </si>
  <si>
    <t>IMPME 1 A</t>
  </si>
  <si>
    <t>Cajamar Caja Rural, Sociedad Cooperativa de Crédito</t>
  </si>
  <si>
    <t>Q3 2016</t>
  </si>
  <si>
    <t>ES0305149017</t>
  </si>
  <si>
    <t>IMPME 1 B</t>
  </si>
  <si>
    <t>IM BCC CAJAMAR PYME 2</t>
  </si>
  <si>
    <t>SMESES000065104220183</t>
  </si>
  <si>
    <t>ES0305332001</t>
  </si>
  <si>
    <t>IMPME 2 A</t>
  </si>
  <si>
    <t>ES0305332019</t>
  </si>
  <si>
    <t>IMPME 2 B</t>
  </si>
  <si>
    <t>IM BCC CAJAMAR PYME 3</t>
  </si>
  <si>
    <t>SMESES000065104920212</t>
  </si>
  <si>
    <t>ES0305540009</t>
  </si>
  <si>
    <t>IMPME 3 A</t>
  </si>
  <si>
    <t>ES0305540017</t>
  </si>
  <si>
    <t>IMPME 3 B</t>
  </si>
  <si>
    <t>IM FTPYME SABADELL 7</t>
  </si>
  <si>
    <t>SMESES000065102220086</t>
  </si>
  <si>
    <t>ES0347526008</t>
  </si>
  <si>
    <t>IMSAB 7 A1</t>
  </si>
  <si>
    <t>ES0347526016</t>
  </si>
  <si>
    <t>IMSAB 7 A2G</t>
  </si>
  <si>
    <t>ES0347526024</t>
  </si>
  <si>
    <t>IMSAB 7 B</t>
  </si>
  <si>
    <t>ES0347526032</t>
  </si>
  <si>
    <t>IMSAB 7 C</t>
  </si>
  <si>
    <t>IM FTPYME SABADELL 9, FTA</t>
  </si>
  <si>
    <t>SMESES000065100720111</t>
  </si>
  <si>
    <t>ES0347546006</t>
  </si>
  <si>
    <t>IMSAB 9 A1</t>
  </si>
  <si>
    <t>ES0347546014</t>
  </si>
  <si>
    <t>IMSAB 9 A2G</t>
  </si>
  <si>
    <t>ES0347546022</t>
  </si>
  <si>
    <t>IMSAB 9 B</t>
  </si>
  <si>
    <t>IM GBP EMPRESAS 1</t>
  </si>
  <si>
    <t>SMESES000065101920066</t>
  </si>
  <si>
    <t>ES0347843007</t>
  </si>
  <si>
    <t>EMPOP 2006-1 A1</t>
  </si>
  <si>
    <t>Q3 2006</t>
  </si>
  <si>
    <t>ES0347843015</t>
  </si>
  <si>
    <t>EMPOP 2006-1 A2</t>
  </si>
  <si>
    <t>ES0347843023</t>
  </si>
  <si>
    <t>EMPOP 2006-1 B</t>
  </si>
  <si>
    <t>ES0347843031</t>
  </si>
  <si>
    <t>EMPOP 2006-1 C</t>
  </si>
  <si>
    <t>ES0347843049</t>
  </si>
  <si>
    <t>EMPOP 2006-1 D</t>
  </si>
  <si>
    <t>ES0347843056</t>
  </si>
  <si>
    <t>EMPOP 2006-1 E</t>
  </si>
  <si>
    <t>IM GBP EMPRESAS V</t>
  </si>
  <si>
    <t>SMESES000065102520139</t>
  </si>
  <si>
    <t>ES0347547004</t>
  </si>
  <si>
    <t>EMPOP 5 A</t>
  </si>
  <si>
    <t>ES0347547012</t>
  </si>
  <si>
    <t>EMPOP 5 B</t>
  </si>
  <si>
    <t>IM GBP EMPRESAS VI</t>
  </si>
  <si>
    <t>SMESES000065102820158</t>
  </si>
  <si>
    <t>ES0305064000</t>
  </si>
  <si>
    <t>EMPOP 6 A</t>
  </si>
  <si>
    <t>ES0305064018</t>
  </si>
  <si>
    <t>EMPOP 6 B</t>
  </si>
  <si>
    <t>IM GBP FTPYME I</t>
  </si>
  <si>
    <t>SMESES000065102120062</t>
  </si>
  <si>
    <t>ES0347844005</t>
  </si>
  <si>
    <t>POPYM 2006-1 A1</t>
  </si>
  <si>
    <t>ES0347844013</t>
  </si>
  <si>
    <t>POPYM 2006-1 A2</t>
  </si>
  <si>
    <t>ES0347844021</t>
  </si>
  <si>
    <t>POPYM 2006-1 A3</t>
  </si>
  <si>
    <t>ES0347844039</t>
  </si>
  <si>
    <t>POPYM 2006-1 A4</t>
  </si>
  <si>
    <t>ES0347844047</t>
  </si>
  <si>
    <t>POPYM 2006-1 A5G</t>
  </si>
  <si>
    <t>ES0347844054</t>
  </si>
  <si>
    <t>POPYM 2006-1 B</t>
  </si>
  <si>
    <t>ES0347844062</t>
  </si>
  <si>
    <t>POPYM 2006-1 C</t>
  </si>
  <si>
    <t>ES0347844070</t>
  </si>
  <si>
    <t>POPYM 2006-1 D</t>
  </si>
  <si>
    <t>ES0347844088</t>
  </si>
  <si>
    <t>POPYM 2006-1 E</t>
  </si>
  <si>
    <t>IM GBP FTPYME II</t>
  </si>
  <si>
    <t>SMESES000065100620071</t>
  </si>
  <si>
    <t>ES0347786008</t>
  </si>
  <si>
    <t>POPYM 2007-2 A1</t>
  </si>
  <si>
    <t>Q3 2007</t>
  </si>
  <si>
    <t>ES0347786016</t>
  </si>
  <si>
    <t>POPYM 2007-2 A2</t>
  </si>
  <si>
    <t>ES0347786024</t>
  </si>
  <si>
    <t>POPYM 2007-2 A3G</t>
  </si>
  <si>
    <t>ES0347786032</t>
  </si>
  <si>
    <t>POPYM 2007-2 B</t>
  </si>
  <si>
    <t>ES0347786040</t>
  </si>
  <si>
    <t>POPYM 2007-2 C</t>
  </si>
  <si>
    <t>ES0347786057</t>
  </si>
  <si>
    <t>POPYM 2007-2 D</t>
  </si>
  <si>
    <t>ES0347786065</t>
  </si>
  <si>
    <t>POPYM 2007-2 E</t>
  </si>
  <si>
    <t>IM GRUPO BANCO POPULAR EMPRESAS VII, FT</t>
  </si>
  <si>
    <t>SMESES000065103420164</t>
  </si>
  <si>
    <t>ES0305218002</t>
  </si>
  <si>
    <t>EMPOP 7 A</t>
  </si>
  <si>
    <t>ES0305218010</t>
  </si>
  <si>
    <t>EMPOP 7 B</t>
  </si>
  <si>
    <t>IM SABADELL PYME 10</t>
  </si>
  <si>
    <t>SMESES000065103320166</t>
  </si>
  <si>
    <t>ES0305154009</t>
  </si>
  <si>
    <t>IMSAP 10 A</t>
  </si>
  <si>
    <t>ES0305154017</t>
  </si>
  <si>
    <t>IMSAP 10 B</t>
  </si>
  <si>
    <t>IM SABADELL PYME 11</t>
  </si>
  <si>
    <t>SMESES000065104120177</t>
  </si>
  <si>
    <t>ES0305309009</t>
  </si>
  <si>
    <t>IMSAP 11 A</t>
  </si>
  <si>
    <t>ES0305309017</t>
  </si>
  <si>
    <t>IMSAP 11 B</t>
  </si>
  <si>
    <t>PYME VALENCIA 1 FTA</t>
  </si>
  <si>
    <t>SMESES000060102920074</t>
  </si>
  <si>
    <t>ES0372241002</t>
  </si>
  <si>
    <t>BVAP 2007-1 A1</t>
  </si>
  <si>
    <t>Banco de Valencia SA</t>
  </si>
  <si>
    <t>ES0372241010</t>
  </si>
  <si>
    <t>BVAP 2007-1 A2</t>
  </si>
  <si>
    <t>ES0372241028</t>
  </si>
  <si>
    <t>BVAP 2007-1 B</t>
  </si>
  <si>
    <t>ES0372241036</t>
  </si>
  <si>
    <t>BVAP 2007-1 C</t>
  </si>
  <si>
    <t>ES0372241044</t>
  </si>
  <si>
    <t>BVAP 2007-1 D</t>
  </si>
  <si>
    <t>ES0372241051</t>
  </si>
  <si>
    <t>BVAP 2007-1 E</t>
  </si>
  <si>
    <t>observation_date</t>
  </si>
  <si>
    <t>Z-score of All European Banks</t>
  </si>
  <si>
    <t>Z-score of European MSME Loan Securitizers</t>
  </si>
  <si>
    <t>Total European MSME loan securitization issuance amount to total assets</t>
  </si>
  <si>
    <t>Total European MSME loan securitization issuance amount to total loans</t>
  </si>
  <si>
    <t>Originator / Ultimate Parent</t>
  </si>
  <si>
    <t>Offering Amount (€mm or $USDmm)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</si>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</sst>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0.000"/>
    <numFmt numFmtId="166" formatCode="mmmm-d-yyyy"/>
    <numFmt numFmtId="167" formatCode="mmm-dd-yyyy"/>
    <numFmt numFmtId="168" formatCode="mmm-d-yyyy"/>
    <numFmt numFmtId="169" formatCode="mmmm-dd-yyyy"/>
    <numFmt numFmtId="170" formatCode="0.00000"/>
    <numFmt numFmtId="171" formatCode="0.0"/>
  </numFmts>
  <fonts count="8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2" numFmtId="164" xfId="0" applyAlignment="1" applyBorder="1" applyFont="1" applyNumberFormat="1">
      <alignment horizontal="right" shrinkToFit="0" vertical="bottom" wrapText="0"/>
    </xf>
    <xf borderId="0" fillId="0" fontId="3" numFmtId="165" xfId="0" applyFont="1" applyNumberFormat="1"/>
    <xf borderId="0" fillId="0" fontId="3" numFmtId="164" xfId="0" applyFont="1" applyNumberForma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3" numFmtId="0" xfId="0" applyFont="1"/>
    <xf borderId="0" fillId="0" fontId="5" numFmtId="15" xfId="0" applyFont="1" applyNumberFormat="1"/>
    <xf borderId="0" fillId="0" fontId="5" numFmtId="4" xfId="0" applyFont="1" applyNumberFormat="1"/>
    <xf borderId="0" fillId="0" fontId="5" numFmtId="164" xfId="0" applyFont="1" applyNumberFormat="1"/>
    <xf borderId="0" fillId="0" fontId="5" numFmtId="165" xfId="0" applyFont="1" applyNumberFormat="1"/>
    <xf borderId="0" fillId="0" fontId="3" numFmtId="166" xfId="0" applyFont="1" applyNumberFormat="1"/>
    <xf borderId="0" fillId="0" fontId="3" numFmtId="3" xfId="0" applyFont="1" applyNumberFormat="1"/>
    <xf borderId="0" fillId="0" fontId="3" numFmtId="1" xfId="0" applyFont="1" applyNumberFormat="1"/>
    <xf borderId="0" fillId="0" fontId="3" numFmtId="167" xfId="0" applyFont="1" applyNumberFormat="1"/>
    <xf borderId="0" fillId="0" fontId="3" numFmtId="168" xfId="0" applyFont="1" applyNumberFormat="1"/>
    <xf borderId="0" fillId="0" fontId="5" numFmtId="0" xfId="0" applyAlignment="1" applyFont="1">
      <alignment horizontal="left"/>
    </xf>
    <xf borderId="0" fillId="0" fontId="3" numFmtId="4" xfId="0" applyFont="1" applyNumberFormat="1"/>
    <xf borderId="0" fillId="2" fontId="5" numFmtId="165" xfId="0" applyAlignment="1" applyFill="1" applyFont="1" applyNumberFormat="1">
      <alignment horizontal="right" shrinkToFit="0" wrapText="0"/>
    </xf>
    <xf borderId="0" fillId="0" fontId="3" numFmtId="169" xfId="0" applyFont="1" applyNumberFormat="1"/>
    <xf borderId="0" fillId="0" fontId="3" numFmtId="170" xfId="0" applyFont="1" applyNumberFormat="1"/>
    <xf borderId="0" fillId="0" fontId="6" numFmtId="165" xfId="0" applyAlignment="1" applyFont="1" applyNumberFormat="1">
      <alignment horizontal="right" shrinkToFit="0" wrapText="0"/>
    </xf>
    <xf borderId="0" fillId="0" fontId="5" numFmtId="0" xfId="0" applyFont="1"/>
    <xf borderId="0" fillId="0" fontId="3" numFmtId="171" xfId="0" applyFont="1" applyNumberFormat="1"/>
    <xf borderId="0" fillId="3" fontId="3" numFmtId="164" xfId="0" applyFill="1" applyFont="1" applyNumberFormat="1"/>
    <xf borderId="0" fillId="0" fontId="3" numFmtId="2" xfId="0" applyFont="1" applyNumberForma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7" numFmtId="164" xfId="0" applyAlignment="1" applyFont="1" applyNumberFormat="1">
      <alignment horizontal="right" shrinkToFit="0" vertical="bottom" wrapText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2" xfId="0" applyFont="1" applyNumberFormat="1"/>
    <xf borderId="0" fillId="0" fontId="2" numFmtId="168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29"/>
    <col customWidth="1" min="3" max="19" width="8.71"/>
  </cols>
  <sheetData>
    <row r="1" ht="14.25" customHeight="1">
      <c r="B1" s="1" t="s">
        <v>0</v>
      </c>
      <c r="C1" s="2"/>
      <c r="D1" s="2"/>
      <c r="E1" s="2"/>
      <c r="F1" s="2"/>
      <c r="G1" s="2"/>
    </row>
    <row r="2" ht="14.25" customHeight="1">
      <c r="B2" s="3" t="s">
        <v>1</v>
      </c>
      <c r="C2" s="2"/>
      <c r="D2" s="2"/>
      <c r="E2" s="2"/>
      <c r="F2" s="2"/>
      <c r="G2" s="2"/>
    </row>
    <row r="3" ht="14.25" customHeight="1">
      <c r="B3" s="4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ht="14.25" customHeight="1">
      <c r="B4" s="1" t="s">
        <v>7</v>
      </c>
      <c r="C4" s="2"/>
      <c r="D4" s="2"/>
      <c r="E4" s="2"/>
      <c r="F4" s="2"/>
      <c r="G4" s="2"/>
    </row>
    <row r="5" ht="14.25" customHeight="1">
      <c r="B5" s="2" t="s">
        <v>8</v>
      </c>
      <c r="C5" s="6">
        <v>146.0</v>
      </c>
      <c r="D5" s="7">
        <v>3.5463</v>
      </c>
      <c r="E5" s="7">
        <v>1.1003</v>
      </c>
      <c r="F5" s="7">
        <v>0.4668</v>
      </c>
      <c r="G5" s="7">
        <v>5.3686</v>
      </c>
    </row>
    <row r="6" ht="14.25" customHeight="1">
      <c r="B6" s="2" t="s">
        <v>9</v>
      </c>
      <c r="C6" s="6">
        <v>146.0</v>
      </c>
      <c r="D6" s="7">
        <v>0.0718</v>
      </c>
      <c r="E6" s="7">
        <v>0.0771</v>
      </c>
      <c r="F6" s="7">
        <v>0.004</v>
      </c>
      <c r="G6" s="7">
        <v>0.352</v>
      </c>
    </row>
    <row r="7" ht="14.25" customHeight="1">
      <c r="B7" s="2"/>
      <c r="C7" s="2"/>
      <c r="D7" s="8"/>
      <c r="E7" s="8"/>
      <c r="F7" s="8"/>
      <c r="G7" s="8"/>
    </row>
    <row r="8" ht="14.25" customHeight="1">
      <c r="B8" s="1" t="s">
        <v>10</v>
      </c>
      <c r="C8" s="2"/>
      <c r="D8" s="8"/>
      <c r="E8" s="8"/>
      <c r="F8" s="8"/>
      <c r="G8" s="8"/>
    </row>
    <row r="9" ht="14.25" customHeight="1">
      <c r="B9" s="2" t="s">
        <v>11</v>
      </c>
      <c r="C9" s="6">
        <v>146.0</v>
      </c>
      <c r="D9" s="7">
        <v>0.0042</v>
      </c>
      <c r="E9" s="7">
        <v>0.0026</v>
      </c>
      <c r="F9" s="7">
        <v>5.0E-4</v>
      </c>
      <c r="G9" s="7">
        <v>0.0105</v>
      </c>
    </row>
    <row r="10" ht="14.25" customHeight="1">
      <c r="B10" s="2" t="s">
        <v>12</v>
      </c>
      <c r="C10" s="6">
        <v>146.0</v>
      </c>
      <c r="D10" s="7">
        <v>0.0092</v>
      </c>
      <c r="E10" s="7">
        <v>0.0118</v>
      </c>
      <c r="F10" s="7">
        <v>7.0E-4</v>
      </c>
      <c r="G10" s="7">
        <v>0.0837</v>
      </c>
    </row>
    <row r="11" ht="14.25" customHeight="1">
      <c r="B11" s="2"/>
      <c r="C11" s="2"/>
      <c r="D11" s="8"/>
      <c r="E11" s="8"/>
      <c r="F11" s="8"/>
      <c r="G11" s="8"/>
    </row>
    <row r="12" ht="14.25" customHeight="1">
      <c r="B12" s="1" t="s">
        <v>13</v>
      </c>
      <c r="C12" s="2"/>
      <c r="D12" s="8"/>
      <c r="E12" s="8"/>
      <c r="F12" s="8"/>
      <c r="G12" s="8"/>
    </row>
    <row r="13" ht="14.25" customHeight="1">
      <c r="B13" s="2" t="s">
        <v>14</v>
      </c>
      <c r="C13" s="6">
        <v>146.0</v>
      </c>
      <c r="D13" s="7">
        <v>0.0585</v>
      </c>
      <c r="E13" s="7">
        <v>0.0205</v>
      </c>
      <c r="F13" s="7">
        <v>0.0303</v>
      </c>
      <c r="G13" s="7">
        <v>0.179</v>
      </c>
    </row>
    <row r="14" ht="14.25" customHeight="1">
      <c r="B14" s="2" t="s">
        <v>15</v>
      </c>
      <c r="C14" s="6">
        <v>146.0</v>
      </c>
      <c r="D14" s="7">
        <v>0.1199</v>
      </c>
      <c r="E14" s="7">
        <v>0.038</v>
      </c>
      <c r="F14" s="7">
        <v>0.0625</v>
      </c>
      <c r="G14" s="7">
        <v>0.2807</v>
      </c>
    </row>
    <row r="15" ht="14.25" customHeight="1">
      <c r="B15" s="2"/>
      <c r="C15" s="2"/>
      <c r="D15" s="8"/>
      <c r="E15" s="8"/>
      <c r="F15" s="8"/>
      <c r="G15" s="8"/>
    </row>
    <row r="16" ht="14.25" customHeight="1">
      <c r="B16" s="1" t="s">
        <v>16</v>
      </c>
      <c r="C16" s="2"/>
      <c r="D16" s="8"/>
      <c r="E16" s="8"/>
      <c r="F16" s="8"/>
      <c r="G16" s="8"/>
    </row>
    <row r="17" ht="14.25" customHeight="1">
      <c r="B17" s="2" t="s">
        <v>17</v>
      </c>
      <c r="C17" s="6">
        <v>146.0</v>
      </c>
      <c r="D17" s="7">
        <v>0.5122</v>
      </c>
      <c r="E17" s="7">
        <v>0.1628</v>
      </c>
      <c r="F17" s="7">
        <v>0.2053</v>
      </c>
      <c r="G17" s="7">
        <v>0.8967</v>
      </c>
    </row>
    <row r="18" ht="14.25" customHeight="1">
      <c r="B18" s="2" t="s">
        <v>18</v>
      </c>
      <c r="C18" s="6">
        <v>146.0</v>
      </c>
      <c r="D18" s="7">
        <v>0.0015</v>
      </c>
      <c r="E18" s="7">
        <v>0.0013</v>
      </c>
      <c r="F18" s="7">
        <v>0.0</v>
      </c>
      <c r="G18" s="7">
        <v>0.006</v>
      </c>
    </row>
    <row r="19" ht="14.25" customHeight="1">
      <c r="B19" s="2"/>
      <c r="C19" s="2"/>
      <c r="D19" s="8"/>
      <c r="E19" s="8"/>
      <c r="F19" s="8"/>
      <c r="G19" s="8"/>
    </row>
    <row r="20" ht="14.25" customHeight="1">
      <c r="B20" s="1" t="s">
        <v>19</v>
      </c>
      <c r="C20" s="2"/>
      <c r="D20" s="8"/>
      <c r="E20" s="8"/>
      <c r="F20" s="8"/>
      <c r="G20" s="8"/>
    </row>
    <row r="21" ht="14.25" customHeight="1">
      <c r="B21" s="2" t="s">
        <v>20</v>
      </c>
      <c r="C21" s="6">
        <v>146.0</v>
      </c>
      <c r="D21" s="7">
        <v>0.0267</v>
      </c>
      <c r="E21" s="7">
        <v>0.0352</v>
      </c>
      <c r="F21" s="7">
        <v>0.0</v>
      </c>
      <c r="G21" s="7">
        <v>0.1856</v>
      </c>
    </row>
    <row r="22" ht="14.25" customHeight="1">
      <c r="B22" s="2" t="s">
        <v>21</v>
      </c>
      <c r="C22" s="6">
        <v>146.0</v>
      </c>
      <c r="D22" s="7">
        <v>0.2365</v>
      </c>
      <c r="E22" s="7">
        <v>0.1151</v>
      </c>
      <c r="F22" s="7">
        <v>0.0133</v>
      </c>
      <c r="G22" s="7">
        <v>0.5395</v>
      </c>
    </row>
    <row r="23" ht="14.25" customHeight="1">
      <c r="B23" s="2"/>
      <c r="C23" s="2"/>
      <c r="D23" s="8"/>
      <c r="E23" s="8"/>
      <c r="F23" s="8"/>
      <c r="G23" s="8"/>
    </row>
    <row r="24" ht="14.25" customHeight="1">
      <c r="B24" s="1" t="s">
        <v>22</v>
      </c>
      <c r="C24" s="2"/>
      <c r="D24" s="8"/>
      <c r="E24" s="8"/>
      <c r="F24" s="8"/>
      <c r="G24" s="8"/>
    </row>
    <row r="25" ht="14.25" customHeight="1">
      <c r="B25" s="2" t="s">
        <v>23</v>
      </c>
      <c r="C25" s="6">
        <v>146.0</v>
      </c>
      <c r="D25" s="7">
        <v>0.023</v>
      </c>
      <c r="E25" s="7">
        <v>0.0319</v>
      </c>
      <c r="F25" s="7">
        <v>8.0E-4</v>
      </c>
      <c r="G25" s="7">
        <v>0.1904</v>
      </c>
    </row>
    <row r="26" ht="14.25" customHeight="1">
      <c r="B26" s="2" t="s">
        <v>24</v>
      </c>
      <c r="C26" s="6">
        <v>146.0</v>
      </c>
      <c r="D26" s="7">
        <v>0.0313</v>
      </c>
      <c r="E26" s="7">
        <v>0.0402</v>
      </c>
      <c r="F26" s="7">
        <v>0.0016</v>
      </c>
      <c r="G26" s="7">
        <v>0.2353</v>
      </c>
    </row>
    <row r="27" ht="14.25" customHeight="1">
      <c r="B27" s="2"/>
      <c r="C27" s="2"/>
      <c r="D27" s="8"/>
      <c r="E27" s="8"/>
      <c r="F27" s="8"/>
      <c r="G27" s="8"/>
    </row>
    <row r="28" ht="14.25" customHeight="1">
      <c r="B28" s="1" t="s">
        <v>25</v>
      </c>
      <c r="C28" s="2"/>
      <c r="D28" s="8"/>
      <c r="E28" s="8"/>
      <c r="F28" s="8"/>
      <c r="G28" s="8"/>
    </row>
    <row r="29" ht="14.25" customHeight="1">
      <c r="B29" s="2" t="s">
        <v>26</v>
      </c>
      <c r="C29" s="6">
        <v>146.0</v>
      </c>
      <c r="D29" s="7">
        <v>11.8083</v>
      </c>
      <c r="E29" s="7">
        <v>1.6408</v>
      </c>
      <c r="F29" s="7">
        <v>8.5574</v>
      </c>
      <c r="G29" s="7">
        <v>14.3222</v>
      </c>
    </row>
    <row r="30" ht="14.25" customHeight="1">
      <c r="B30" s="2" t="s">
        <v>27</v>
      </c>
      <c r="C30" s="6">
        <v>146.0</v>
      </c>
      <c r="D30" s="7">
        <v>0.0754</v>
      </c>
      <c r="E30" s="7">
        <v>0.0848</v>
      </c>
      <c r="F30" s="7">
        <v>0.0</v>
      </c>
      <c r="G30" s="7">
        <v>0.3509</v>
      </c>
    </row>
    <row r="31" ht="14.25" customHeight="1">
      <c r="B31" s="2" t="s">
        <v>28</v>
      </c>
      <c r="C31" s="6">
        <v>146.0</v>
      </c>
      <c r="D31" s="7">
        <v>0.6867</v>
      </c>
      <c r="E31" s="7">
        <v>0.1411</v>
      </c>
      <c r="F31" s="7">
        <v>0.3294</v>
      </c>
      <c r="G31" s="7">
        <v>0.9658</v>
      </c>
    </row>
    <row r="32" ht="14.25" customHeight="1">
      <c r="B32" s="2" t="s">
        <v>29</v>
      </c>
      <c r="C32" s="6">
        <v>146.0</v>
      </c>
      <c r="D32" s="7">
        <v>1.4129</v>
      </c>
      <c r="E32" s="7">
        <v>1.0357</v>
      </c>
      <c r="F32" s="7">
        <v>0.7027</v>
      </c>
      <c r="G32" s="7">
        <v>9.3974</v>
      </c>
    </row>
    <row r="33" ht="14.25" customHeight="1">
      <c r="B33" s="2" t="s">
        <v>30</v>
      </c>
      <c r="C33" s="6">
        <v>146.0</v>
      </c>
      <c r="D33" s="7">
        <v>0.5517</v>
      </c>
      <c r="E33" s="7">
        <v>0.144</v>
      </c>
      <c r="F33" s="7">
        <v>0.1561</v>
      </c>
      <c r="G33" s="7">
        <v>0.8708</v>
      </c>
    </row>
    <row r="34" ht="14.25" customHeight="1">
      <c r="B34" s="2" t="s">
        <v>31</v>
      </c>
      <c r="C34" s="6">
        <v>146.0</v>
      </c>
      <c r="D34" s="7">
        <v>0.0635</v>
      </c>
      <c r="E34" s="7">
        <v>0.016</v>
      </c>
      <c r="F34" s="7">
        <v>0.0321</v>
      </c>
      <c r="G34" s="7">
        <v>0.1078</v>
      </c>
    </row>
    <row r="35" ht="14.25" customHeight="1">
      <c r="B35" s="2" t="s">
        <v>32</v>
      </c>
      <c r="C35" s="6">
        <v>146.0</v>
      </c>
      <c r="D35" s="7">
        <v>0.1241</v>
      </c>
      <c r="E35" s="7">
        <v>0.1449</v>
      </c>
      <c r="F35" s="7">
        <v>0.0012</v>
      </c>
      <c r="G35" s="7">
        <v>0.5629</v>
      </c>
    </row>
    <row r="36" ht="14.25" customHeight="1">
      <c r="B36" s="9" t="s">
        <v>33</v>
      </c>
      <c r="C36" s="10">
        <v>146.0</v>
      </c>
      <c r="D36" s="11">
        <v>-0.0072</v>
      </c>
      <c r="E36" s="11">
        <v>0.0388</v>
      </c>
      <c r="F36" s="11">
        <v>-0.0956</v>
      </c>
      <c r="G36" s="11">
        <v>0.0672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12.57"/>
    <col customWidth="1" min="3" max="3" width="73.57"/>
    <col customWidth="1" min="4" max="4" width="26.0"/>
    <col customWidth="1" min="5" max="5" width="20.14"/>
    <col customWidth="1" min="6" max="6" width="21.29"/>
    <col customWidth="1" min="7" max="7" width="76.0"/>
    <col customWidth="1" min="8" max="9" width="19.0"/>
    <col customWidth="1" min="10" max="10" width="16.86"/>
    <col customWidth="1" min="11" max="11" width="9.43"/>
    <col customWidth="1" min="12" max="12" width="16.29"/>
    <col customWidth="1" min="13" max="13" width="15.71"/>
    <col customWidth="1" min="14" max="14" width="15.29"/>
    <col customWidth="1" min="15" max="15" width="14.0"/>
    <col customWidth="1" min="16" max="16" width="16.14"/>
    <col customWidth="1" min="17" max="17" width="18.0"/>
    <col customWidth="1" min="18" max="19" width="11.29"/>
    <col customWidth="1" min="20" max="20" width="10.29"/>
    <col customWidth="1" min="21" max="21" width="13.29"/>
    <col customWidth="1" min="22" max="22" width="15.29"/>
    <col customWidth="1" min="23" max="23" width="13.71"/>
    <col customWidth="1" min="24" max="24" width="14.29"/>
    <col customWidth="1" min="25" max="25" width="16.14"/>
    <col customWidth="1" min="26" max="26" width="12.14"/>
    <col customWidth="1" min="27" max="28" width="8.71"/>
  </cols>
  <sheetData>
    <row r="1" ht="14.25" customHeight="1">
      <c r="X1" s="12"/>
      <c r="AB1" s="13"/>
    </row>
    <row r="2" ht="28.5" customHeight="1">
      <c r="B2" s="14" t="s">
        <v>34</v>
      </c>
      <c r="C2" s="15" t="s">
        <v>35</v>
      </c>
      <c r="D2" s="14" t="s">
        <v>36</v>
      </c>
      <c r="E2" s="14" t="s">
        <v>37</v>
      </c>
      <c r="F2" s="14" t="s">
        <v>38</v>
      </c>
      <c r="G2" s="15" t="s">
        <v>39</v>
      </c>
      <c r="H2" s="15" t="s">
        <v>40</v>
      </c>
      <c r="I2" s="14" t="s">
        <v>41</v>
      </c>
      <c r="J2" s="15" t="s">
        <v>42</v>
      </c>
      <c r="K2" s="16" t="s">
        <v>7</v>
      </c>
      <c r="M2" s="16" t="s">
        <v>10</v>
      </c>
      <c r="O2" s="16" t="s">
        <v>13</v>
      </c>
      <c r="Q2" s="16" t="s">
        <v>16</v>
      </c>
      <c r="S2" s="16" t="s">
        <v>19</v>
      </c>
      <c r="U2" s="16" t="s">
        <v>25</v>
      </c>
    </row>
    <row r="3" ht="46.5" customHeight="1">
      <c r="K3" s="17" t="s">
        <v>8</v>
      </c>
      <c r="L3" s="17" t="s">
        <v>9</v>
      </c>
      <c r="M3" s="18" t="s">
        <v>11</v>
      </c>
      <c r="N3" s="18" t="s">
        <v>12</v>
      </c>
      <c r="O3" s="18" t="s">
        <v>14</v>
      </c>
      <c r="P3" s="18" t="s">
        <v>15</v>
      </c>
      <c r="Q3" s="18" t="s">
        <v>17</v>
      </c>
      <c r="R3" s="18" t="s">
        <v>18</v>
      </c>
      <c r="S3" s="18" t="s">
        <v>20</v>
      </c>
      <c r="T3" s="18" t="s">
        <v>21</v>
      </c>
      <c r="U3" s="18" t="s">
        <v>26</v>
      </c>
      <c r="V3" s="18" t="s">
        <v>27</v>
      </c>
      <c r="W3" s="18" t="s">
        <v>28</v>
      </c>
      <c r="X3" s="19" t="s">
        <v>29</v>
      </c>
      <c r="Y3" s="18" t="s">
        <v>30</v>
      </c>
      <c r="Z3" s="18" t="s">
        <v>31</v>
      </c>
      <c r="AA3" s="18" t="s">
        <v>32</v>
      </c>
      <c r="AB3" s="20" t="s">
        <v>33</v>
      </c>
    </row>
    <row r="4" ht="14.25" customHeight="1">
      <c r="B4" s="21" t="s">
        <v>43</v>
      </c>
      <c r="C4" s="21" t="s">
        <v>44</v>
      </c>
      <c r="D4" s="21" t="s">
        <v>45</v>
      </c>
      <c r="E4" s="21" t="s">
        <v>46</v>
      </c>
      <c r="F4" s="21" t="s">
        <v>47</v>
      </c>
      <c r="G4" s="21" t="s">
        <v>48</v>
      </c>
      <c r="H4" s="22">
        <v>41135.0</v>
      </c>
      <c r="I4" s="23">
        <v>2286.5</v>
      </c>
      <c r="J4" s="21" t="s">
        <v>49</v>
      </c>
      <c r="K4" s="21">
        <f t="shared" ref="K4:K6" si="1">(0.005+0.061)/0.0006</f>
        <v>110</v>
      </c>
      <c r="L4" s="24">
        <f t="shared" ref="L4:L6" si="2">0.019</f>
        <v>0.019</v>
      </c>
      <c r="M4" s="24">
        <f t="shared" ref="M4:M6" si="3">3801.325/157309.5</f>
        <v>0.02416462451</v>
      </c>
      <c r="N4" s="24">
        <f t="shared" ref="N4:N6" si="4">3801.325/99038.4</f>
        <v>0.03838233453</v>
      </c>
      <c r="O4" s="24">
        <f t="shared" ref="O4:O6" si="5">10632.1/168190.3</f>
        <v>0.06321470382</v>
      </c>
      <c r="P4" s="21">
        <v>0.226</v>
      </c>
      <c r="Q4" s="24">
        <f t="shared" ref="Q4:Q6" si="6">(10673.2/0.23)/168190.3</f>
        <v>0.2759089995</v>
      </c>
      <c r="R4" s="24">
        <f t="shared" ref="R4:R6" si="7">36.45/93836.39</f>
        <v>0.0003884420532</v>
      </c>
      <c r="S4" s="24">
        <f t="shared" ref="S4:S6" si="8">1063/168190.3</f>
        <v>0.006320221796</v>
      </c>
      <c r="T4" s="24">
        <f t="shared" ref="T4:T6" si="9">4961.4/168190.3</f>
        <v>0.02949872852</v>
      </c>
      <c r="U4" s="24">
        <f t="shared" ref="U4:U6" si="10">LN(169149.1)</f>
        <v>12.03853585</v>
      </c>
      <c r="V4" s="24">
        <f t="shared" ref="V4:V6" si="11">45358.7/169149.1</f>
        <v>0.2681580925</v>
      </c>
      <c r="W4" s="24">
        <f t="shared" ref="W4:W6" si="12">93836.4/169149.1</f>
        <v>0.5547555382</v>
      </c>
      <c r="X4" s="12">
        <v>0.906</v>
      </c>
      <c r="Y4" s="24">
        <f t="shared" ref="Y4:Y6" si="13">99038.4/169149.1</f>
        <v>0.5855094706</v>
      </c>
      <c r="Z4" s="24">
        <f t="shared" ref="Z4:Z6" si="14">10880.8/169149.1</f>
        <v>0.06432667983</v>
      </c>
      <c r="AA4" s="24">
        <f t="shared" ref="AA4:AA6" si="15">169149.1/1050000</f>
        <v>0.161094381</v>
      </c>
      <c r="AB4" s="24">
        <v>0.0074</v>
      </c>
    </row>
    <row r="5" ht="14.25" customHeight="1">
      <c r="B5" s="21" t="s">
        <v>43</v>
      </c>
      <c r="C5" s="21" t="s">
        <v>44</v>
      </c>
      <c r="D5" s="21" t="s">
        <v>45</v>
      </c>
      <c r="E5" s="21" t="s">
        <v>50</v>
      </c>
      <c r="F5" s="21" t="s">
        <v>51</v>
      </c>
      <c r="G5" s="21" t="s">
        <v>48</v>
      </c>
      <c r="H5" s="22">
        <v>41135.0</v>
      </c>
      <c r="I5" s="23">
        <v>2489.5</v>
      </c>
      <c r="J5" s="21" t="s">
        <v>49</v>
      </c>
      <c r="K5" s="21">
        <f t="shared" si="1"/>
        <v>110</v>
      </c>
      <c r="L5" s="24">
        <f t="shared" si="2"/>
        <v>0.019</v>
      </c>
      <c r="M5" s="24">
        <f t="shared" si="3"/>
        <v>0.02416462451</v>
      </c>
      <c r="N5" s="24">
        <f t="shared" si="4"/>
        <v>0.03838233453</v>
      </c>
      <c r="O5" s="24">
        <f t="shared" si="5"/>
        <v>0.06321470382</v>
      </c>
      <c r="P5" s="21">
        <v>0.226</v>
      </c>
      <c r="Q5" s="24">
        <f t="shared" si="6"/>
        <v>0.2759089995</v>
      </c>
      <c r="R5" s="24">
        <f t="shared" si="7"/>
        <v>0.0003884420532</v>
      </c>
      <c r="S5" s="24">
        <f t="shared" si="8"/>
        <v>0.006320221796</v>
      </c>
      <c r="T5" s="24">
        <f t="shared" si="9"/>
        <v>0.02949872852</v>
      </c>
      <c r="U5" s="24">
        <f t="shared" si="10"/>
        <v>12.03853585</v>
      </c>
      <c r="V5" s="24">
        <f t="shared" si="11"/>
        <v>0.2681580925</v>
      </c>
      <c r="W5" s="24">
        <f t="shared" si="12"/>
        <v>0.5547555382</v>
      </c>
      <c r="X5" s="12">
        <v>0.906</v>
      </c>
      <c r="Y5" s="24">
        <f t="shared" si="13"/>
        <v>0.5855094706</v>
      </c>
      <c r="Z5" s="24">
        <f t="shared" si="14"/>
        <v>0.06432667983</v>
      </c>
      <c r="AA5" s="24">
        <f t="shared" si="15"/>
        <v>0.161094381</v>
      </c>
      <c r="AB5" s="24">
        <v>0.0074</v>
      </c>
    </row>
    <row r="6" ht="14.25" customHeight="1">
      <c r="B6" s="21" t="s">
        <v>43</v>
      </c>
      <c r="C6" s="21" t="s">
        <v>44</v>
      </c>
      <c r="D6" s="21" t="s">
        <v>45</v>
      </c>
      <c r="E6" s="21" t="s">
        <v>52</v>
      </c>
      <c r="F6" s="21" t="s">
        <v>53</v>
      </c>
      <c r="G6" s="21" t="s">
        <v>48</v>
      </c>
      <c r="H6" s="22">
        <v>41135.0</v>
      </c>
      <c r="I6" s="23">
        <v>1811.5</v>
      </c>
      <c r="J6" s="21" t="s">
        <v>49</v>
      </c>
      <c r="K6" s="21">
        <f t="shared" si="1"/>
        <v>110</v>
      </c>
      <c r="L6" s="24">
        <f t="shared" si="2"/>
        <v>0.019</v>
      </c>
      <c r="M6" s="24">
        <f t="shared" si="3"/>
        <v>0.02416462451</v>
      </c>
      <c r="N6" s="24">
        <f t="shared" si="4"/>
        <v>0.03838233453</v>
      </c>
      <c r="O6" s="24">
        <f t="shared" si="5"/>
        <v>0.06321470382</v>
      </c>
      <c r="P6" s="21">
        <v>0.226</v>
      </c>
      <c r="Q6" s="24">
        <f t="shared" si="6"/>
        <v>0.2759089995</v>
      </c>
      <c r="R6" s="24">
        <f t="shared" si="7"/>
        <v>0.0003884420532</v>
      </c>
      <c r="S6" s="24">
        <f t="shared" si="8"/>
        <v>0.006320221796</v>
      </c>
      <c r="T6" s="24">
        <f t="shared" si="9"/>
        <v>0.02949872852</v>
      </c>
      <c r="U6" s="24">
        <f t="shared" si="10"/>
        <v>12.03853585</v>
      </c>
      <c r="V6" s="24">
        <f t="shared" si="11"/>
        <v>0.2681580925</v>
      </c>
      <c r="W6" s="24">
        <f t="shared" si="12"/>
        <v>0.5547555382</v>
      </c>
      <c r="X6" s="12">
        <v>0.906</v>
      </c>
      <c r="Y6" s="24">
        <f t="shared" si="13"/>
        <v>0.5855094706</v>
      </c>
      <c r="Z6" s="24">
        <f t="shared" si="14"/>
        <v>0.06432667983</v>
      </c>
      <c r="AA6" s="24">
        <f t="shared" si="15"/>
        <v>0.161094381</v>
      </c>
      <c r="AB6" s="24">
        <v>0.0074</v>
      </c>
    </row>
    <row r="7" ht="14.25" customHeight="1">
      <c r="B7" s="21" t="s">
        <v>43</v>
      </c>
      <c r="C7" s="21" t="s">
        <v>54</v>
      </c>
      <c r="D7" s="21" t="s">
        <v>55</v>
      </c>
      <c r="E7" s="21" t="s">
        <v>56</v>
      </c>
      <c r="F7" s="21" t="s">
        <v>57</v>
      </c>
      <c r="G7" s="21" t="s">
        <v>48</v>
      </c>
      <c r="H7" s="22">
        <v>43446.0</v>
      </c>
      <c r="I7" s="23">
        <v>2000.0</v>
      </c>
      <c r="J7" s="21" t="s">
        <v>58</v>
      </c>
      <c r="K7" s="21">
        <f t="shared" ref="K7:K9" si="16">(0.005+0.068)/0.0005</f>
        <v>146</v>
      </c>
      <c r="L7" s="21">
        <v>0.027</v>
      </c>
      <c r="M7" s="24">
        <f t="shared" ref="M7:M9" si="17">413.175/144144.6</f>
        <v>0.002866392498</v>
      </c>
      <c r="N7" s="24">
        <f t="shared" ref="N7:N9" si="18">413.175/120455.1</f>
        <v>0.003430116284</v>
      </c>
      <c r="O7" s="24">
        <f t="shared" ref="O7:O9" si="19">10246/154360</f>
        <v>0.06637729982</v>
      </c>
      <c r="P7" s="25">
        <f t="shared" ref="P7:P9" si="20">0.16</f>
        <v>0.16</v>
      </c>
      <c r="Q7" s="24">
        <f t="shared" ref="Q7:Q9" si="21">(11586/0.16)/154360.2</f>
        <v>0.4691138001</v>
      </c>
      <c r="R7" s="24">
        <f t="shared" ref="R7:R9" si="22">152.6/154360.2</f>
        <v>0.0009885968015</v>
      </c>
      <c r="S7" s="24">
        <f t="shared" ref="S7:S9" si="23">544/154360.2</f>
        <v>0.003524224509</v>
      </c>
      <c r="T7" s="24">
        <f t="shared" ref="T7:T9" si="24">21253.3/154360.2</f>
        <v>0.1376863984</v>
      </c>
      <c r="U7" s="24">
        <f t="shared" ref="U7:U9" si="25">LN(151817.8)</f>
        <v>11.9304364</v>
      </c>
      <c r="V7" s="24">
        <f t="shared" ref="V7:V9" si="26">7962/151817.8</f>
        <v>0.05244444327</v>
      </c>
      <c r="W7" s="24">
        <f t="shared" ref="W7:W9" si="27">120470/151817.8</f>
        <v>0.7935169657</v>
      </c>
      <c r="X7" s="12">
        <v>1.001</v>
      </c>
      <c r="Y7" s="24">
        <f t="shared" ref="Y7:Y9" si="28">120455.1/151817.8</f>
        <v>0.7934188218</v>
      </c>
      <c r="Z7" s="24">
        <f t="shared" ref="Z7:Z9" si="29">10215.6/151817.8</f>
        <v>0.06728855246</v>
      </c>
      <c r="AA7" s="24">
        <f t="shared" ref="AA7:AA9" si="30">151817.8/1189555</f>
        <v>0.1276257088</v>
      </c>
      <c r="AB7" s="13">
        <v>0.018</v>
      </c>
    </row>
    <row r="8" ht="14.25" customHeight="1">
      <c r="B8" s="21" t="s">
        <v>43</v>
      </c>
      <c r="C8" s="21" t="s">
        <v>54</v>
      </c>
      <c r="D8" s="21" t="s">
        <v>55</v>
      </c>
      <c r="E8" s="21" t="s">
        <v>59</v>
      </c>
      <c r="F8" s="21" t="s">
        <v>60</v>
      </c>
      <c r="G8" s="21" t="s">
        <v>48</v>
      </c>
      <c r="H8" s="22">
        <v>43446.0</v>
      </c>
      <c r="I8" s="23">
        <v>4833.75</v>
      </c>
      <c r="J8" s="21" t="s">
        <v>58</v>
      </c>
      <c r="K8" s="21">
        <f t="shared" si="16"/>
        <v>146</v>
      </c>
      <c r="L8" s="21">
        <v>0.027</v>
      </c>
      <c r="M8" s="24">
        <f t="shared" si="17"/>
        <v>0.002866392498</v>
      </c>
      <c r="N8" s="24">
        <f t="shared" si="18"/>
        <v>0.003430116284</v>
      </c>
      <c r="O8" s="24">
        <f t="shared" si="19"/>
        <v>0.06637729982</v>
      </c>
      <c r="P8" s="25">
        <f t="shared" si="20"/>
        <v>0.16</v>
      </c>
      <c r="Q8" s="24">
        <f t="shared" si="21"/>
        <v>0.4691138001</v>
      </c>
      <c r="R8" s="24">
        <f t="shared" si="22"/>
        <v>0.0009885968015</v>
      </c>
      <c r="S8" s="24">
        <f t="shared" si="23"/>
        <v>0.003524224509</v>
      </c>
      <c r="T8" s="24">
        <f t="shared" si="24"/>
        <v>0.1376863984</v>
      </c>
      <c r="U8" s="24">
        <f t="shared" si="25"/>
        <v>11.9304364</v>
      </c>
      <c r="V8" s="24">
        <f t="shared" si="26"/>
        <v>0.05244444327</v>
      </c>
      <c r="W8" s="24">
        <f t="shared" si="27"/>
        <v>0.7935169657</v>
      </c>
      <c r="X8" s="12">
        <v>1.001</v>
      </c>
      <c r="Y8" s="24">
        <f t="shared" si="28"/>
        <v>0.7934188218</v>
      </c>
      <c r="Z8" s="24">
        <f t="shared" si="29"/>
        <v>0.06728855246</v>
      </c>
      <c r="AA8" s="24">
        <f t="shared" si="30"/>
        <v>0.1276257088</v>
      </c>
      <c r="AB8" s="13">
        <v>0.018</v>
      </c>
    </row>
    <row r="9" ht="14.25" customHeight="1">
      <c r="B9" s="21" t="s">
        <v>43</v>
      </c>
      <c r="C9" s="21" t="s">
        <v>54</v>
      </c>
      <c r="D9" s="21" t="s">
        <v>55</v>
      </c>
      <c r="E9" s="21" t="s">
        <v>61</v>
      </c>
      <c r="F9" s="21" t="s">
        <v>62</v>
      </c>
      <c r="G9" s="21" t="s">
        <v>48</v>
      </c>
      <c r="H9" s="22">
        <v>43446.0</v>
      </c>
      <c r="I9" s="23">
        <v>2463.75</v>
      </c>
      <c r="J9" s="21" t="s">
        <v>58</v>
      </c>
      <c r="K9" s="21">
        <f t="shared" si="16"/>
        <v>146</v>
      </c>
      <c r="L9" s="21">
        <v>0.027</v>
      </c>
      <c r="M9" s="24">
        <f t="shared" si="17"/>
        <v>0.002866392498</v>
      </c>
      <c r="N9" s="24">
        <f t="shared" si="18"/>
        <v>0.003430116284</v>
      </c>
      <c r="O9" s="24">
        <f t="shared" si="19"/>
        <v>0.06637729982</v>
      </c>
      <c r="P9" s="25">
        <f t="shared" si="20"/>
        <v>0.16</v>
      </c>
      <c r="Q9" s="24">
        <f t="shared" si="21"/>
        <v>0.4691138001</v>
      </c>
      <c r="R9" s="24">
        <f t="shared" si="22"/>
        <v>0.0009885968015</v>
      </c>
      <c r="S9" s="24">
        <f t="shared" si="23"/>
        <v>0.003524224509</v>
      </c>
      <c r="T9" s="24">
        <f t="shared" si="24"/>
        <v>0.1376863984</v>
      </c>
      <c r="U9" s="24">
        <f t="shared" si="25"/>
        <v>11.9304364</v>
      </c>
      <c r="V9" s="24">
        <f t="shared" si="26"/>
        <v>0.05244444327</v>
      </c>
      <c r="W9" s="24">
        <f t="shared" si="27"/>
        <v>0.7935169657</v>
      </c>
      <c r="X9" s="12">
        <v>1.001</v>
      </c>
      <c r="Y9" s="24">
        <f t="shared" si="28"/>
        <v>0.7934188218</v>
      </c>
      <c r="Z9" s="24">
        <f t="shared" si="29"/>
        <v>0.06728855246</v>
      </c>
      <c r="AA9" s="24">
        <f t="shared" si="30"/>
        <v>0.1276257088</v>
      </c>
      <c r="AB9" s="13">
        <v>0.018</v>
      </c>
    </row>
    <row r="10" ht="14.25" customHeight="1">
      <c r="B10" s="21" t="s">
        <v>43</v>
      </c>
      <c r="C10" s="21" t="s">
        <v>63</v>
      </c>
      <c r="D10" s="21" t="s">
        <v>64</v>
      </c>
      <c r="E10" s="21" t="s">
        <v>65</v>
      </c>
      <c r="F10" s="21" t="s">
        <v>66</v>
      </c>
      <c r="G10" s="21" t="s">
        <v>67</v>
      </c>
      <c r="H10" s="22">
        <v>40149.0</v>
      </c>
      <c r="I10" s="23">
        <v>6040.0</v>
      </c>
      <c r="J10" s="21" t="s">
        <v>68</v>
      </c>
      <c r="K10" s="25">
        <f t="shared" ref="K10:K16" si="31">(0.002+0.044)/0.000577</f>
        <v>79.72270364</v>
      </c>
      <c r="L10" s="21">
        <v>0.06</v>
      </c>
      <c r="M10" s="24">
        <f t="shared" ref="M10:M16" si="32">1114.5/401847</f>
        <v>0.002773443624</v>
      </c>
      <c r="N10" s="24">
        <f t="shared" ref="N10:N16" si="33">1114.5/162442</f>
        <v>0.006860910356</v>
      </c>
      <c r="O10" s="13">
        <f t="shared" ref="O10:O16" si="34">19473/420379</f>
        <v>0.04632248519</v>
      </c>
      <c r="P10" s="21">
        <v>0.148</v>
      </c>
      <c r="Q10" s="13">
        <f t="shared" ref="Q10:Q16" si="35">131574/420379</f>
        <v>0.3129889933</v>
      </c>
      <c r="R10" s="13">
        <v>2.0E-4</v>
      </c>
      <c r="S10" s="24">
        <f t="shared" ref="S10:S16" si="36">21018/420379</f>
        <v>0.04999774013</v>
      </c>
      <c r="T10" s="24">
        <f t="shared" ref="T10:T16" si="37">101297/420379</f>
        <v>0.2409658903</v>
      </c>
      <c r="U10" s="24">
        <f t="shared" ref="U10:U16" si="38">LN(428285)</f>
        <v>12.96754414</v>
      </c>
      <c r="V10" s="24">
        <f t="shared" ref="V10:V16" si="39">72365/428285</f>
        <v>0.1689645913</v>
      </c>
      <c r="W10" s="24">
        <f t="shared" ref="W10:W16" si="40">152397/428285</f>
        <v>0.3558308136</v>
      </c>
      <c r="X10" s="12">
        <v>1.251</v>
      </c>
      <c r="Y10" s="24">
        <f t="shared" ref="Y10:Y16" si="41">162442/428285</f>
        <v>0.379284822</v>
      </c>
      <c r="Z10" s="24">
        <f t="shared" ref="Z10:Z16" si="42">18532/428285</f>
        <v>0.04327025229</v>
      </c>
      <c r="AA10" s="13">
        <f t="shared" ref="AA10:AA16" si="43">428285/1000000</f>
        <v>0.428285</v>
      </c>
      <c r="AB10" s="24">
        <v>0.0072</v>
      </c>
    </row>
    <row r="11" ht="14.25" customHeight="1">
      <c r="B11" s="21" t="s">
        <v>43</v>
      </c>
      <c r="C11" s="21" t="s">
        <v>63</v>
      </c>
      <c r="D11" s="21" t="s">
        <v>64</v>
      </c>
      <c r="E11" s="21" t="s">
        <v>69</v>
      </c>
      <c r="F11" s="21" t="s">
        <v>70</v>
      </c>
      <c r="G11" s="21" t="s">
        <v>67</v>
      </c>
      <c r="H11" s="22">
        <v>40149.0</v>
      </c>
      <c r="I11" s="23">
        <v>1750.0</v>
      </c>
      <c r="J11" s="21" t="s">
        <v>68</v>
      </c>
      <c r="K11" s="25">
        <f t="shared" si="31"/>
        <v>79.72270364</v>
      </c>
      <c r="L11" s="21">
        <v>0.06</v>
      </c>
      <c r="M11" s="24">
        <f t="shared" si="32"/>
        <v>0.002773443624</v>
      </c>
      <c r="N11" s="24">
        <f t="shared" si="33"/>
        <v>0.006860910356</v>
      </c>
      <c r="O11" s="13">
        <f t="shared" si="34"/>
        <v>0.04632248519</v>
      </c>
      <c r="P11" s="21">
        <v>0.148</v>
      </c>
      <c r="Q11" s="13">
        <f t="shared" si="35"/>
        <v>0.3129889933</v>
      </c>
      <c r="R11" s="13">
        <v>2.0E-4</v>
      </c>
      <c r="S11" s="24">
        <f t="shared" si="36"/>
        <v>0.04999774013</v>
      </c>
      <c r="T11" s="24">
        <f t="shared" si="37"/>
        <v>0.2409658903</v>
      </c>
      <c r="U11" s="24">
        <f t="shared" si="38"/>
        <v>12.96754414</v>
      </c>
      <c r="V11" s="24">
        <f t="shared" si="39"/>
        <v>0.1689645913</v>
      </c>
      <c r="W11" s="24">
        <f t="shared" si="40"/>
        <v>0.3558308136</v>
      </c>
      <c r="X11" s="12">
        <v>1.251</v>
      </c>
      <c r="Y11" s="24">
        <f t="shared" si="41"/>
        <v>0.379284822</v>
      </c>
      <c r="Z11" s="24">
        <f t="shared" si="42"/>
        <v>0.04327025229</v>
      </c>
      <c r="AA11" s="13">
        <f t="shared" si="43"/>
        <v>0.428285</v>
      </c>
      <c r="AB11" s="24">
        <v>0.0072</v>
      </c>
    </row>
    <row r="12" ht="14.25" customHeight="1">
      <c r="B12" s="21" t="s">
        <v>43</v>
      </c>
      <c r="C12" s="21" t="s">
        <v>63</v>
      </c>
      <c r="D12" s="21" t="s">
        <v>64</v>
      </c>
      <c r="E12" s="21" t="s">
        <v>71</v>
      </c>
      <c r="F12" s="21" t="s">
        <v>72</v>
      </c>
      <c r="G12" s="21" t="s">
        <v>67</v>
      </c>
      <c r="H12" s="22">
        <v>40149.0</v>
      </c>
      <c r="I12" s="23">
        <v>320.0</v>
      </c>
      <c r="J12" s="21" t="s">
        <v>68</v>
      </c>
      <c r="K12" s="25">
        <f t="shared" si="31"/>
        <v>79.72270364</v>
      </c>
      <c r="L12" s="21">
        <v>0.06</v>
      </c>
      <c r="M12" s="24">
        <f t="shared" si="32"/>
        <v>0.002773443624</v>
      </c>
      <c r="N12" s="24">
        <f t="shared" si="33"/>
        <v>0.006860910356</v>
      </c>
      <c r="O12" s="13">
        <f t="shared" si="34"/>
        <v>0.04632248519</v>
      </c>
      <c r="P12" s="21">
        <v>0.148</v>
      </c>
      <c r="Q12" s="13">
        <f t="shared" si="35"/>
        <v>0.3129889933</v>
      </c>
      <c r="R12" s="13">
        <v>2.0E-4</v>
      </c>
      <c r="S12" s="24">
        <f t="shared" si="36"/>
        <v>0.04999774013</v>
      </c>
      <c r="T12" s="24">
        <f t="shared" si="37"/>
        <v>0.2409658903</v>
      </c>
      <c r="U12" s="24">
        <f t="shared" si="38"/>
        <v>12.96754414</v>
      </c>
      <c r="V12" s="24">
        <f t="shared" si="39"/>
        <v>0.1689645913</v>
      </c>
      <c r="W12" s="24">
        <f t="shared" si="40"/>
        <v>0.3558308136</v>
      </c>
      <c r="X12" s="12">
        <v>1.251</v>
      </c>
      <c r="Y12" s="24">
        <f t="shared" si="41"/>
        <v>0.379284822</v>
      </c>
      <c r="Z12" s="24">
        <f t="shared" si="42"/>
        <v>0.04327025229</v>
      </c>
      <c r="AA12" s="13">
        <f t="shared" si="43"/>
        <v>0.428285</v>
      </c>
      <c r="AB12" s="24">
        <v>0.0072</v>
      </c>
    </row>
    <row r="13" ht="14.25" customHeight="1">
      <c r="B13" s="21" t="s">
        <v>43</v>
      </c>
      <c r="C13" s="21" t="s">
        <v>63</v>
      </c>
      <c r="D13" s="21" t="s">
        <v>64</v>
      </c>
      <c r="E13" s="21" t="s">
        <v>73</v>
      </c>
      <c r="F13" s="21" t="s">
        <v>74</v>
      </c>
      <c r="G13" s="21" t="s">
        <v>67</v>
      </c>
      <c r="H13" s="22">
        <v>40149.0</v>
      </c>
      <c r="I13" s="23">
        <v>240.0</v>
      </c>
      <c r="J13" s="21" t="s">
        <v>68</v>
      </c>
      <c r="K13" s="25">
        <f t="shared" si="31"/>
        <v>79.72270364</v>
      </c>
      <c r="L13" s="21">
        <v>0.06</v>
      </c>
      <c r="M13" s="24">
        <f t="shared" si="32"/>
        <v>0.002773443624</v>
      </c>
      <c r="N13" s="24">
        <f t="shared" si="33"/>
        <v>0.006860910356</v>
      </c>
      <c r="O13" s="13">
        <f t="shared" si="34"/>
        <v>0.04632248519</v>
      </c>
      <c r="P13" s="21">
        <v>0.148</v>
      </c>
      <c r="Q13" s="13">
        <f t="shared" si="35"/>
        <v>0.3129889933</v>
      </c>
      <c r="R13" s="13">
        <v>2.0E-4</v>
      </c>
      <c r="S13" s="24">
        <f t="shared" si="36"/>
        <v>0.04999774013</v>
      </c>
      <c r="T13" s="24">
        <f t="shared" si="37"/>
        <v>0.2409658903</v>
      </c>
      <c r="U13" s="24">
        <f t="shared" si="38"/>
        <v>12.96754414</v>
      </c>
      <c r="V13" s="24">
        <f t="shared" si="39"/>
        <v>0.1689645913</v>
      </c>
      <c r="W13" s="24">
        <f t="shared" si="40"/>
        <v>0.3558308136</v>
      </c>
      <c r="X13" s="12">
        <v>1.251</v>
      </c>
      <c r="Y13" s="24">
        <f t="shared" si="41"/>
        <v>0.379284822</v>
      </c>
      <c r="Z13" s="24">
        <f t="shared" si="42"/>
        <v>0.04327025229</v>
      </c>
      <c r="AA13" s="13">
        <f t="shared" si="43"/>
        <v>0.428285</v>
      </c>
      <c r="AB13" s="24">
        <v>0.0072</v>
      </c>
    </row>
    <row r="14" ht="14.25" customHeight="1">
      <c r="B14" s="21" t="s">
        <v>43</v>
      </c>
      <c r="C14" s="21" t="s">
        <v>63</v>
      </c>
      <c r="D14" s="21" t="s">
        <v>64</v>
      </c>
      <c r="E14" s="21" t="s">
        <v>75</v>
      </c>
      <c r="F14" s="21" t="s">
        <v>76</v>
      </c>
      <c r="G14" s="21" t="s">
        <v>67</v>
      </c>
      <c r="H14" s="22">
        <v>40149.0</v>
      </c>
      <c r="I14" s="23">
        <v>96.0</v>
      </c>
      <c r="J14" s="21" t="s">
        <v>68</v>
      </c>
      <c r="K14" s="25">
        <f t="shared" si="31"/>
        <v>79.72270364</v>
      </c>
      <c r="L14" s="21">
        <v>0.06</v>
      </c>
      <c r="M14" s="24">
        <f t="shared" si="32"/>
        <v>0.002773443624</v>
      </c>
      <c r="N14" s="24">
        <f t="shared" si="33"/>
        <v>0.006860910356</v>
      </c>
      <c r="O14" s="13">
        <f t="shared" si="34"/>
        <v>0.04632248519</v>
      </c>
      <c r="P14" s="21">
        <v>0.148</v>
      </c>
      <c r="Q14" s="13">
        <f t="shared" si="35"/>
        <v>0.3129889933</v>
      </c>
      <c r="R14" s="13">
        <v>2.0E-4</v>
      </c>
      <c r="S14" s="24">
        <f t="shared" si="36"/>
        <v>0.04999774013</v>
      </c>
      <c r="T14" s="24">
        <f t="shared" si="37"/>
        <v>0.2409658903</v>
      </c>
      <c r="U14" s="24">
        <f t="shared" si="38"/>
        <v>12.96754414</v>
      </c>
      <c r="V14" s="24">
        <f t="shared" si="39"/>
        <v>0.1689645913</v>
      </c>
      <c r="W14" s="24">
        <f t="shared" si="40"/>
        <v>0.3558308136</v>
      </c>
      <c r="X14" s="12">
        <v>1.251</v>
      </c>
      <c r="Y14" s="24">
        <f t="shared" si="41"/>
        <v>0.379284822</v>
      </c>
      <c r="Z14" s="24">
        <f t="shared" si="42"/>
        <v>0.04327025229</v>
      </c>
      <c r="AA14" s="13">
        <f t="shared" si="43"/>
        <v>0.428285</v>
      </c>
      <c r="AB14" s="24">
        <v>0.0072</v>
      </c>
    </row>
    <row r="15" ht="14.25" customHeight="1">
      <c r="B15" s="21" t="s">
        <v>43</v>
      </c>
      <c r="C15" s="21" t="s">
        <v>63</v>
      </c>
      <c r="D15" s="21" t="s">
        <v>64</v>
      </c>
      <c r="E15" s="21" t="s">
        <v>77</v>
      </c>
      <c r="F15" s="21" t="s">
        <v>78</v>
      </c>
      <c r="G15" s="21" t="s">
        <v>67</v>
      </c>
      <c r="H15" s="22">
        <v>40149.0</v>
      </c>
      <c r="I15" s="23">
        <v>96.0</v>
      </c>
      <c r="J15" s="21" t="s">
        <v>68</v>
      </c>
      <c r="K15" s="25">
        <f t="shared" si="31"/>
        <v>79.72270364</v>
      </c>
      <c r="L15" s="21">
        <v>0.06</v>
      </c>
      <c r="M15" s="24">
        <f t="shared" si="32"/>
        <v>0.002773443624</v>
      </c>
      <c r="N15" s="24">
        <f t="shared" si="33"/>
        <v>0.006860910356</v>
      </c>
      <c r="O15" s="13">
        <f t="shared" si="34"/>
        <v>0.04632248519</v>
      </c>
      <c r="P15" s="21">
        <v>0.148</v>
      </c>
      <c r="Q15" s="13">
        <f t="shared" si="35"/>
        <v>0.3129889933</v>
      </c>
      <c r="R15" s="13">
        <v>2.0E-4</v>
      </c>
      <c r="S15" s="24">
        <f t="shared" si="36"/>
        <v>0.04999774013</v>
      </c>
      <c r="T15" s="24">
        <f t="shared" si="37"/>
        <v>0.2409658903</v>
      </c>
      <c r="U15" s="24">
        <f t="shared" si="38"/>
        <v>12.96754414</v>
      </c>
      <c r="V15" s="24">
        <f t="shared" si="39"/>
        <v>0.1689645913</v>
      </c>
      <c r="W15" s="24">
        <f t="shared" si="40"/>
        <v>0.3558308136</v>
      </c>
      <c r="X15" s="12">
        <v>1.251</v>
      </c>
      <c r="Y15" s="24">
        <f t="shared" si="41"/>
        <v>0.379284822</v>
      </c>
      <c r="Z15" s="24">
        <f t="shared" si="42"/>
        <v>0.04327025229</v>
      </c>
      <c r="AA15" s="13">
        <f t="shared" si="43"/>
        <v>0.428285</v>
      </c>
      <c r="AB15" s="24">
        <v>0.0072</v>
      </c>
    </row>
    <row r="16" ht="14.25" customHeight="1">
      <c r="B16" s="21" t="s">
        <v>43</v>
      </c>
      <c r="C16" s="21" t="s">
        <v>63</v>
      </c>
      <c r="D16" s="21" t="s">
        <v>64</v>
      </c>
      <c r="E16" s="21" t="s">
        <v>79</v>
      </c>
      <c r="F16" s="21" t="s">
        <v>80</v>
      </c>
      <c r="G16" s="21" t="s">
        <v>67</v>
      </c>
      <c r="H16" s="22">
        <v>40149.0</v>
      </c>
      <c r="I16" s="23">
        <v>88.0</v>
      </c>
      <c r="J16" s="21" t="s">
        <v>68</v>
      </c>
      <c r="K16" s="25">
        <f t="shared" si="31"/>
        <v>79.72270364</v>
      </c>
      <c r="L16" s="21">
        <v>0.06</v>
      </c>
      <c r="M16" s="24">
        <f t="shared" si="32"/>
        <v>0.002773443624</v>
      </c>
      <c r="N16" s="24">
        <f t="shared" si="33"/>
        <v>0.006860910356</v>
      </c>
      <c r="O16" s="13">
        <f t="shared" si="34"/>
        <v>0.04632248519</v>
      </c>
      <c r="P16" s="21">
        <v>0.148</v>
      </c>
      <c r="Q16" s="13">
        <f t="shared" si="35"/>
        <v>0.3129889933</v>
      </c>
      <c r="R16" s="13">
        <v>2.0E-4</v>
      </c>
      <c r="S16" s="24">
        <f t="shared" si="36"/>
        <v>0.04999774013</v>
      </c>
      <c r="T16" s="24">
        <f t="shared" si="37"/>
        <v>0.2409658903</v>
      </c>
      <c r="U16" s="24">
        <f t="shared" si="38"/>
        <v>12.96754414</v>
      </c>
      <c r="V16" s="24">
        <f t="shared" si="39"/>
        <v>0.1689645913</v>
      </c>
      <c r="W16" s="24">
        <f t="shared" si="40"/>
        <v>0.3558308136</v>
      </c>
      <c r="X16" s="12">
        <v>1.251</v>
      </c>
      <c r="Y16" s="24">
        <f t="shared" si="41"/>
        <v>0.379284822</v>
      </c>
      <c r="Z16" s="24">
        <f t="shared" si="42"/>
        <v>0.04327025229</v>
      </c>
      <c r="AA16" s="13">
        <f t="shared" si="43"/>
        <v>0.428285</v>
      </c>
      <c r="AB16" s="24">
        <v>0.0072</v>
      </c>
    </row>
    <row r="17" ht="14.25" customHeight="1">
      <c r="B17" s="21" t="s">
        <v>43</v>
      </c>
      <c r="C17" s="21" t="s">
        <v>81</v>
      </c>
      <c r="D17" s="21" t="s">
        <v>82</v>
      </c>
      <c r="E17" s="21" t="s">
        <v>83</v>
      </c>
      <c r="F17" s="21" t="s">
        <v>84</v>
      </c>
      <c r="G17" s="21" t="s">
        <v>85</v>
      </c>
      <c r="H17" s="26">
        <v>41771.0</v>
      </c>
      <c r="I17" s="27">
        <v>3200.0</v>
      </c>
      <c r="J17" s="21" t="s">
        <v>86</v>
      </c>
      <c r="K17" s="28">
        <f t="shared" ref="K17:K18" si="44">(0.002+0.039)/0.0005</f>
        <v>82</v>
      </c>
      <c r="L17" s="21">
        <v>0.017</v>
      </c>
      <c r="M17" s="13">
        <f t="shared" ref="M17:M18" si="45">827/186480.6  </f>
        <v>0.004434777666</v>
      </c>
      <c r="N17" s="13">
        <f t="shared" ref="N17:N18" si="46">827/66544.4</f>
        <v>0.01242779257</v>
      </c>
      <c r="O17" s="13">
        <f t="shared" ref="O17:O18" si="47">7276.5/194407.2</f>
        <v>0.03742916929</v>
      </c>
      <c r="P17" s="21">
        <v>0.147</v>
      </c>
      <c r="Q17" s="13">
        <f t="shared" ref="Q17:Q18" si="48">49500/194407.2</f>
        <v>0.2546201993</v>
      </c>
      <c r="R17" s="13">
        <f t="shared" ref="R17:R18" si="49">30.43/120257.5</f>
        <v>0.0002530403509</v>
      </c>
      <c r="S17" s="13">
        <f t="shared" ref="S17:S18" si="50">1098.03/194407.17</f>
        <v>0.005648094152</v>
      </c>
      <c r="T17" s="13">
        <f t="shared" ref="T17:T18" si="51">70555.7/194407.17</f>
        <v>0.3629274579</v>
      </c>
      <c r="U17" s="24">
        <f t="shared" ref="U17:U18" si="52">LN(182777.4)</f>
        <v>12.1160243</v>
      </c>
      <c r="V17" s="13">
        <f t="shared" ref="V17:V18" si="53">39333.1/182777.4</f>
        <v>0.2151967366</v>
      </c>
      <c r="W17" s="13">
        <f t="shared" ref="W17:W18" si="54">118194.1/182777.4</f>
        <v>0.646655987</v>
      </c>
      <c r="X17" s="12">
        <v>1.971</v>
      </c>
      <c r="Y17" s="13">
        <f t="shared" ref="Y17:Y18" si="55">66544.4/182777.4         </f>
        <v>0.3640734577</v>
      </c>
      <c r="Z17" s="13">
        <f t="shared" ref="Z17:Z18" si="56">7926.6/182777.4</f>
        <v>0.04336750605</v>
      </c>
      <c r="AA17" s="13">
        <f t="shared" ref="AA17:AA18" si="57">182777.4/1049000</f>
        <v>0.1742396568</v>
      </c>
      <c r="AB17" s="13">
        <f t="shared" ref="AB17:AB18" si="58">(409.5-406.7)/406.7</f>
        <v>0.006884681583</v>
      </c>
    </row>
    <row r="18" ht="14.25" customHeight="1">
      <c r="B18" s="21" t="s">
        <v>43</v>
      </c>
      <c r="C18" s="21" t="s">
        <v>81</v>
      </c>
      <c r="D18" s="21" t="s">
        <v>82</v>
      </c>
      <c r="E18" s="21" t="s">
        <v>87</v>
      </c>
      <c r="F18" s="21" t="s">
        <v>88</v>
      </c>
      <c r="G18" s="21" t="s">
        <v>85</v>
      </c>
      <c r="H18" s="26">
        <v>41771.0</v>
      </c>
      <c r="I18" s="21">
        <v>924.0</v>
      </c>
      <c r="J18" s="21" t="s">
        <v>86</v>
      </c>
      <c r="K18" s="28">
        <f t="shared" si="44"/>
        <v>82</v>
      </c>
      <c r="L18" s="21">
        <v>0.017</v>
      </c>
      <c r="M18" s="13">
        <f t="shared" si="45"/>
        <v>0.004434777666</v>
      </c>
      <c r="N18" s="13">
        <f t="shared" si="46"/>
        <v>0.01242779257</v>
      </c>
      <c r="O18" s="13">
        <f t="shared" si="47"/>
        <v>0.03742916929</v>
      </c>
      <c r="P18" s="21">
        <v>0.147</v>
      </c>
      <c r="Q18" s="13">
        <f t="shared" si="48"/>
        <v>0.2546201993</v>
      </c>
      <c r="R18" s="13">
        <f t="shared" si="49"/>
        <v>0.0002530403509</v>
      </c>
      <c r="S18" s="13">
        <f t="shared" si="50"/>
        <v>0.005648094152</v>
      </c>
      <c r="T18" s="13">
        <f t="shared" si="51"/>
        <v>0.3629274579</v>
      </c>
      <c r="U18" s="24">
        <f t="shared" si="52"/>
        <v>12.1160243</v>
      </c>
      <c r="V18" s="13">
        <f t="shared" si="53"/>
        <v>0.2151967366</v>
      </c>
      <c r="W18" s="13">
        <f t="shared" si="54"/>
        <v>0.646655987</v>
      </c>
      <c r="X18" s="12">
        <v>1.971</v>
      </c>
      <c r="Y18" s="13">
        <f t="shared" si="55"/>
        <v>0.3640734577</v>
      </c>
      <c r="Z18" s="13">
        <f t="shared" si="56"/>
        <v>0.04336750605</v>
      </c>
      <c r="AA18" s="13">
        <f t="shared" si="57"/>
        <v>0.1742396568</v>
      </c>
      <c r="AB18" s="13">
        <f t="shared" si="58"/>
        <v>0.006884681583</v>
      </c>
    </row>
    <row r="19" ht="14.25" customHeight="1">
      <c r="B19" s="21" t="s">
        <v>43</v>
      </c>
      <c r="C19" s="21" t="s">
        <v>89</v>
      </c>
      <c r="D19" s="21" t="s">
        <v>90</v>
      </c>
      <c r="E19" s="21" t="s">
        <v>91</v>
      </c>
      <c r="F19" s="21" t="s">
        <v>92</v>
      </c>
      <c r="G19" s="21" t="s">
        <v>93</v>
      </c>
      <c r="H19" s="29">
        <v>42832.0</v>
      </c>
      <c r="I19" s="27">
        <v>3920.0</v>
      </c>
      <c r="J19" s="21" t="s">
        <v>94</v>
      </c>
      <c r="K19" s="28">
        <f>(0.007+0.059)/0.0015</f>
        <v>44</v>
      </c>
      <c r="L19" s="21">
        <v>0.062</v>
      </c>
      <c r="M19" s="13">
        <f>562.5/240666   </f>
        <v>0.002337264092</v>
      </c>
      <c r="N19" s="13">
        <f>562.5/181205</f>
        <v>0.003104218979</v>
      </c>
      <c r="O19" s="13">
        <f>12892/256322</f>
        <v>0.05029611192</v>
      </c>
      <c r="P19" s="21">
        <v>0.158</v>
      </c>
      <c r="Q19" s="13">
        <f>81594.93671/256322</f>
        <v>0.3183298223</v>
      </c>
      <c r="R19" s="13">
        <f>200/144455</f>
        <v>0.001384514209</v>
      </c>
      <c r="S19" s="13">
        <f>30404/256322</f>
        <v>0.1186164278</v>
      </c>
      <c r="T19" s="13">
        <f>76409/256322</f>
        <v>0.2980977052</v>
      </c>
      <c r="U19" s="24">
        <f>LN(256322)</f>
        <v>12.45418975</v>
      </c>
      <c r="V19" s="13">
        <f>7713/256322</f>
        <v>0.03009105734</v>
      </c>
      <c r="W19" s="13">
        <f>147820/256322</f>
        <v>0.5766964989</v>
      </c>
      <c r="X19" s="12">
        <v>0.816</v>
      </c>
      <c r="Y19" s="13">
        <f>181205/256322</f>
        <v>0.7069428297</v>
      </c>
      <c r="Z19" s="13">
        <f>15656/256322    </f>
        <v>0.06107942354</v>
      </c>
      <c r="AA19" s="21">
        <v>0.4285</v>
      </c>
      <c r="AB19" s="13">
        <f>(306.83-307.03)/307.03</f>
        <v>-0.0006514021431</v>
      </c>
    </row>
    <row r="20" ht="14.25" customHeight="1">
      <c r="B20" s="21" t="s">
        <v>43</v>
      </c>
      <c r="C20" s="21" t="s">
        <v>95</v>
      </c>
      <c r="D20" s="21" t="s">
        <v>96</v>
      </c>
      <c r="E20" s="21" t="s">
        <v>97</v>
      </c>
      <c r="F20" s="21" t="s">
        <v>98</v>
      </c>
      <c r="G20" s="21" t="s">
        <v>93</v>
      </c>
      <c r="H20" s="30">
        <v>44027.0</v>
      </c>
      <c r="I20" s="27">
        <v>3500.0</v>
      </c>
      <c r="J20" s="21" t="s">
        <v>99</v>
      </c>
      <c r="K20" s="12">
        <f>(0.006+0.056)/0.0033486315612998</f>
        <v>18.51502587</v>
      </c>
      <c r="L20" s="21">
        <v>0.036</v>
      </c>
      <c r="M20" s="13">
        <f>406.5/268332</f>
        <v>0.00151491436</v>
      </c>
      <c r="N20" s="13">
        <f>406.5/225944</f>
        <v>0.001799118366</v>
      </c>
      <c r="O20" s="13">
        <f>16078/284399</f>
        <v>0.05653325082</v>
      </c>
      <c r="P20" s="21">
        <v>0.174</v>
      </c>
      <c r="Q20" s="13">
        <f>92402.29885/284399</f>
        <v>0.3249037403</v>
      </c>
      <c r="R20" s="13">
        <f>120/163993</f>
        <v>0.0007317385498</v>
      </c>
      <c r="S20" s="13">
        <f>25931/284399</f>
        <v>0.09117823902</v>
      </c>
      <c r="T20" s="13">
        <f>89451/284399</f>
        <v>0.3145264224</v>
      </c>
      <c r="U20" s="24">
        <f>LN(284399)</f>
        <v>12.55813346</v>
      </c>
      <c r="V20" s="13">
        <f>10641/284399</f>
        <v>0.03741574337</v>
      </c>
      <c r="W20" s="13">
        <f>165907/284399</f>
        <v>0.5833599977</v>
      </c>
      <c r="X20" s="12">
        <v>0.734</v>
      </c>
      <c r="Y20" s="13">
        <f>225944/284399</f>
        <v>0.7944613026</v>
      </c>
      <c r="Z20" s="13">
        <f>16067/284399</f>
        <v>0.05649457277</v>
      </c>
      <c r="AA20" s="21">
        <v>0.1885</v>
      </c>
      <c r="AB20" s="13">
        <f>(308.86-310.5)/310.5</f>
        <v>-0.005281803543</v>
      </c>
    </row>
    <row r="21" ht="14.25" customHeight="1">
      <c r="B21" s="31" t="s">
        <v>100</v>
      </c>
      <c r="C21" s="31" t="s">
        <v>101</v>
      </c>
      <c r="D21" s="31" t="s">
        <v>102</v>
      </c>
      <c r="E21" s="31" t="s">
        <v>103</v>
      </c>
      <c r="F21" s="31" t="s">
        <v>104</v>
      </c>
      <c r="G21" s="21" t="s">
        <v>105</v>
      </c>
      <c r="H21" s="30">
        <v>44095.0</v>
      </c>
      <c r="I21" s="21">
        <v>204.1</v>
      </c>
      <c r="J21" s="21" t="s">
        <v>99</v>
      </c>
      <c r="K21" s="12">
        <f t="shared" ref="K21:K23" si="59">(0.01+(441.9/15360.6))/0.0031622776601684</f>
        <v>12.25964689</v>
      </c>
      <c r="L21" s="21">
        <v>0.013</v>
      </c>
      <c r="M21" s="13">
        <f t="shared" ref="M21:M23" si="60">22.5/14918.7</f>
        <v>0.001508174305</v>
      </c>
      <c r="N21" s="13">
        <f t="shared" ref="N21:N23" si="61">22.5/8156</f>
        <v>0.002758705248</v>
      </c>
      <c r="O21" s="13">
        <f t="shared" ref="O21:O23" si="62">1224/15674</f>
        <v>0.07809110629</v>
      </c>
      <c r="P21" s="21">
        <v>0.122</v>
      </c>
      <c r="Q21" s="13">
        <f t="shared" ref="Q21:Q23" si="63">(1224/0.122)/15674</f>
        <v>0.6400910352</v>
      </c>
      <c r="R21" s="13">
        <f t="shared" ref="R21:R23" si="64">11.75/15138</f>
        <v>0.0007761923636</v>
      </c>
      <c r="S21" s="13">
        <f t="shared" ref="S21:S23" si="65">486.9/15360.6</f>
        <v>0.03169798055</v>
      </c>
      <c r="T21" s="13">
        <f t="shared" ref="T21:T23" si="66">4783.6/15360.6</f>
        <v>0.3114201268</v>
      </c>
      <c r="U21" s="24">
        <f t="shared" ref="U21:U23" si="67">LN(15360.6)</f>
        <v>9.639561068</v>
      </c>
      <c r="V21" s="13">
        <f t="shared" ref="V21:V23" si="68">40/15360.6</f>
        <v>0.002604064945</v>
      </c>
      <c r="W21" s="13">
        <f t="shared" ref="W21:W23" si="69">14060/15674</f>
        <v>0.8970269236</v>
      </c>
      <c r="X21" s="12">
        <v>1.856</v>
      </c>
      <c r="Y21" s="13">
        <f t="shared" ref="Y21:Y23" si="70">8156/15674</f>
        <v>0.5203521756</v>
      </c>
      <c r="Z21" s="13">
        <f t="shared" ref="Z21:Z23" si="71">441.9/15360.6</f>
        <v>0.02876840748</v>
      </c>
      <c r="AA21" s="13">
        <f t="shared" ref="AA21:AA23" si="72">15360.6/8000000</f>
        <v>0.001920075</v>
      </c>
      <c r="AB21" s="13">
        <f t="shared" ref="AB21:AB23" si="73">(1.67-1.68)/1.67</f>
        <v>-0.005988023952</v>
      </c>
    </row>
    <row r="22" ht="14.25" customHeight="1">
      <c r="B22" s="31" t="s">
        <v>100</v>
      </c>
      <c r="C22" s="31" t="s">
        <v>101</v>
      </c>
      <c r="D22" s="31" t="s">
        <v>102</v>
      </c>
      <c r="E22" s="31" t="s">
        <v>106</v>
      </c>
      <c r="F22" s="31" t="s">
        <v>107</v>
      </c>
      <c r="G22" s="21" t="s">
        <v>105</v>
      </c>
      <c r="H22" s="30">
        <v>44095.0</v>
      </c>
      <c r="I22" s="21">
        <v>200.0</v>
      </c>
      <c r="J22" s="21" t="s">
        <v>99</v>
      </c>
      <c r="K22" s="12">
        <f t="shared" si="59"/>
        <v>12.25964689</v>
      </c>
      <c r="L22" s="21">
        <v>0.013</v>
      </c>
      <c r="M22" s="13">
        <f t="shared" si="60"/>
        <v>0.001508174305</v>
      </c>
      <c r="N22" s="13">
        <f t="shared" si="61"/>
        <v>0.002758705248</v>
      </c>
      <c r="O22" s="13">
        <f t="shared" si="62"/>
        <v>0.07809110629</v>
      </c>
      <c r="P22" s="21">
        <v>0.122</v>
      </c>
      <c r="Q22" s="13">
        <f t="shared" si="63"/>
        <v>0.6400910352</v>
      </c>
      <c r="R22" s="13">
        <f t="shared" si="64"/>
        <v>0.0007761923636</v>
      </c>
      <c r="S22" s="13">
        <f t="shared" si="65"/>
        <v>0.03169798055</v>
      </c>
      <c r="T22" s="13">
        <f t="shared" si="66"/>
        <v>0.3114201268</v>
      </c>
      <c r="U22" s="24">
        <f t="shared" si="67"/>
        <v>9.639561068</v>
      </c>
      <c r="V22" s="13">
        <f t="shared" si="68"/>
        <v>0.002604064945</v>
      </c>
      <c r="W22" s="13">
        <f t="shared" si="69"/>
        <v>0.8970269236</v>
      </c>
      <c r="X22" s="12">
        <v>1.856</v>
      </c>
      <c r="Y22" s="13">
        <f t="shared" si="70"/>
        <v>0.5203521756</v>
      </c>
      <c r="Z22" s="13">
        <f t="shared" si="71"/>
        <v>0.02876840748</v>
      </c>
      <c r="AA22" s="13">
        <f t="shared" si="72"/>
        <v>0.001920075</v>
      </c>
      <c r="AB22" s="13">
        <f t="shared" si="73"/>
        <v>-0.005988023952</v>
      </c>
    </row>
    <row r="23" ht="14.25" customHeight="1">
      <c r="B23" s="31" t="s">
        <v>100</v>
      </c>
      <c r="C23" s="31" t="s">
        <v>101</v>
      </c>
      <c r="D23" s="31" t="s">
        <v>102</v>
      </c>
      <c r="E23" s="31" t="s">
        <v>108</v>
      </c>
      <c r="F23" s="31" t="s">
        <v>109</v>
      </c>
      <c r="G23" s="21" t="s">
        <v>105</v>
      </c>
      <c r="H23" s="30">
        <v>44095.0</v>
      </c>
      <c r="I23" s="21">
        <v>200.0</v>
      </c>
      <c r="J23" s="21" t="s">
        <v>99</v>
      </c>
      <c r="K23" s="12">
        <f t="shared" si="59"/>
        <v>12.25964689</v>
      </c>
      <c r="L23" s="21">
        <v>0.013</v>
      </c>
      <c r="M23" s="13">
        <f t="shared" si="60"/>
        <v>0.001508174305</v>
      </c>
      <c r="N23" s="13">
        <f t="shared" si="61"/>
        <v>0.002758705248</v>
      </c>
      <c r="O23" s="13">
        <f t="shared" si="62"/>
        <v>0.07809110629</v>
      </c>
      <c r="P23" s="21">
        <v>0.122</v>
      </c>
      <c r="Q23" s="13">
        <f t="shared" si="63"/>
        <v>0.6400910352</v>
      </c>
      <c r="R23" s="13">
        <f t="shared" si="64"/>
        <v>0.0007761923636</v>
      </c>
      <c r="S23" s="13">
        <f t="shared" si="65"/>
        <v>0.03169798055</v>
      </c>
      <c r="T23" s="13">
        <f t="shared" si="66"/>
        <v>0.3114201268</v>
      </c>
      <c r="U23" s="24">
        <f t="shared" si="67"/>
        <v>9.639561068</v>
      </c>
      <c r="V23" s="13">
        <f t="shared" si="68"/>
        <v>0.002604064945</v>
      </c>
      <c r="W23" s="13">
        <f t="shared" si="69"/>
        <v>0.8970269236</v>
      </c>
      <c r="X23" s="12">
        <v>1.856</v>
      </c>
      <c r="Y23" s="13">
        <f t="shared" si="70"/>
        <v>0.5203521756</v>
      </c>
      <c r="Z23" s="13">
        <f t="shared" si="71"/>
        <v>0.02876840748</v>
      </c>
      <c r="AA23" s="13">
        <f t="shared" si="72"/>
        <v>0.001920075</v>
      </c>
      <c r="AB23" s="13">
        <f t="shared" si="73"/>
        <v>-0.005988023952</v>
      </c>
    </row>
    <row r="24" ht="14.25" customHeight="1">
      <c r="B24" s="31" t="s">
        <v>100</v>
      </c>
      <c r="C24" s="31" t="s">
        <v>101</v>
      </c>
      <c r="D24" s="31" t="s">
        <v>102</v>
      </c>
      <c r="E24" s="31" t="s">
        <v>110</v>
      </c>
      <c r="F24" s="31" t="s">
        <v>111</v>
      </c>
      <c r="G24" s="21" t="s">
        <v>105</v>
      </c>
      <c r="H24" s="30">
        <v>44525.0</v>
      </c>
      <c r="I24" s="21">
        <v>66.1</v>
      </c>
      <c r="J24" s="21" t="s">
        <v>112</v>
      </c>
      <c r="K24" s="12">
        <f>(0.013+(524/15408.2))/0.0021650635094611</f>
        <v>21.71200324</v>
      </c>
      <c r="L24" s="21">
        <v>0.014</v>
      </c>
      <c r="M24" s="13">
        <f>19.5/14097</f>
        <v>0.001383273037</v>
      </c>
      <c r="N24" s="13">
        <f>19.5/7664</f>
        <v>0.002544363257</v>
      </c>
      <c r="O24" s="13">
        <f>1637/16068</f>
        <v>0.1018795121</v>
      </c>
      <c r="P24" s="21">
        <v>0.155</v>
      </c>
      <c r="Q24" s="13">
        <f>(1637/0.155)/16068</f>
        <v>0.6572871747</v>
      </c>
      <c r="R24" s="13">
        <f t="shared" ref="R24:R25" si="74">6.25/15254</f>
        <v>0.0004097285958</v>
      </c>
      <c r="S24" s="13">
        <f>818.4/15408.2</f>
        <v>0.05311457536</v>
      </c>
      <c r="T24" s="13">
        <f>5058.1/15408.2</f>
        <v>0.3282732571</v>
      </c>
      <c r="U24" s="24">
        <f>LN(15408.2)</f>
        <v>9.642655114</v>
      </c>
      <c r="V24" s="13">
        <f>201/16068</f>
        <v>0.01250933532</v>
      </c>
      <c r="W24" s="13">
        <f>15254/16068</f>
        <v>0.9493403037</v>
      </c>
      <c r="X24" s="12">
        <v>1.835</v>
      </c>
      <c r="Y24" s="13">
        <f>7664/16068</f>
        <v>0.4769728653</v>
      </c>
      <c r="Z24" s="13">
        <f>524/15408.2</f>
        <v>0.03400786594</v>
      </c>
      <c r="AA24" s="13">
        <f>15408.2/8073000</f>
        <v>0.001908608943</v>
      </c>
      <c r="AB24" s="13">
        <f>(1.75-1.75)/1.75</f>
        <v>0</v>
      </c>
    </row>
    <row r="25" ht="14.25" customHeight="1">
      <c r="B25" s="31" t="s">
        <v>100</v>
      </c>
      <c r="C25" s="31" t="s">
        <v>113</v>
      </c>
      <c r="D25" s="31" t="s">
        <v>114</v>
      </c>
      <c r="E25" s="31" t="s">
        <v>115</v>
      </c>
      <c r="F25" s="31" t="s">
        <v>111</v>
      </c>
      <c r="G25" s="21" t="s">
        <v>105</v>
      </c>
      <c r="H25" s="30">
        <v>41450.0</v>
      </c>
      <c r="I25" s="21">
        <v>125.7</v>
      </c>
      <c r="J25" s="21" t="s">
        <v>116</v>
      </c>
      <c r="K25" s="12">
        <f>((0.022+(252.7/8005.2))/0.0055396299515401)</f>
        <v>9.669776128</v>
      </c>
      <c r="L25" s="21">
        <v>0.033</v>
      </c>
      <c r="M25" s="13">
        <f>50/7752.5</f>
        <v>0.006449532409</v>
      </c>
      <c r="N25" s="13">
        <f>50/485.27</f>
        <v>0.1030354236</v>
      </c>
      <c r="O25" s="13">
        <f>660/8005.2</f>
        <v>0.08244640983</v>
      </c>
      <c r="P25" s="21">
        <v>0.122</v>
      </c>
      <c r="Q25" s="13">
        <f>(660/0.122)/8005.2</f>
        <v>0.6757902445</v>
      </c>
      <c r="R25" s="13">
        <f t="shared" si="74"/>
        <v>0.0004097285958</v>
      </c>
      <c r="S25" s="13">
        <f t="shared" ref="S25:T25" si="75">0.14/8005.2</f>
        <v>0.00001748863239</v>
      </c>
      <c r="T25" s="13">
        <f t="shared" si="75"/>
        <v>0.00001748863239</v>
      </c>
      <c r="U25" s="13">
        <f t="shared" ref="U25:U28" si="77">LN(8149.8)</f>
        <v>9.005748666</v>
      </c>
      <c r="V25" s="13">
        <f>37.1/8005.2</f>
        <v>0.004634487583</v>
      </c>
      <c r="W25" s="13">
        <f>538.5/551.3</f>
        <v>0.9767821513</v>
      </c>
      <c r="X25" s="12">
        <v>1.092</v>
      </c>
      <c r="Y25" s="13">
        <f>485.27/551.3</f>
        <v>0.8802285507</v>
      </c>
      <c r="Z25" s="13">
        <f t="shared" ref="Z25:Z28" si="78">304.2/8149.8</f>
        <v>0.03732606935</v>
      </c>
      <c r="AA25" s="13">
        <f t="shared" ref="AA25:AA28" si="79">8005.2/6945139.77</f>
        <v>0.00115263339</v>
      </c>
      <c r="AB25" s="13">
        <f>(1.59-1.59)/1.59</f>
        <v>0</v>
      </c>
    </row>
    <row r="26" ht="14.25" customHeight="1">
      <c r="B26" s="31" t="s">
        <v>100</v>
      </c>
      <c r="C26" s="31" t="s">
        <v>113</v>
      </c>
      <c r="D26" s="31" t="s">
        <v>114</v>
      </c>
      <c r="E26" s="31" t="s">
        <v>117</v>
      </c>
      <c r="F26" s="31" t="s">
        <v>111</v>
      </c>
      <c r="G26" s="21" t="s">
        <v>105</v>
      </c>
      <c r="H26" s="30">
        <v>41666.0</v>
      </c>
      <c r="I26" s="21">
        <v>58.6</v>
      </c>
      <c r="J26" s="21" t="s">
        <v>118</v>
      </c>
      <c r="K26" s="12">
        <f t="shared" ref="K26:K28" si="80">(0.032+(304.2/8149.8)/0.0036996621467372)</f>
        <v>10.1210481</v>
      </c>
      <c r="L26" s="21">
        <v>0.032</v>
      </c>
      <c r="M26" s="13">
        <f t="shared" ref="M26:M28" si="81">57.7/7845.7</f>
        <v>0.007354346967</v>
      </c>
      <c r="N26" s="13">
        <f t="shared" ref="N26:N28" si="82">57.7/7577.16</f>
        <v>0.007614990313</v>
      </c>
      <c r="O26" s="13">
        <f t="shared" ref="O26:O28" si="83">886/13119.8</f>
        <v>0.06753151725</v>
      </c>
      <c r="P26" s="21">
        <v>0.135</v>
      </c>
      <c r="Q26" s="13">
        <f t="shared" ref="Q26:Q28" si="84">(886/0.135)/13119.8</f>
        <v>0.5002334611</v>
      </c>
      <c r="R26" s="13">
        <f t="shared" ref="R26:R28" si="85">14.205/8097.08</f>
        <v>0.001754336131</v>
      </c>
      <c r="S26" s="13">
        <f t="shared" ref="S26:T26" si="76">0.01/8149.8</f>
        <v>0.000001227023976</v>
      </c>
      <c r="T26" s="13">
        <f t="shared" si="76"/>
        <v>0.000001227023976</v>
      </c>
      <c r="U26" s="13">
        <f t="shared" si="77"/>
        <v>9.005748666</v>
      </c>
      <c r="V26" s="13">
        <f t="shared" ref="V26:V28" si="87">37.1/13119.8</f>
        <v>0.002827787009</v>
      </c>
      <c r="W26" s="13">
        <f t="shared" ref="W26:W28" si="88">8797.1/13119.8</f>
        <v>0.6705208921</v>
      </c>
      <c r="X26" s="12">
        <v>1.027</v>
      </c>
      <c r="Y26" s="13">
        <f t="shared" ref="Y26:Y28" si="89">7877.16/13119.8</f>
        <v>0.6004024452</v>
      </c>
      <c r="Z26" s="13">
        <f t="shared" si="78"/>
        <v>0.03732606935</v>
      </c>
      <c r="AA26" s="13">
        <f t="shared" si="79"/>
        <v>0.00115263339</v>
      </c>
      <c r="AB26" s="13">
        <f t="shared" ref="AB26:AB27" si="90">(1.6-1.6)/1.6</f>
        <v>0</v>
      </c>
    </row>
    <row r="27" ht="14.25" customHeight="1">
      <c r="B27" s="31" t="s">
        <v>100</v>
      </c>
      <c r="C27" s="31" t="s">
        <v>113</v>
      </c>
      <c r="D27" s="31" t="s">
        <v>114</v>
      </c>
      <c r="E27" s="31" t="s">
        <v>119</v>
      </c>
      <c r="F27" s="31" t="s">
        <v>111</v>
      </c>
      <c r="G27" s="21" t="s">
        <v>105</v>
      </c>
      <c r="H27" s="30">
        <v>41723.0</v>
      </c>
      <c r="I27" s="21">
        <v>45.2</v>
      </c>
      <c r="J27" s="21" t="s">
        <v>118</v>
      </c>
      <c r="K27" s="12">
        <f t="shared" si="80"/>
        <v>10.1210481</v>
      </c>
      <c r="L27" s="21">
        <v>0.032</v>
      </c>
      <c r="M27" s="13">
        <f t="shared" si="81"/>
        <v>0.007354346967</v>
      </c>
      <c r="N27" s="13">
        <f t="shared" si="82"/>
        <v>0.007614990313</v>
      </c>
      <c r="O27" s="13">
        <f t="shared" si="83"/>
        <v>0.06753151725</v>
      </c>
      <c r="P27" s="21">
        <v>0.135</v>
      </c>
      <c r="Q27" s="13">
        <f t="shared" si="84"/>
        <v>0.5002334611</v>
      </c>
      <c r="R27" s="13">
        <f t="shared" si="85"/>
        <v>0.001754336131</v>
      </c>
      <c r="S27" s="13">
        <f t="shared" ref="S27:T27" si="86">0.01/8149.8</f>
        <v>0.000001227023976</v>
      </c>
      <c r="T27" s="13">
        <f t="shared" si="86"/>
        <v>0.000001227023976</v>
      </c>
      <c r="U27" s="13">
        <f t="shared" si="77"/>
        <v>9.005748666</v>
      </c>
      <c r="V27" s="13">
        <f t="shared" si="87"/>
        <v>0.002827787009</v>
      </c>
      <c r="W27" s="13">
        <f t="shared" si="88"/>
        <v>0.6705208921</v>
      </c>
      <c r="X27" s="12">
        <v>1.027</v>
      </c>
      <c r="Y27" s="13">
        <f t="shared" si="89"/>
        <v>0.6004024452</v>
      </c>
      <c r="Z27" s="13">
        <f t="shared" si="78"/>
        <v>0.03732606935</v>
      </c>
      <c r="AA27" s="13">
        <f t="shared" si="79"/>
        <v>0.00115263339</v>
      </c>
      <c r="AB27" s="13">
        <f t="shared" si="90"/>
        <v>0</v>
      </c>
    </row>
    <row r="28" ht="14.25" customHeight="1">
      <c r="B28" s="31" t="s">
        <v>100</v>
      </c>
      <c r="C28" s="31" t="s">
        <v>113</v>
      </c>
      <c r="D28" s="31" t="s">
        <v>114</v>
      </c>
      <c r="E28" s="31" t="s">
        <v>120</v>
      </c>
      <c r="F28" s="31" t="s">
        <v>111</v>
      </c>
      <c r="G28" s="21" t="s">
        <v>105</v>
      </c>
      <c r="H28" s="26">
        <v>41785.0</v>
      </c>
      <c r="I28" s="21">
        <v>56.8</v>
      </c>
      <c r="J28" s="21" t="s">
        <v>86</v>
      </c>
      <c r="K28" s="12">
        <f t="shared" si="80"/>
        <v>10.1210481</v>
      </c>
      <c r="L28" s="21">
        <v>0.032</v>
      </c>
      <c r="M28" s="13">
        <f t="shared" si="81"/>
        <v>0.007354346967</v>
      </c>
      <c r="N28" s="13">
        <f t="shared" si="82"/>
        <v>0.007614990313</v>
      </c>
      <c r="O28" s="13">
        <f t="shared" si="83"/>
        <v>0.06753151725</v>
      </c>
      <c r="P28" s="21">
        <v>0.135</v>
      </c>
      <c r="Q28" s="13">
        <f t="shared" si="84"/>
        <v>0.5002334611</v>
      </c>
      <c r="R28" s="13">
        <f t="shared" si="85"/>
        <v>0.001754336131</v>
      </c>
      <c r="S28" s="13">
        <f t="shared" ref="S28:T28" si="91">0.01/8149.8</f>
        <v>0.000001227023976</v>
      </c>
      <c r="T28" s="13">
        <f t="shared" si="91"/>
        <v>0.000001227023976</v>
      </c>
      <c r="U28" s="13">
        <f t="shared" si="77"/>
        <v>9.005748666</v>
      </c>
      <c r="V28" s="13">
        <f t="shared" si="87"/>
        <v>0.002827787009</v>
      </c>
      <c r="W28" s="13">
        <f t="shared" si="88"/>
        <v>0.6705208921</v>
      </c>
      <c r="X28" s="12">
        <v>1.027</v>
      </c>
      <c r="Y28" s="13">
        <f t="shared" si="89"/>
        <v>0.6004024452</v>
      </c>
      <c r="Z28" s="13">
        <f t="shared" si="78"/>
        <v>0.03732606935</v>
      </c>
      <c r="AA28" s="13">
        <f t="shared" si="79"/>
        <v>0.00115263339</v>
      </c>
      <c r="AB28" s="13">
        <f>(1.61-1.6)/1.6</f>
        <v>0.00625</v>
      </c>
    </row>
    <row r="29" ht="14.25" customHeight="1">
      <c r="B29" s="31" t="s">
        <v>100</v>
      </c>
      <c r="C29" s="31" t="s">
        <v>113</v>
      </c>
      <c r="D29" s="31" t="s">
        <v>114</v>
      </c>
      <c r="E29" s="31" t="s">
        <v>121</v>
      </c>
      <c r="F29" s="31" t="s">
        <v>111</v>
      </c>
      <c r="G29" s="21" t="s">
        <v>105</v>
      </c>
      <c r="H29" s="30">
        <v>42030.0</v>
      </c>
      <c r="I29" s="21">
        <v>137.9</v>
      </c>
      <c r="J29" s="21" t="s">
        <v>122</v>
      </c>
      <c r="K29" s="12">
        <f t="shared" ref="K29:K35" si="92">(0.026+(651/7921.2)/0.0036996621467372)</f>
        <v>22.24006016</v>
      </c>
      <c r="L29" s="21">
        <v>0.028</v>
      </c>
      <c r="M29" s="13">
        <f t="shared" ref="M29:M30" si="93">29.8/7270.2</f>
        <v>0.004098924376</v>
      </c>
      <c r="N29" s="13">
        <f t="shared" ref="N29:N30" si="94">29.8/6133.53</f>
        <v>0.004858539862</v>
      </c>
      <c r="O29" s="13">
        <f t="shared" ref="O29:O30" si="95">856/9230.1</f>
        <v>0.09274005699</v>
      </c>
      <c r="P29" s="21">
        <v>0.123</v>
      </c>
      <c r="Q29" s="13">
        <f t="shared" ref="Q29:Q30" si="96">(856/0.123)/9330.06</f>
        <v>0.7459061993</v>
      </c>
      <c r="R29" s="13">
        <f t="shared" ref="R29:R30" si="97">10.285/8797.1</f>
        <v>0.001169135283</v>
      </c>
      <c r="S29" s="13">
        <f t="shared" ref="S29:S35" si="98">98.4/7921.2</f>
        <v>0.01242236025</v>
      </c>
      <c r="T29" s="13">
        <f t="shared" ref="T29:T35" si="99">2323.1/7921.2</f>
        <v>0.2932762713</v>
      </c>
      <c r="U29" s="13">
        <f t="shared" ref="U29:U35" si="100">LN(7921.2)</f>
        <v>8.977297988</v>
      </c>
      <c r="V29" s="13">
        <f t="shared" ref="V29:V35" si="101">10.6/9330.1</f>
        <v>0.001136107866</v>
      </c>
      <c r="W29" s="13">
        <f t="shared" ref="W29:W35" si="102">8983.2/9330.1</f>
        <v>0.9628192624</v>
      </c>
      <c r="X29" s="12">
        <v>1.346</v>
      </c>
      <c r="Y29" s="13">
        <f t="shared" ref="Y29:Y35" si="103">6133.53/9330.1</f>
        <v>0.6573916678</v>
      </c>
      <c r="Z29" s="13">
        <f t="shared" ref="Z29:Z35" si="104">651/7921.2</f>
        <v>0.0821845175</v>
      </c>
      <c r="AA29" s="13">
        <f t="shared" ref="AA29:AA35" si="105">9330.1/5595788.42</f>
        <v>0.001667343241</v>
      </c>
      <c r="AB29" s="13">
        <f t="shared" ref="AB29:AB30" si="106">(1.62-1.62)/1.62</f>
        <v>0</v>
      </c>
    </row>
    <row r="30" ht="14.25" customHeight="1">
      <c r="B30" s="31" t="s">
        <v>100</v>
      </c>
      <c r="C30" s="31" t="s">
        <v>113</v>
      </c>
      <c r="D30" s="31" t="s">
        <v>114</v>
      </c>
      <c r="E30" s="31" t="s">
        <v>123</v>
      </c>
      <c r="F30" s="31" t="s">
        <v>111</v>
      </c>
      <c r="G30" s="21" t="s">
        <v>105</v>
      </c>
      <c r="H30" s="30">
        <v>42088.0</v>
      </c>
      <c r="I30" s="21">
        <v>122.1</v>
      </c>
      <c r="J30" s="21" t="s">
        <v>122</v>
      </c>
      <c r="K30" s="12">
        <f t="shared" si="92"/>
        <v>22.24006016</v>
      </c>
      <c r="L30" s="21">
        <v>0.028</v>
      </c>
      <c r="M30" s="13">
        <f t="shared" si="93"/>
        <v>0.004098924376</v>
      </c>
      <c r="N30" s="13">
        <f t="shared" si="94"/>
        <v>0.004858539862</v>
      </c>
      <c r="O30" s="13">
        <f t="shared" si="95"/>
        <v>0.09274005699</v>
      </c>
      <c r="P30" s="21">
        <v>0.123</v>
      </c>
      <c r="Q30" s="13">
        <f t="shared" si="96"/>
        <v>0.7459061993</v>
      </c>
      <c r="R30" s="13">
        <f t="shared" si="97"/>
        <v>0.001169135283</v>
      </c>
      <c r="S30" s="13">
        <f t="shared" si="98"/>
        <v>0.01242236025</v>
      </c>
      <c r="T30" s="13">
        <f t="shared" si="99"/>
        <v>0.2932762713</v>
      </c>
      <c r="U30" s="13">
        <f t="shared" si="100"/>
        <v>8.977297988</v>
      </c>
      <c r="V30" s="13">
        <f t="shared" si="101"/>
        <v>0.001136107866</v>
      </c>
      <c r="W30" s="13">
        <f t="shared" si="102"/>
        <v>0.9628192624</v>
      </c>
      <c r="X30" s="12">
        <v>1.346</v>
      </c>
      <c r="Y30" s="13">
        <f t="shared" si="103"/>
        <v>0.6573916678</v>
      </c>
      <c r="Z30" s="13">
        <f t="shared" si="104"/>
        <v>0.0821845175</v>
      </c>
      <c r="AA30" s="13">
        <f t="shared" si="105"/>
        <v>0.001667343241</v>
      </c>
      <c r="AB30" s="13">
        <f t="shared" si="106"/>
        <v>0</v>
      </c>
    </row>
    <row r="31" ht="14.25" customHeight="1">
      <c r="B31" s="31" t="s">
        <v>100</v>
      </c>
      <c r="C31" s="31" t="s">
        <v>113</v>
      </c>
      <c r="D31" s="31" t="s">
        <v>114</v>
      </c>
      <c r="E31" s="31" t="s">
        <v>124</v>
      </c>
      <c r="F31" s="31" t="s">
        <v>111</v>
      </c>
      <c r="G31" s="21" t="s">
        <v>105</v>
      </c>
      <c r="H31" s="30">
        <v>42121.0</v>
      </c>
      <c r="I31" s="21">
        <v>108.3</v>
      </c>
      <c r="J31" s="21" t="s">
        <v>125</v>
      </c>
      <c r="K31" s="12">
        <f t="shared" si="92"/>
        <v>22.24006016</v>
      </c>
      <c r="L31" s="21">
        <v>0.028</v>
      </c>
      <c r="M31" s="13">
        <f t="shared" ref="M31:M35" si="107">20.3/7270.2</f>
        <v>0.002792220297</v>
      </c>
      <c r="N31" s="13">
        <f t="shared" ref="N31:N35" si="108">20.3/6133.53</f>
        <v>0.003309676483</v>
      </c>
      <c r="O31" s="13">
        <f t="shared" ref="O31:O35" si="109">886/9330.1</f>
        <v>0.09496146879</v>
      </c>
      <c r="P31" s="21">
        <v>0.133</v>
      </c>
      <c r="Q31" s="13">
        <f t="shared" ref="Q31:Q35" si="110">(886/0.133)/9330.06</f>
        <v>0.713999067</v>
      </c>
      <c r="R31" s="13">
        <f t="shared" ref="R31:R35" si="111">10.285/8983.2</f>
        <v>0.001144914952</v>
      </c>
      <c r="S31" s="13">
        <f t="shared" si="98"/>
        <v>0.01242236025</v>
      </c>
      <c r="T31" s="13">
        <f t="shared" si="99"/>
        <v>0.2932762713</v>
      </c>
      <c r="U31" s="13">
        <f t="shared" si="100"/>
        <v>8.977297988</v>
      </c>
      <c r="V31" s="13">
        <f t="shared" si="101"/>
        <v>0.001136107866</v>
      </c>
      <c r="W31" s="13">
        <f t="shared" si="102"/>
        <v>0.9628192624</v>
      </c>
      <c r="X31" s="12">
        <v>1.346</v>
      </c>
      <c r="Y31" s="13">
        <f t="shared" si="103"/>
        <v>0.6573916678</v>
      </c>
      <c r="Z31" s="13">
        <f t="shared" si="104"/>
        <v>0.0821845175</v>
      </c>
      <c r="AA31" s="13">
        <f t="shared" si="105"/>
        <v>0.001667343241</v>
      </c>
      <c r="AB31" s="13">
        <f t="shared" ref="AB31:AB34" si="112">(1.63-1.62)/1.62</f>
        <v>0.006172839506</v>
      </c>
    </row>
    <row r="32" ht="14.25" customHeight="1">
      <c r="B32" s="31" t="s">
        <v>100</v>
      </c>
      <c r="C32" s="31" t="s">
        <v>113</v>
      </c>
      <c r="D32" s="31" t="s">
        <v>114</v>
      </c>
      <c r="E32" s="31" t="s">
        <v>126</v>
      </c>
      <c r="F32" s="31" t="s">
        <v>111</v>
      </c>
      <c r="G32" s="21" t="s">
        <v>105</v>
      </c>
      <c r="H32" s="26">
        <v>42150.0</v>
      </c>
      <c r="I32" s="21">
        <v>57.3</v>
      </c>
      <c r="J32" s="21" t="s">
        <v>125</v>
      </c>
      <c r="K32" s="12">
        <f t="shared" si="92"/>
        <v>22.24006016</v>
      </c>
      <c r="L32" s="21">
        <v>0.028</v>
      </c>
      <c r="M32" s="13">
        <f t="shared" si="107"/>
        <v>0.002792220297</v>
      </c>
      <c r="N32" s="13">
        <f t="shared" si="108"/>
        <v>0.003309676483</v>
      </c>
      <c r="O32" s="13">
        <f t="shared" si="109"/>
        <v>0.09496146879</v>
      </c>
      <c r="P32" s="21">
        <v>0.133</v>
      </c>
      <c r="Q32" s="13">
        <f t="shared" si="110"/>
        <v>0.713999067</v>
      </c>
      <c r="R32" s="13">
        <f t="shared" si="111"/>
        <v>0.001144914952</v>
      </c>
      <c r="S32" s="13">
        <f t="shared" si="98"/>
        <v>0.01242236025</v>
      </c>
      <c r="T32" s="13">
        <f t="shared" si="99"/>
        <v>0.2932762713</v>
      </c>
      <c r="U32" s="13">
        <f t="shared" si="100"/>
        <v>8.977297988</v>
      </c>
      <c r="V32" s="13">
        <f t="shared" si="101"/>
        <v>0.001136107866</v>
      </c>
      <c r="W32" s="13">
        <f t="shared" si="102"/>
        <v>0.9628192624</v>
      </c>
      <c r="X32" s="12">
        <v>1.346</v>
      </c>
      <c r="Y32" s="13">
        <f t="shared" si="103"/>
        <v>0.6573916678</v>
      </c>
      <c r="Z32" s="13">
        <f t="shared" si="104"/>
        <v>0.0821845175</v>
      </c>
      <c r="AA32" s="13">
        <f t="shared" si="105"/>
        <v>0.001667343241</v>
      </c>
      <c r="AB32" s="13">
        <f t="shared" si="112"/>
        <v>0.006172839506</v>
      </c>
    </row>
    <row r="33" ht="14.25" customHeight="1">
      <c r="B33" s="31" t="s">
        <v>100</v>
      </c>
      <c r="C33" s="31" t="s">
        <v>113</v>
      </c>
      <c r="D33" s="31" t="s">
        <v>114</v>
      </c>
      <c r="E33" s="31" t="s">
        <v>127</v>
      </c>
      <c r="F33" s="31" t="s">
        <v>111</v>
      </c>
      <c r="G33" s="21" t="s">
        <v>105</v>
      </c>
      <c r="H33" s="30">
        <v>42180.0</v>
      </c>
      <c r="I33" s="21">
        <v>155.7</v>
      </c>
      <c r="J33" s="21" t="s">
        <v>125</v>
      </c>
      <c r="K33" s="12">
        <f t="shared" si="92"/>
        <v>22.24006016</v>
      </c>
      <c r="L33" s="21">
        <v>0.028</v>
      </c>
      <c r="M33" s="13">
        <f t="shared" si="107"/>
        <v>0.002792220297</v>
      </c>
      <c r="N33" s="13">
        <f t="shared" si="108"/>
        <v>0.003309676483</v>
      </c>
      <c r="O33" s="13">
        <f t="shared" si="109"/>
        <v>0.09496146879</v>
      </c>
      <c r="P33" s="21">
        <v>0.133</v>
      </c>
      <c r="Q33" s="13">
        <f t="shared" si="110"/>
        <v>0.713999067</v>
      </c>
      <c r="R33" s="13">
        <f t="shared" si="111"/>
        <v>0.001144914952</v>
      </c>
      <c r="S33" s="13">
        <f t="shared" si="98"/>
        <v>0.01242236025</v>
      </c>
      <c r="T33" s="13">
        <f t="shared" si="99"/>
        <v>0.2932762713</v>
      </c>
      <c r="U33" s="13">
        <f t="shared" si="100"/>
        <v>8.977297988</v>
      </c>
      <c r="V33" s="13">
        <f t="shared" si="101"/>
        <v>0.001136107866</v>
      </c>
      <c r="W33" s="13">
        <f t="shared" si="102"/>
        <v>0.9628192624</v>
      </c>
      <c r="X33" s="12">
        <v>1.346</v>
      </c>
      <c r="Y33" s="13">
        <f t="shared" si="103"/>
        <v>0.6573916678</v>
      </c>
      <c r="Z33" s="13">
        <f t="shared" si="104"/>
        <v>0.0821845175</v>
      </c>
      <c r="AA33" s="13">
        <f t="shared" si="105"/>
        <v>0.001667343241</v>
      </c>
      <c r="AB33" s="13">
        <f t="shared" si="112"/>
        <v>0.006172839506</v>
      </c>
    </row>
    <row r="34" ht="14.25" customHeight="1">
      <c r="B34" s="31" t="s">
        <v>100</v>
      </c>
      <c r="C34" s="31" t="s">
        <v>113</v>
      </c>
      <c r="D34" s="31" t="s">
        <v>114</v>
      </c>
      <c r="E34" s="31" t="s">
        <v>128</v>
      </c>
      <c r="F34" s="31" t="s">
        <v>111</v>
      </c>
      <c r="G34" s="21" t="s">
        <v>105</v>
      </c>
      <c r="H34" s="30">
        <v>42121.0</v>
      </c>
      <c r="I34" s="21">
        <v>169.8</v>
      </c>
      <c r="J34" s="21" t="s">
        <v>125</v>
      </c>
      <c r="K34" s="12">
        <f t="shared" si="92"/>
        <v>22.24006016</v>
      </c>
      <c r="L34" s="21">
        <v>0.028</v>
      </c>
      <c r="M34" s="13">
        <f t="shared" si="107"/>
        <v>0.002792220297</v>
      </c>
      <c r="N34" s="13">
        <f t="shared" si="108"/>
        <v>0.003309676483</v>
      </c>
      <c r="O34" s="13">
        <f t="shared" si="109"/>
        <v>0.09496146879</v>
      </c>
      <c r="P34" s="21">
        <v>0.133</v>
      </c>
      <c r="Q34" s="13">
        <f t="shared" si="110"/>
        <v>0.713999067</v>
      </c>
      <c r="R34" s="13">
        <f t="shared" si="111"/>
        <v>0.001144914952</v>
      </c>
      <c r="S34" s="13">
        <f t="shared" si="98"/>
        <v>0.01242236025</v>
      </c>
      <c r="T34" s="13">
        <f t="shared" si="99"/>
        <v>0.2932762713</v>
      </c>
      <c r="U34" s="13">
        <f t="shared" si="100"/>
        <v>8.977297988</v>
      </c>
      <c r="V34" s="13">
        <f t="shared" si="101"/>
        <v>0.001136107866</v>
      </c>
      <c r="W34" s="13">
        <f t="shared" si="102"/>
        <v>0.9628192624</v>
      </c>
      <c r="X34" s="12">
        <v>1.346</v>
      </c>
      <c r="Y34" s="13">
        <f t="shared" si="103"/>
        <v>0.6573916678</v>
      </c>
      <c r="Z34" s="13">
        <f t="shared" si="104"/>
        <v>0.0821845175</v>
      </c>
      <c r="AA34" s="13">
        <f t="shared" si="105"/>
        <v>0.001667343241</v>
      </c>
      <c r="AB34" s="13">
        <f t="shared" si="112"/>
        <v>0.006172839506</v>
      </c>
    </row>
    <row r="35" ht="14.25" customHeight="1">
      <c r="B35" s="31" t="s">
        <v>100</v>
      </c>
      <c r="C35" s="31" t="s">
        <v>113</v>
      </c>
      <c r="D35" s="31" t="s">
        <v>114</v>
      </c>
      <c r="E35" s="31" t="s">
        <v>129</v>
      </c>
      <c r="F35" s="31" t="s">
        <v>111</v>
      </c>
      <c r="G35" s="21" t="s">
        <v>105</v>
      </c>
      <c r="H35" s="30">
        <v>42272.0</v>
      </c>
      <c r="I35" s="21">
        <v>121.1</v>
      </c>
      <c r="J35" s="21" t="s">
        <v>130</v>
      </c>
      <c r="K35" s="12">
        <f t="shared" si="92"/>
        <v>22.24006016</v>
      </c>
      <c r="L35" s="21">
        <v>0.028</v>
      </c>
      <c r="M35" s="13">
        <f t="shared" si="107"/>
        <v>0.002792220297</v>
      </c>
      <c r="N35" s="13">
        <f t="shared" si="108"/>
        <v>0.003309676483</v>
      </c>
      <c r="O35" s="13">
        <f t="shared" si="109"/>
        <v>0.09496146879</v>
      </c>
      <c r="P35" s="21">
        <v>0.133</v>
      </c>
      <c r="Q35" s="13">
        <f t="shared" si="110"/>
        <v>0.713999067</v>
      </c>
      <c r="R35" s="13">
        <f t="shared" si="111"/>
        <v>0.001144914952</v>
      </c>
      <c r="S35" s="13">
        <f t="shared" si="98"/>
        <v>0.01242236025</v>
      </c>
      <c r="T35" s="13">
        <f t="shared" si="99"/>
        <v>0.2932762713</v>
      </c>
      <c r="U35" s="13">
        <f t="shared" si="100"/>
        <v>8.977297988</v>
      </c>
      <c r="V35" s="13">
        <f t="shared" si="101"/>
        <v>0.001136107866</v>
      </c>
      <c r="W35" s="13">
        <f t="shared" si="102"/>
        <v>0.9628192624</v>
      </c>
      <c r="X35" s="12">
        <v>1.346</v>
      </c>
      <c r="Y35" s="13">
        <f t="shared" si="103"/>
        <v>0.6573916678</v>
      </c>
      <c r="Z35" s="13">
        <f t="shared" si="104"/>
        <v>0.0821845175</v>
      </c>
      <c r="AA35" s="13">
        <f t="shared" si="105"/>
        <v>0.001667343241</v>
      </c>
      <c r="AB35" s="13">
        <f>(1.63-1.63)/1.63</f>
        <v>0</v>
      </c>
    </row>
    <row r="36" ht="14.25" customHeight="1">
      <c r="B36" s="31" t="s">
        <v>100</v>
      </c>
      <c r="C36" s="31" t="s">
        <v>113</v>
      </c>
      <c r="D36" s="31" t="s">
        <v>114</v>
      </c>
      <c r="E36" s="31" t="s">
        <v>131</v>
      </c>
      <c r="F36" s="31" t="s">
        <v>111</v>
      </c>
      <c r="G36" s="21" t="s">
        <v>105</v>
      </c>
      <c r="H36" s="30">
        <v>42699.0</v>
      </c>
      <c r="I36" s="21">
        <v>42.7</v>
      </c>
      <c r="J36" s="21" t="s">
        <v>132</v>
      </c>
      <c r="K36" s="12">
        <f t="shared" ref="K36:K37" si="113">(0.026+(548/8983.5))/0.0028284271247462</f>
        <v>30.75940079</v>
      </c>
      <c r="L36" s="21">
        <v>0.024</v>
      </c>
      <c r="M36" s="13">
        <f t="shared" ref="M36:M37" si="114">18.1/8435.5</f>
        <v>0.002145693794</v>
      </c>
      <c r="N36" s="13">
        <f t="shared" ref="N36:N37" si="115">18.1/6444.23</f>
        <v>0.002808714152</v>
      </c>
      <c r="O36" s="13">
        <f t="shared" ref="O36:O37" si="116">884/10205.9</f>
        <v>0.08661656493</v>
      </c>
      <c r="P36" s="21">
        <v>0.126</v>
      </c>
      <c r="Q36" s="13">
        <f t="shared" ref="Q36:Q37" si="117">(884/0.126)/10205.9</f>
        <v>0.687433055</v>
      </c>
      <c r="R36" s="13">
        <f t="shared" ref="R36:R37" si="118">(16.5/9943.1)</f>
        <v>0.001659442226</v>
      </c>
      <c r="S36" s="13">
        <f t="shared" ref="S36:S37" si="119">260.5/8983.5</f>
        <v>0.02899760672</v>
      </c>
      <c r="T36" s="13">
        <f t="shared" ref="T36:T37" si="120">2339.9/8983.5</f>
        <v>0.2604664106</v>
      </c>
      <c r="U36" s="13">
        <f t="shared" ref="U36:U37" si="121">LN(8983.5)</f>
        <v>9.10314484</v>
      </c>
      <c r="V36" s="13">
        <f t="shared" ref="V36:V37" si="122">3.8/10721.6</f>
        <v>0.0003544247127</v>
      </c>
      <c r="W36" s="13">
        <f t="shared" ref="W36:W37" si="123">10256.9/10721.6</f>
        <v>0.9566575884</v>
      </c>
      <c r="X36" s="12">
        <f t="shared" ref="X36:X37" si="124">10256.9/6553.5</f>
        <v>1.565102617</v>
      </c>
      <c r="Y36" s="13">
        <f t="shared" ref="Y36:Y37" si="125">6553.5/10721.6</f>
        <v>0.611242725</v>
      </c>
      <c r="Z36" s="13">
        <f t="shared" ref="Z36:Z37" si="126">548/8983.5</f>
        <v>0.06100072355</v>
      </c>
      <c r="AA36" s="13">
        <f t="shared" ref="AA36:AA37" si="127">10721.6/5495788.42</f>
        <v>0.001950875685</v>
      </c>
      <c r="AB36" s="13">
        <f t="shared" ref="AB36:AB37" si="128">(1.66-1.65)/1.65</f>
        <v>0.006060606061</v>
      </c>
    </row>
    <row r="37" ht="14.25" customHeight="1">
      <c r="B37" s="31" t="s">
        <v>100</v>
      </c>
      <c r="C37" s="31" t="s">
        <v>113</v>
      </c>
      <c r="D37" s="31" t="s">
        <v>114</v>
      </c>
      <c r="E37" s="31" t="s">
        <v>133</v>
      </c>
      <c r="F37" s="31" t="s">
        <v>111</v>
      </c>
      <c r="G37" s="21" t="s">
        <v>105</v>
      </c>
      <c r="H37" s="30">
        <v>42731.0</v>
      </c>
      <c r="I37" s="21">
        <v>24.0</v>
      </c>
      <c r="J37" s="21" t="s">
        <v>132</v>
      </c>
      <c r="K37" s="12">
        <f t="shared" si="113"/>
        <v>30.75940079</v>
      </c>
      <c r="L37" s="21">
        <v>0.024</v>
      </c>
      <c r="M37" s="13">
        <f t="shared" si="114"/>
        <v>0.002145693794</v>
      </c>
      <c r="N37" s="13">
        <f t="shared" si="115"/>
        <v>0.002808714152</v>
      </c>
      <c r="O37" s="13">
        <f t="shared" si="116"/>
        <v>0.08661656493</v>
      </c>
      <c r="P37" s="21">
        <v>0.126</v>
      </c>
      <c r="Q37" s="13">
        <f t="shared" si="117"/>
        <v>0.687433055</v>
      </c>
      <c r="R37" s="13">
        <f t="shared" si="118"/>
        <v>0.001659442226</v>
      </c>
      <c r="S37" s="13">
        <f t="shared" si="119"/>
        <v>0.02899760672</v>
      </c>
      <c r="T37" s="13">
        <f t="shared" si="120"/>
        <v>0.2604664106</v>
      </c>
      <c r="U37" s="13">
        <f t="shared" si="121"/>
        <v>9.10314484</v>
      </c>
      <c r="V37" s="13">
        <f t="shared" si="122"/>
        <v>0.0003544247127</v>
      </c>
      <c r="W37" s="13">
        <f t="shared" si="123"/>
        <v>0.9566575884</v>
      </c>
      <c r="X37" s="12">
        <f t="shared" si="124"/>
        <v>1.565102617</v>
      </c>
      <c r="Y37" s="13">
        <f t="shared" si="125"/>
        <v>0.611242725</v>
      </c>
      <c r="Z37" s="13">
        <f t="shared" si="126"/>
        <v>0.06100072355</v>
      </c>
      <c r="AA37" s="13">
        <f t="shared" si="127"/>
        <v>0.001950875685</v>
      </c>
      <c r="AB37" s="13">
        <f t="shared" si="128"/>
        <v>0.006060606061</v>
      </c>
    </row>
    <row r="38" ht="14.25" customHeight="1">
      <c r="B38" s="31" t="s">
        <v>100</v>
      </c>
      <c r="C38" s="31" t="s">
        <v>134</v>
      </c>
      <c r="D38" s="31" t="s">
        <v>135</v>
      </c>
      <c r="E38" s="31" t="s">
        <v>136</v>
      </c>
      <c r="F38" s="31" t="s">
        <v>137</v>
      </c>
      <c r="G38" s="21" t="s">
        <v>138</v>
      </c>
      <c r="H38" s="30">
        <v>40931.0</v>
      </c>
      <c r="I38" s="32">
        <v>1402.75</v>
      </c>
      <c r="J38" s="21" t="s">
        <v>139</v>
      </c>
      <c r="K38" s="12">
        <f>(0.002+0.043)/0.00081649658092773</f>
        <v>55.11351921</v>
      </c>
      <c r="L38" s="21">
        <v>0.067</v>
      </c>
      <c r="M38" s="13">
        <f>4648/1193783</f>
        <v>0.003893504933</v>
      </c>
      <c r="N38" s="13">
        <f>4648/388378</f>
        <v>0.01196772217</v>
      </c>
      <c r="O38" s="13">
        <f>38981.5/1246666</f>
        <v>0.03126859961</v>
      </c>
      <c r="P38" s="21">
        <v>0.116</v>
      </c>
      <c r="Q38" s="13">
        <f>(38981.5/0.116)/1246666</f>
        <v>0.2695568932</v>
      </c>
      <c r="R38" s="13">
        <f>364.5/391741</f>
        <v>0.0009304617081</v>
      </c>
      <c r="S38" s="13">
        <f>65369/1246666
</f>
        <v>0.05243505478</v>
      </c>
      <c r="T38" s="13">
        <f>689440/1246666</f>
        <v>0.5530270337</v>
      </c>
      <c r="U38" s="13">
        <f>ln(1246666)</f>
        <v>14.03598335</v>
      </c>
      <c r="V38" s="13">
        <f>455421/1246666        </f>
        <v>0.3653111579</v>
      </c>
      <c r="W38" s="13">
        <f>391741/1246666</f>
        <v>0.3142309167</v>
      </c>
      <c r="X38" s="12">
        <v>1.009</v>
      </c>
      <c r="Y38" s="13">
        <f>388378/1246666</f>
        <v>0.3115333217</v>
      </c>
      <c r="Z38" s="13">
        <f>52883/1246666</f>
        <v>0.0424195414</v>
      </c>
      <c r="AA38" s="13">
        <f>1246666/7419653.747</f>
        <v>0.1680221264</v>
      </c>
      <c r="AB38" s="13">
        <f>(1.58-1.58)/1.58</f>
        <v>0</v>
      </c>
    </row>
    <row r="39" ht="14.25" customHeight="1">
      <c r="B39" s="31" t="s">
        <v>100</v>
      </c>
      <c r="C39" s="31" t="s">
        <v>140</v>
      </c>
      <c r="D39" s="31" t="s">
        <v>141</v>
      </c>
      <c r="E39" s="31" t="s">
        <v>142</v>
      </c>
      <c r="F39" s="31" t="s">
        <v>143</v>
      </c>
      <c r="G39" s="21" t="s">
        <v>144</v>
      </c>
      <c r="H39" s="30">
        <v>40528.0</v>
      </c>
      <c r="I39" s="21">
        <v>598.5</v>
      </c>
      <c r="J39" s="21" t="s">
        <v>145</v>
      </c>
      <c r="K39" s="12">
        <f t="shared" ref="K39:K40" si="129">(0.007+0.069)/0.00095742710775634</f>
        <v>79.37941112</v>
      </c>
      <c r="L39" s="21">
        <v>0.041</v>
      </c>
      <c r="M39" s="13">
        <f t="shared" ref="M39:M40" si="130">139.85/32414</f>
        <v>0.004314493737</v>
      </c>
      <c r="N39" s="13">
        <f t="shared" ref="N39:N40" si="131">139.85/13520.3</f>
        <v>0.01034370539</v>
      </c>
      <c r="O39" s="13">
        <f t="shared" ref="O39:O40" si="132">2061.7/39539.498</f>
        <v>0.05214279655</v>
      </c>
      <c r="P39" s="12">
        <v>0.13</v>
      </c>
      <c r="Q39" s="13">
        <f t="shared" ref="Q39:Q40" si="133">(2061.7/0.13)/39539.498</f>
        <v>0.401098435</v>
      </c>
      <c r="R39" s="13">
        <f t="shared" ref="R39:R40" si="134">7.565/19923.8</f>
        <v>0.0003796966442</v>
      </c>
      <c r="S39" s="13">
        <f t="shared" ref="S39:S40" si="135">1282.4/35034.5</f>
        <v>0.03660391899</v>
      </c>
      <c r="T39" s="13">
        <f t="shared" ref="T39:T40" si="136">15893.8/35034.5</f>
        <v>0.4536613909</v>
      </c>
      <c r="U39" s="13">
        <f t="shared" ref="U39:U40" si="137">LN(35034.5)</f>
        <v>10.46408857</v>
      </c>
      <c r="V39" s="13">
        <f t="shared" ref="V39:V40" si="138">5736.9/35034.5</f>
        <v>0.1637500178</v>
      </c>
      <c r="W39" s="13">
        <f t="shared" ref="W39:W40" si="139">17166.7/35034.5</f>
        <v>0.4899941486</v>
      </c>
      <c r="X39" s="12">
        <v>1.27</v>
      </c>
      <c r="Y39" s="13">
        <f t="shared" ref="Y39:Y40" si="140">13520.3/35034.5</f>
        <v>0.3859138849</v>
      </c>
      <c r="Z39" s="13">
        <f t="shared" ref="Z39:Z40" si="141">2620.5/35034.5</f>
        <v>0.07479769941</v>
      </c>
      <c r="AA39" s="13">
        <f t="shared" ref="AA39:AA40" si="142">39539.498/6745139.77</f>
        <v>0.005861924193</v>
      </c>
      <c r="AB39" s="13">
        <f t="shared" ref="AB39:AB40" si="143">(1.57-1.56)/1.56</f>
        <v>0.00641025641</v>
      </c>
    </row>
    <row r="40" ht="14.25" customHeight="1">
      <c r="B40" s="31" t="s">
        <v>100</v>
      </c>
      <c r="C40" s="31" t="s">
        <v>140</v>
      </c>
      <c r="D40" s="31" t="s">
        <v>141</v>
      </c>
      <c r="E40" s="31" t="s">
        <v>146</v>
      </c>
      <c r="F40" s="31" t="s">
        <v>147</v>
      </c>
      <c r="G40" s="21" t="s">
        <v>144</v>
      </c>
      <c r="H40" s="30">
        <v>40528.0</v>
      </c>
      <c r="I40" s="21">
        <v>103.55</v>
      </c>
      <c r="J40" s="21" t="s">
        <v>145</v>
      </c>
      <c r="K40" s="12">
        <f t="shared" si="129"/>
        <v>79.37941112</v>
      </c>
      <c r="L40" s="21">
        <v>0.041</v>
      </c>
      <c r="M40" s="13">
        <f t="shared" si="130"/>
        <v>0.004314493737</v>
      </c>
      <c r="N40" s="13">
        <f t="shared" si="131"/>
        <v>0.01034370539</v>
      </c>
      <c r="O40" s="13">
        <f t="shared" si="132"/>
        <v>0.05214279655</v>
      </c>
      <c r="P40" s="12">
        <v>0.13</v>
      </c>
      <c r="Q40" s="13">
        <f t="shared" si="133"/>
        <v>0.401098435</v>
      </c>
      <c r="R40" s="13">
        <f t="shared" si="134"/>
        <v>0.0003796966442</v>
      </c>
      <c r="S40" s="13">
        <f t="shared" si="135"/>
        <v>0.03660391899</v>
      </c>
      <c r="T40" s="13">
        <f t="shared" si="136"/>
        <v>0.4536613909</v>
      </c>
      <c r="U40" s="13">
        <f t="shared" si="137"/>
        <v>10.46408857</v>
      </c>
      <c r="V40" s="13">
        <f t="shared" si="138"/>
        <v>0.1637500178</v>
      </c>
      <c r="W40" s="13">
        <f t="shared" si="139"/>
        <v>0.4899941486</v>
      </c>
      <c r="X40" s="12">
        <v>1.27</v>
      </c>
      <c r="Y40" s="13">
        <f t="shared" si="140"/>
        <v>0.3859138849</v>
      </c>
      <c r="Z40" s="13">
        <f t="shared" si="141"/>
        <v>0.07479769941</v>
      </c>
      <c r="AA40" s="13">
        <f t="shared" si="142"/>
        <v>0.005861924193</v>
      </c>
      <c r="AB40" s="13">
        <f t="shared" si="143"/>
        <v>0.00641025641</v>
      </c>
    </row>
    <row r="41" ht="14.25" customHeight="1">
      <c r="B41" s="31" t="s">
        <v>100</v>
      </c>
      <c r="C41" s="31" t="s">
        <v>148</v>
      </c>
      <c r="D41" s="31" t="s">
        <v>149</v>
      </c>
      <c r="E41" s="31" t="s">
        <v>150</v>
      </c>
      <c r="F41" s="31" t="s">
        <v>111</v>
      </c>
      <c r="G41" s="21" t="s">
        <v>151</v>
      </c>
      <c r="H41" s="30">
        <v>43565.0</v>
      </c>
      <c r="I41" s="32">
        <v>2000.0</v>
      </c>
      <c r="J41" s="21" t="s">
        <v>152</v>
      </c>
      <c r="K41" s="12">
        <f>(0.003+0.039)/0.00057735026918963</f>
        <v>72.74613392</v>
      </c>
      <c r="L41" s="21">
        <v>0.016</v>
      </c>
      <c r="M41" s="13">
        <f>3415.75/1711900</f>
        <v>0.001995297623</v>
      </c>
      <c r="N41" s="13">
        <f>3415.75/624500</f>
        <v>0.005469575661</v>
      </c>
      <c r="O41" s="13">
        <f>44200/1781000</f>
        <v>0.02481751825</v>
      </c>
      <c r="P41" s="21">
        <v>0.134</v>
      </c>
      <c r="Q41" s="13">
        <f>(44200/0.134)/1781000</f>
        <v>0.1852053601</v>
      </c>
      <c r="R41" s="13">
        <f>670/811500</f>
        <v>0.0008256315465</v>
      </c>
      <c r="S41" s="13">
        <f>79400/1781000</f>
        <v>0.04458169568</v>
      </c>
      <c r="T41" s="13">
        <f>808300/1781000</f>
        <v>0.4538461538</v>
      </c>
      <c r="U41" s="13">
        <f>LN(1781000)</f>
        <v>14.39268556</v>
      </c>
      <c r="V41" s="13">
        <f>464900/1781000</f>
        <v>0.2610331275</v>
      </c>
      <c r="W41" s="13">
        <f>811500/1781000</f>
        <v>0.4556428972</v>
      </c>
      <c r="X41" s="12">
        <v>1.299</v>
      </c>
      <c r="Y41" s="13">
        <f>624500/1781000</f>
        <v>0.3506457047</v>
      </c>
      <c r="Z41" s="13">
        <f>69100/1781000</f>
        <v>0.03879842785</v>
      </c>
      <c r="AA41" s="13">
        <f>1781000/8000000</f>
        <v>0.222625</v>
      </c>
      <c r="AB41" s="13">
        <f>(1.75-1.75)/1.75</f>
        <v>0</v>
      </c>
    </row>
    <row r="42" ht="14.25" customHeight="1">
      <c r="B42" s="31" t="s">
        <v>100</v>
      </c>
      <c r="C42" s="31" t="s">
        <v>153</v>
      </c>
      <c r="D42" s="31" t="s">
        <v>154</v>
      </c>
      <c r="E42" s="31" t="s">
        <v>155</v>
      </c>
      <c r="F42" s="31" t="s">
        <v>111</v>
      </c>
      <c r="G42" s="21" t="s">
        <v>156</v>
      </c>
      <c r="H42" s="29">
        <v>42921.0</v>
      </c>
      <c r="I42" s="21">
        <v>500.0</v>
      </c>
      <c r="J42" s="21" t="s">
        <v>157</v>
      </c>
      <c r="K42" s="21">
        <f>(0.002+0.039)/0.0005</f>
        <v>82</v>
      </c>
      <c r="L42" s="21">
        <v>0.027</v>
      </c>
      <c r="M42" s="13">
        <f>659.5/148379</f>
        <v>0.004444699048</v>
      </c>
      <c r="N42" s="13">
        <f>659.5/469541</f>
        <v>0.00140456318</v>
      </c>
      <c r="O42" s="13">
        <f>18195/488586</f>
        <v>0.0372401174</v>
      </c>
      <c r="P42" s="21">
        <v>0.162</v>
      </c>
      <c r="Q42" s="13">
        <f>(18195/0.162)/488586</f>
        <v>0.2298772679</v>
      </c>
      <c r="R42" s="13">
        <f>13/163105</f>
        <v>0.00007970325864</v>
      </c>
      <c r="S42" s="13">
        <f>13/488586</f>
        <v>0.00002660739358</v>
      </c>
      <c r="T42" s="13">
        <f>267085/488586</f>
        <v>0.5466489011</v>
      </c>
      <c r="U42" s="13">
        <f>ln(488586)</f>
        <v>13.09927078</v>
      </c>
      <c r="V42" s="13">
        <f>144421/488586</f>
        <v>0.2955897222</v>
      </c>
      <c r="W42" s="13">
        <f>163105/488586</f>
        <v>0.3338306869</v>
      </c>
      <c r="X42" s="12">
        <v>1.099</v>
      </c>
      <c r="Y42" s="13">
        <f>148379/488586</f>
        <v>0.3036906502</v>
      </c>
      <c r="Z42" s="13">
        <f>19045/488586       </f>
        <v>0.0389798316</v>
      </c>
      <c r="AA42" s="13">
        <f>488586/5795788.42</f>
        <v>0.08430017878</v>
      </c>
      <c r="AB42" s="13">
        <f>(1.7-1.69)/1.69</f>
        <v>0.005917159763</v>
      </c>
    </row>
    <row r="43" ht="14.25" customHeight="1">
      <c r="B43" s="31" t="s">
        <v>100</v>
      </c>
      <c r="C43" s="31" t="s">
        <v>158</v>
      </c>
      <c r="D43" s="31" t="s">
        <v>159</v>
      </c>
      <c r="E43" s="31" t="s">
        <v>160</v>
      </c>
      <c r="F43" s="31" t="s">
        <v>161</v>
      </c>
      <c r="G43" s="21" t="s">
        <v>162</v>
      </c>
      <c r="H43" s="30">
        <v>43763.0</v>
      </c>
      <c r="I43" s="32">
        <v>1719.78</v>
      </c>
      <c r="J43" s="21" t="s">
        <v>163</v>
      </c>
      <c r="K43" s="12">
        <f>(0.006+0.058)/0.0015</f>
        <v>42.66666667</v>
      </c>
      <c r="L43" s="21">
        <v>0.049</v>
      </c>
      <c r="M43" s="13">
        <f>228.8/68231.2       </f>
        <v>0.003353304647</v>
      </c>
      <c r="N43" s="13">
        <f>228.8/3441.8      </f>
        <v>0.06647684351</v>
      </c>
      <c r="O43" s="13">
        <f>17391.62/71931.6       </f>
        <v>0.2417799687</v>
      </c>
      <c r="P43" s="21">
        <v>0.305</v>
      </c>
      <c r="Q43" s="13">
        <f>(17391.62/0.305)/71931.6       </f>
        <v>0.792721209</v>
      </c>
      <c r="R43" s="13">
        <f>1.1/50912.6</f>
        <v>0.00002160565361</v>
      </c>
      <c r="S43" s="13">
        <f>7959.7/71931.6</f>
        <v>0.1106565126</v>
      </c>
      <c r="T43" s="13">
        <f>11858.9/71931.6</f>
        <v>0.1648635648</v>
      </c>
      <c r="U43" s="13">
        <f>ln(71931.6)</f>
        <v>11.18347095</v>
      </c>
      <c r="V43" s="13">
        <f>696.1/71931.6</f>
        <v>0.009677248942</v>
      </c>
      <c r="W43" s="13">
        <f>50912.6/71931.6</f>
        <v>0.7077918467</v>
      </c>
      <c r="X43" s="33">
        <v>14.792</v>
      </c>
      <c r="Y43" s="13">
        <f>3441.8/71931.6</f>
        <v>0.0478482336</v>
      </c>
      <c r="Z43" s="13">
        <f>3700.4/71931.6</f>
        <v>0.05144331559</v>
      </c>
      <c r="AA43" s="13">
        <f>71931.6/8000000</f>
        <v>0.00899145</v>
      </c>
      <c r="AB43" s="13">
        <f>(1.65-1.74)/1.74</f>
        <v>-0.05172413793</v>
      </c>
    </row>
    <row r="44" ht="14.25" customHeight="1">
      <c r="B44" s="31" t="s">
        <v>100</v>
      </c>
      <c r="C44" s="31" t="s">
        <v>158</v>
      </c>
      <c r="D44" s="31" t="s">
        <v>159</v>
      </c>
      <c r="E44" s="31" t="s">
        <v>164</v>
      </c>
      <c r="F44" s="31" t="s">
        <v>165</v>
      </c>
      <c r="G44" s="21" t="s">
        <v>162</v>
      </c>
      <c r="H44" s="30">
        <v>44160.0</v>
      </c>
      <c r="I44" s="32">
        <v>1847.92</v>
      </c>
      <c r="J44" s="21" t="s">
        <v>166</v>
      </c>
      <c r="K44" s="12">
        <f t="shared" ref="K44:K45" si="144">(0.018+0.264)/0.0078049129826454</f>
        <v>36.13108828</v>
      </c>
      <c r="L44" s="21">
        <v>0.042</v>
      </c>
      <c r="M44" s="13">
        <f t="shared" ref="M44:M45" si="145">242.9/72265.8</f>
        <v>0.003361202671</v>
      </c>
      <c r="N44" s="13">
        <f t="shared" ref="N44:N45" si="146">242.9/2485.9</f>
        <v>0.09771109055</v>
      </c>
      <c r="O44" s="13">
        <f t="shared" ref="O44:O45" si="147">24178/99391.8</f>
        <v>0.2432595043</v>
      </c>
      <c r="P44" s="21">
        <v>0.305</v>
      </c>
      <c r="Q44" s="13">
        <f t="shared" ref="Q44:Q45" si="148">(24178/0.305)/99391.8</f>
        <v>0.7975721453</v>
      </c>
      <c r="R44" s="13">
        <f t="shared" ref="R44:R45" si="149">1.1/54649.8</f>
        <v>0.00002012816149</v>
      </c>
      <c r="S44" s="13">
        <f t="shared" ref="S44:S45" si="150">8619.4/99391.8</f>
        <v>0.0867214398</v>
      </c>
      <c r="T44" s="13">
        <f t="shared" ref="T44:T45" si="151">34299.7/99391.8</f>
        <v>0.3450958731</v>
      </c>
      <c r="U44" s="13">
        <f t="shared" ref="U44:U45" si="152">ln(99391.8)</f>
        <v>11.50682489</v>
      </c>
      <c r="V44" s="13">
        <f t="shared" ref="V44:V45" si="153">6104.7/99391.8</f>
        <v>0.06142055984</v>
      </c>
      <c r="W44" s="13">
        <f t="shared" ref="W44:W45" si="154">54649.8/99391.8</f>
        <v>0.5498421399</v>
      </c>
      <c r="X44" s="12">
        <v>21.984</v>
      </c>
      <c r="Y44" s="13">
        <f t="shared" ref="Y44:Y45" si="155">2485.9/99391.8</f>
        <v>0.02501111762</v>
      </c>
      <c r="Z44" s="13">
        <f t="shared" ref="Z44:Z45" si="156">27126/99391.8</f>
        <v>0.2729198988</v>
      </c>
      <c r="AA44" s="13">
        <f t="shared" ref="AA44:AA45" si="157">99391.8/8000000</f>
        <v>0.012423975</v>
      </c>
      <c r="AB44" s="13">
        <f t="shared" ref="AB44:AB45" si="158">(1.67-1.67)/1.67</f>
        <v>0</v>
      </c>
    </row>
    <row r="45" ht="14.25" customHeight="1">
      <c r="B45" s="31" t="s">
        <v>100</v>
      </c>
      <c r="C45" s="31" t="s">
        <v>158</v>
      </c>
      <c r="D45" s="31" t="s">
        <v>167</v>
      </c>
      <c r="E45" s="31" t="s">
        <v>168</v>
      </c>
      <c r="F45" s="31" t="s">
        <v>111</v>
      </c>
      <c r="G45" s="21" t="s">
        <v>162</v>
      </c>
      <c r="H45" s="30">
        <v>44160.0</v>
      </c>
      <c r="I45" s="32">
        <v>1551.7</v>
      </c>
      <c r="J45" s="21" t="s">
        <v>166</v>
      </c>
      <c r="K45" s="12">
        <f t="shared" si="144"/>
        <v>36.13108828</v>
      </c>
      <c r="L45" s="21">
        <v>0.042</v>
      </c>
      <c r="M45" s="13">
        <f t="shared" si="145"/>
        <v>0.003361202671</v>
      </c>
      <c r="N45" s="13">
        <f t="shared" si="146"/>
        <v>0.09771109055</v>
      </c>
      <c r="O45" s="13">
        <f t="shared" si="147"/>
        <v>0.2432595043</v>
      </c>
      <c r="P45" s="21">
        <v>0.305</v>
      </c>
      <c r="Q45" s="13">
        <f t="shared" si="148"/>
        <v>0.7975721453</v>
      </c>
      <c r="R45" s="13">
        <f t="shared" si="149"/>
        <v>0.00002012816149</v>
      </c>
      <c r="S45" s="13">
        <f t="shared" si="150"/>
        <v>0.0867214398</v>
      </c>
      <c r="T45" s="13">
        <f t="shared" si="151"/>
        <v>0.3450958731</v>
      </c>
      <c r="U45" s="13">
        <f t="shared" si="152"/>
        <v>11.50682489</v>
      </c>
      <c r="V45" s="13">
        <f t="shared" si="153"/>
        <v>0.06142055984</v>
      </c>
      <c r="W45" s="13">
        <f t="shared" si="154"/>
        <v>0.5498421399</v>
      </c>
      <c r="X45" s="12">
        <v>21.984</v>
      </c>
      <c r="Y45" s="13">
        <f t="shared" si="155"/>
        <v>0.02501111762</v>
      </c>
      <c r="Z45" s="13">
        <f t="shared" si="156"/>
        <v>0.2729198988</v>
      </c>
      <c r="AA45" s="13">
        <f t="shared" si="157"/>
        <v>0.012423975</v>
      </c>
      <c r="AB45" s="13">
        <f t="shared" si="158"/>
        <v>0</v>
      </c>
    </row>
    <row r="46" ht="14.25" customHeight="1">
      <c r="B46" s="31" t="s">
        <v>100</v>
      </c>
      <c r="C46" s="31" t="s">
        <v>169</v>
      </c>
      <c r="D46" s="31" t="s">
        <v>170</v>
      </c>
      <c r="E46" s="31" t="s">
        <v>171</v>
      </c>
      <c r="F46" s="31" t="s">
        <v>172</v>
      </c>
      <c r="G46" s="21" t="s">
        <v>173</v>
      </c>
      <c r="H46" s="30">
        <v>43301.0</v>
      </c>
      <c r="I46" s="32">
        <v>1000.0</v>
      </c>
      <c r="J46" s="21" t="s">
        <v>174</v>
      </c>
      <c r="K46" s="12">
        <f>(0.009+(1934/17442))/0.00095742710775634</f>
        <v>125.2124351</v>
      </c>
      <c r="L46" s="12">
        <f>1526/14706</f>
        <v>0.1037671699</v>
      </c>
      <c r="M46" s="13">
        <f>46.5/15508</f>
        <v>0.002998452412</v>
      </c>
      <c r="N46" s="13">
        <f>46.5/12115</f>
        <v>0.003838217086</v>
      </c>
      <c r="O46" s="13">
        <f>1782.57/17442</f>
        <v>0.1021998624</v>
      </c>
      <c r="P46" s="21">
        <v>0.155</v>
      </c>
      <c r="Q46" s="13">
        <f>(1782.57/0.155)/17442</f>
        <v>0.659353951</v>
      </c>
      <c r="R46" s="13">
        <f>10.75/14706</f>
        <v>0.000730994152</v>
      </c>
      <c r="S46" s="13">
        <f>666.28/17442</f>
        <v>0.03819974774</v>
      </c>
      <c r="T46" s="13">
        <f>957.57/17442</f>
        <v>0.0549002408</v>
      </c>
      <c r="U46" s="13">
        <f>ln(17442)</f>
        <v>9.76663637</v>
      </c>
      <c r="V46" s="13">
        <f>94.41/17442</f>
        <v>0.005412796698</v>
      </c>
      <c r="W46" s="13">
        <f>14706/17442</f>
        <v>0.8431372549</v>
      </c>
      <c r="X46" s="13">
        <f>14706/12115</f>
        <v>1.213867107</v>
      </c>
      <c r="Y46" s="13">
        <f>12115/17442</f>
        <v>0.6945877766</v>
      </c>
      <c r="Z46" s="13">
        <f>1934/17442</f>
        <v>0.1108817796</v>
      </c>
      <c r="AA46" s="13">
        <f>0/6195788.42</f>
        <v>0</v>
      </c>
      <c r="AB46" s="13">
        <f>(1.72-1.71)/1.71</f>
        <v>0.005847953216</v>
      </c>
    </row>
    <row r="47" ht="14.25" customHeight="1">
      <c r="B47" s="31" t="s">
        <v>100</v>
      </c>
      <c r="C47" s="31" t="s">
        <v>175</v>
      </c>
      <c r="D47" s="31" t="s">
        <v>176</v>
      </c>
      <c r="E47" s="31" t="s">
        <v>177</v>
      </c>
      <c r="F47" s="31" t="s">
        <v>178</v>
      </c>
      <c r="G47" s="21" t="s">
        <v>179</v>
      </c>
      <c r="H47" s="30">
        <v>44253.0</v>
      </c>
      <c r="I47" s="32">
        <v>1400.0</v>
      </c>
      <c r="J47" s="21" t="s">
        <v>180</v>
      </c>
      <c r="K47" s="13">
        <f>(0.005+(120463/2671803)/0.00095742710775634)</f>
        <v>47.09660818</v>
      </c>
      <c r="L47" s="21">
        <v>0.035</v>
      </c>
      <c r="M47" s="13">
        <f>11883/2551340</f>
        <v>0.004657552502</v>
      </c>
      <c r="N47" s="13">
        <f>11883/1015913</f>
        <v>0.01169686774</v>
      </c>
      <c r="O47" s="13">
        <f>100162/2671803</f>
        <v>0.03748854238</v>
      </c>
      <c r="P47" s="21">
        <v>0.142</v>
      </c>
      <c r="Q47" s="13">
        <f>(100162/0.142)/2671803</f>
        <v>0.2640038196</v>
      </c>
      <c r="R47" s="13">
        <f>1061.75/870582</f>
        <v>0.001219586438</v>
      </c>
      <c r="S47" s="13">
        <f>392818/2671803</f>
        <v>0.1470235642</v>
      </c>
      <c r="T47" s="13">
        <f>1235952/2671803</f>
        <v>0.4625909919</v>
      </c>
      <c r="U47" s="13">
        <f>ln(2671803)</f>
        <v>14.79826408</v>
      </c>
      <c r="V47" s="13">
        <f>511215/2671803</f>
        <v>0.1913370859</v>
      </c>
      <c r="W47" s="13">
        <f>870582/2671803</f>
        <v>0.3258406402</v>
      </c>
      <c r="X47" s="12">
        <v>0.857</v>
      </c>
      <c r="Y47" s="13">
        <f>1015913/2671803</f>
        <v>0.3802349949</v>
      </c>
      <c r="Z47" s="13">
        <f>120463/2671803</f>
        <v>0.04508678222</v>
      </c>
      <c r="AA47" s="13">
        <f>2671803/8073000</f>
        <v>0.3309554069</v>
      </c>
      <c r="AB47" s="13">
        <f>(1.69-1.67)/1.67</f>
        <v>0.0119760479</v>
      </c>
    </row>
    <row r="48" ht="14.25" customHeight="1">
      <c r="B48" s="31" t="s">
        <v>100</v>
      </c>
      <c r="C48" s="31" t="s">
        <v>181</v>
      </c>
      <c r="D48" s="31" t="s">
        <v>182</v>
      </c>
      <c r="E48" s="31" t="s">
        <v>183</v>
      </c>
      <c r="F48" s="31" t="s">
        <v>184</v>
      </c>
      <c r="G48" s="21" t="s">
        <v>138</v>
      </c>
      <c r="H48" s="30">
        <v>40505.0</v>
      </c>
      <c r="I48" s="32">
        <v>1859.4</v>
      </c>
      <c r="J48" s="21" t="s">
        <v>145</v>
      </c>
      <c r="K48" s="21">
        <f>(0.004+0.045)/0.0005</f>
        <v>98</v>
      </c>
      <c r="L48" s="21">
        <v>0.058</v>
      </c>
      <c r="M48" s="13">
        <f>10091/1088000</f>
        <v>0.009274816176</v>
      </c>
      <c r="N48" s="13">
        <f>10091/340900</f>
        <v>0.02960105603</v>
      </c>
      <c r="O48" s="13">
        <f>36464/1139800</f>
        <v>0.03199157747</v>
      </c>
      <c r="P48" s="21">
        <v>0.113</v>
      </c>
      <c r="Q48" s="13">
        <f>(36464/0.113)/1139800</f>
        <v>0.283111305</v>
      </c>
      <c r="R48" s="13">
        <f>1458/401100</f>
        <v>0.00363500374</v>
      </c>
      <c r="S48" s="13">
        <f>23900/1139800</f>
        <v>0.02096859098</v>
      </c>
      <c r="T48" s="13">
        <f>560900/1139800</f>
        <v>0.4921038779</v>
      </c>
      <c r="U48" s="13">
        <f>ln(1139800)</f>
        <v>13.94636337</v>
      </c>
      <c r="V48" s="13">
        <f>448400/1139800</f>
        <v>0.3934023513</v>
      </c>
      <c r="W48" s="13">
        <f>401100/1139800</f>
        <v>0.3519038428</v>
      </c>
      <c r="X48" s="12">
        <v>1.177</v>
      </c>
      <c r="Y48" s="13">
        <f>340900/1139800</f>
        <v>0.2990875592</v>
      </c>
      <c r="Z48" s="13">
        <f>51800/1139800</f>
        <v>0.04544656957</v>
      </c>
      <c r="AA48" s="13">
        <f>1139800/6745139.77</f>
        <v>0.1689809313</v>
      </c>
      <c r="AB48" s="13">
        <f>(1.57-1.56)/1.56</f>
        <v>0.00641025641</v>
      </c>
    </row>
    <row r="49" ht="14.25" customHeight="1">
      <c r="B49" s="31" t="s">
        <v>100</v>
      </c>
      <c r="C49" s="31" t="s">
        <v>185</v>
      </c>
      <c r="D49" s="31" t="s">
        <v>186</v>
      </c>
      <c r="E49" s="31" t="s">
        <v>187</v>
      </c>
      <c r="F49" s="31" t="s">
        <v>188</v>
      </c>
      <c r="G49" s="21" t="s">
        <v>105</v>
      </c>
      <c r="H49" s="30">
        <v>41593.0</v>
      </c>
      <c r="I49" s="21">
        <v>188.9</v>
      </c>
      <c r="J49" s="21" t="s">
        <v>189</v>
      </c>
      <c r="K49" s="12">
        <f>(0.03+(304.2/8149.8))/0.0062716292407423</f>
        <v>10.73502064</v>
      </c>
      <c r="L49" s="21">
        <v>0.032</v>
      </c>
      <c r="M49" s="13">
        <f>60.4/7845.7</f>
        <v>0.00769848452</v>
      </c>
      <c r="N49" s="13">
        <f>60.4/5923.22</f>
        <v>0.01019715628</v>
      </c>
      <c r="O49" s="13">
        <f>773.92/8149.8</f>
        <v>0.09496183955</v>
      </c>
      <c r="P49" s="21">
        <v>0.133</v>
      </c>
      <c r="Q49" s="13">
        <f>(773.92/0.113)/8149.8</f>
        <v>0.8403702615</v>
      </c>
      <c r="R49" s="13">
        <v>0.002972771395</v>
      </c>
      <c r="S49" s="13">
        <f>98.4/7921.2</f>
        <v>0.01242236025</v>
      </c>
      <c r="T49" s="13">
        <f>2323.1/7921.2</f>
        <v>0.2932762713</v>
      </c>
      <c r="U49" s="13">
        <f>ln(8005.2)</f>
        <v>8.98784661</v>
      </c>
      <c r="V49" s="13">
        <f>2224.7/7921.2</f>
        <v>0.280853911</v>
      </c>
      <c r="W49" s="21">
        <v>0.6705</v>
      </c>
      <c r="X49" s="12">
        <v>1.11678</v>
      </c>
      <c r="Y49" s="13">
        <v>0.600405494</v>
      </c>
      <c r="Z49" s="13">
        <f>252.7/8005.2</f>
        <v>0.03156698146</v>
      </c>
      <c r="AA49" s="13">
        <f>8005.2/6945139.77</f>
        <v>0.00115263339</v>
      </c>
      <c r="AB49" s="13">
        <f>(1.6-1.6)/1.6</f>
        <v>0</v>
      </c>
    </row>
    <row r="50" ht="14.25" customHeight="1">
      <c r="B50" s="31" t="s">
        <v>100</v>
      </c>
      <c r="C50" s="31" t="s">
        <v>190</v>
      </c>
      <c r="D50" s="31" t="s">
        <v>191</v>
      </c>
      <c r="E50" s="31" t="s">
        <v>192</v>
      </c>
      <c r="F50" s="31" t="s">
        <v>193</v>
      </c>
      <c r="G50" s="21" t="s">
        <v>194</v>
      </c>
      <c r="H50" s="30">
        <v>42941.0</v>
      </c>
      <c r="I50" s="21">
        <v>675.0</v>
      </c>
      <c r="J50" s="21" t="s">
        <v>157</v>
      </c>
      <c r="K50" s="21">
        <f>(0.016+0.095)/0.0005</f>
        <v>222</v>
      </c>
      <c r="L50" s="21">
        <v>0.012</v>
      </c>
      <c r="M50" s="13">
        <f>188/44990</f>
        <v>0.004178706379</v>
      </c>
      <c r="N50" s="13">
        <f>188/16029</f>
        <v>0.01172874166</v>
      </c>
      <c r="O50" s="13">
        <f>4932/49709</f>
        <v>0.09921744553</v>
      </c>
      <c r="P50" s="12">
        <v>0.15</v>
      </c>
      <c r="Q50" s="13">
        <f>(4932/0.15)/49709</f>
        <v>0.6614496369</v>
      </c>
      <c r="R50" s="13">
        <f>25.25/43767</f>
        <v>0.000576918683</v>
      </c>
      <c r="S50" s="13">
        <f>2209/49709</f>
        <v>0.04443863284</v>
      </c>
      <c r="T50" s="13">
        <f>3721/49709</f>
        <v>0.07485565994</v>
      </c>
      <c r="U50" s="13">
        <f>ln(49709)</f>
        <v>10.81394128</v>
      </c>
      <c r="V50" s="13">
        <f>123/49709</f>
        <v>0.002474401014</v>
      </c>
      <c r="W50" s="13">
        <f>44952/49709</f>
        <v>0.9043030437</v>
      </c>
      <c r="X50" s="12">
        <v>2.804</v>
      </c>
      <c r="Y50" s="13">
        <f>16029/49709</f>
        <v>0.322456698</v>
      </c>
      <c r="Z50" s="13">
        <f>4719/49709</f>
        <v>0.09493250719</v>
      </c>
      <c r="AA50" s="13">
        <f>49709/5795788.42</f>
        <v>0.008576745112</v>
      </c>
      <c r="AB50" s="13">
        <f>(1.7-1.69)/1.69</f>
        <v>0.005917159763</v>
      </c>
    </row>
    <row r="51" ht="14.25" customHeight="1">
      <c r="B51" s="31" t="s">
        <v>195</v>
      </c>
      <c r="C51" s="31" t="s">
        <v>196</v>
      </c>
      <c r="D51" s="31" t="s">
        <v>197</v>
      </c>
      <c r="E51" s="31" t="s">
        <v>198</v>
      </c>
      <c r="F51" s="31" t="s">
        <v>199</v>
      </c>
      <c r="G51" s="21" t="s">
        <v>200</v>
      </c>
      <c r="H51" s="30">
        <v>42356.0</v>
      </c>
      <c r="I51" s="32">
        <v>2375.0</v>
      </c>
      <c r="J51" s="21" t="s">
        <v>201</v>
      </c>
      <c r="K51" s="21">
        <f t="shared" ref="K51:K52" si="159">(0.002+0.068)/0.001</f>
        <v>70</v>
      </c>
      <c r="L51" s="21">
        <v>0.024</v>
      </c>
      <c r="M51" s="13">
        <f t="shared" ref="M51:M52" si="160">403/292980</f>
        <v>0.001375520513</v>
      </c>
      <c r="N51" s="13">
        <f t="shared" ref="N51:N52" si="161">403/123693</f>
        <v>0.003258066342</v>
      </c>
      <c r="O51" s="13">
        <f t="shared" ref="O51:O52" si="162">19456/313878</f>
        <v>0.06198586712</v>
      </c>
      <c r="P51" s="21">
        <v>0.235</v>
      </c>
      <c r="Q51" s="13">
        <f t="shared" ref="Q51:Q52" si="163">(19456/0.235)/313878</f>
        <v>0.2637696473</v>
      </c>
      <c r="R51" s="13">
        <f t="shared" ref="R51:R52" si="164">4/114678</f>
        <v>0.00003488027346</v>
      </c>
      <c r="S51" s="13">
        <f t="shared" ref="S51:S52" si="165">5703/313878</f>
        <v>0.01816947986</v>
      </c>
      <c r="T51" s="13">
        <f t="shared" ref="T51:T52" si="166">166559/313878</f>
        <v>0.5306488508</v>
      </c>
      <c r="U51" s="13">
        <f t="shared" ref="U51:U52" si="167">ln(313878)</f>
        <v>12.65675965</v>
      </c>
      <c r="V51" s="13">
        <f t="shared" ref="V51:V52" si="168">104661/313878</f>
        <v>0.3334448416</v>
      </c>
      <c r="W51" s="13">
        <f t="shared" ref="W51:W52" si="169">125161/313878</f>
        <v>0.3987568418</v>
      </c>
      <c r="X51" s="12">
        <v>1.012</v>
      </c>
      <c r="Y51" s="13">
        <f t="shared" ref="Y51:Y52" si="170">123693/313878</f>
        <v>0.3940798654</v>
      </c>
      <c r="Z51" s="13">
        <f t="shared" ref="Z51:Z52" si="171">20898/313878</f>
        <v>0.06658000879</v>
      </c>
      <c r="AA51" s="13">
        <f t="shared" ref="AA51:AA52" si="172">313878/7880812.274</f>
        <v>0.039828128</v>
      </c>
      <c r="AB51" s="13">
        <f t="shared" ref="AB51:AB52" si="173">(3.41-3.38)/3.38</f>
        <v>0.008875739645</v>
      </c>
    </row>
    <row r="52" ht="14.25" customHeight="1">
      <c r="B52" s="31" t="s">
        <v>195</v>
      </c>
      <c r="C52" s="31" t="s">
        <v>196</v>
      </c>
      <c r="D52" s="31" t="s">
        <v>197</v>
      </c>
      <c r="E52" s="31" t="s">
        <v>202</v>
      </c>
      <c r="F52" s="31" t="s">
        <v>203</v>
      </c>
      <c r="G52" s="21" t="s">
        <v>200</v>
      </c>
      <c r="H52" s="30">
        <v>42356.0</v>
      </c>
      <c r="I52" s="32">
        <v>1425.0</v>
      </c>
      <c r="J52" s="21" t="s">
        <v>201</v>
      </c>
      <c r="K52" s="21">
        <f t="shared" si="159"/>
        <v>70</v>
      </c>
      <c r="L52" s="21">
        <v>0.024</v>
      </c>
      <c r="M52" s="13">
        <f t="shared" si="160"/>
        <v>0.001375520513</v>
      </c>
      <c r="N52" s="13">
        <f t="shared" si="161"/>
        <v>0.003258066342</v>
      </c>
      <c r="O52" s="13">
        <f t="shared" si="162"/>
        <v>0.06198586712</v>
      </c>
      <c r="P52" s="21">
        <v>0.235</v>
      </c>
      <c r="Q52" s="13">
        <f t="shared" si="163"/>
        <v>0.2637696473</v>
      </c>
      <c r="R52" s="13">
        <f t="shared" si="164"/>
        <v>0.00003488027346</v>
      </c>
      <c r="S52" s="13">
        <f t="shared" si="165"/>
        <v>0.01816947986</v>
      </c>
      <c r="T52" s="13">
        <f t="shared" si="166"/>
        <v>0.5306488508</v>
      </c>
      <c r="U52" s="13">
        <f t="shared" si="167"/>
        <v>12.65675965</v>
      </c>
      <c r="V52" s="13">
        <f t="shared" si="168"/>
        <v>0.3334448416</v>
      </c>
      <c r="W52" s="13">
        <f t="shared" si="169"/>
        <v>0.3987568418</v>
      </c>
      <c r="X52" s="12">
        <v>1.012</v>
      </c>
      <c r="Y52" s="13">
        <f t="shared" si="170"/>
        <v>0.3940798654</v>
      </c>
      <c r="Z52" s="13">
        <f t="shared" si="171"/>
        <v>0.06658000879</v>
      </c>
      <c r="AA52" s="13">
        <f t="shared" si="172"/>
        <v>0.039828128</v>
      </c>
      <c r="AB52" s="13">
        <f t="shared" si="173"/>
        <v>0.008875739645</v>
      </c>
    </row>
    <row r="53" ht="14.25" customHeight="1">
      <c r="B53" s="31" t="s">
        <v>195</v>
      </c>
      <c r="C53" s="31" t="s">
        <v>204</v>
      </c>
      <c r="D53" s="31" t="s">
        <v>205</v>
      </c>
      <c r="E53" s="31" t="s">
        <v>206</v>
      </c>
      <c r="F53" s="31" t="s">
        <v>207</v>
      </c>
      <c r="G53" s="21" t="s">
        <v>208</v>
      </c>
      <c r="H53" s="30">
        <v>40095.0</v>
      </c>
      <c r="I53" s="21">
        <v>713.4</v>
      </c>
      <c r="J53" s="21" t="s">
        <v>68</v>
      </c>
      <c r="K53" s="12">
        <f>(0.003+0.032)/0.0028284271247462</f>
        <v>12.37436867</v>
      </c>
      <c r="L53" s="21">
        <v>0.058</v>
      </c>
      <c r="M53" s="13">
        <f>2725/818321</f>
        <v>0.003329989087</v>
      </c>
      <c r="N53" s="13">
        <f>2725/260411</f>
        <v>0.0104642277</v>
      </c>
      <c r="O53" s="13">
        <f>30038/846109</f>
        <v>0.03550133612</v>
      </c>
      <c r="P53" s="21">
        <v>0.108</v>
      </c>
      <c r="Q53" s="13">
        <f>(30038/0.108)/846109</f>
        <v>0.3287160752</v>
      </c>
      <c r="R53" s="13">
        <f>404/377258</f>
        <v>0.001070885177</v>
      </c>
      <c r="S53" s="13">
        <f>9486/846109</f>
        <v>0.01121132147</v>
      </c>
      <c r="T53" s="13">
        <f>449133/846109</f>
        <v>0.530821679</v>
      </c>
      <c r="U53" s="13">
        <f>ln(846109)</f>
        <v>13.64840347</v>
      </c>
      <c r="V53" s="13">
        <f>235474/846109</f>
        <v>0.2783022046</v>
      </c>
      <c r="W53" s="13">
        <f>377258/846109</f>
        <v>0.445873995</v>
      </c>
      <c r="X53" s="12">
        <v>1.449</v>
      </c>
      <c r="Y53" s="13">
        <f>260411/846109</f>
        <v>0.3077747666</v>
      </c>
      <c r="Z53" s="13">
        <f>27788/846109</f>
        <v>0.03284210427</v>
      </c>
      <c r="AA53" s="13">
        <f>844103/8750138.99</f>
        <v>0.09646738194</v>
      </c>
      <c r="AB53" s="13">
        <f>(3.01-2.99)/2.99</f>
        <v>0.006688963211</v>
      </c>
    </row>
    <row r="54" ht="14.25" customHeight="1">
      <c r="B54" s="31" t="s">
        <v>195</v>
      </c>
      <c r="C54" s="31" t="s">
        <v>209</v>
      </c>
      <c r="D54" s="31" t="s">
        <v>210</v>
      </c>
      <c r="E54" s="31" t="s">
        <v>211</v>
      </c>
      <c r="F54" s="31" t="s">
        <v>212</v>
      </c>
      <c r="G54" s="21" t="s">
        <v>213</v>
      </c>
      <c r="H54" s="34">
        <v>43958.0</v>
      </c>
      <c r="I54" s="21">
        <v>726.7</v>
      </c>
      <c r="J54" s="21" t="s">
        <v>214</v>
      </c>
      <c r="K54" s="12">
        <f t="shared" ref="K54:K55" si="174">(0.004+0.056)/0.0022173557826083</f>
        <v>27.05925701</v>
      </c>
      <c r="L54" s="21">
        <v>0.026</v>
      </c>
      <c r="M54" s="13">
        <f t="shared" ref="M54:M55" si="175">108.3/20317.8</f>
        <v>0.005330301509</v>
      </c>
      <c r="N54" s="13">
        <f t="shared" ref="N54:N55" si="176">108.3/13011.4</f>
        <v>0.008323470188</v>
      </c>
      <c r="O54" s="13">
        <f t="shared" ref="O54:O55" si="177">1098.2/21475.2</f>
        <v>0.05113805692</v>
      </c>
      <c r="P54" s="21">
        <v>0.127</v>
      </c>
      <c r="Q54" s="13">
        <f t="shared" ref="Q54:Q55" si="178">(1098.2/0.127)/21475.2</f>
        <v>0.4026618655</v>
      </c>
      <c r="R54" s="13">
        <f t="shared" ref="R54:R55" si="179">9.35/16148.2</f>
        <v>0.0005790119023</v>
      </c>
      <c r="S54" s="13">
        <f t="shared" ref="S54:S55" si="180">465.8/21475.2</f>
        <v>0.0216901356</v>
      </c>
      <c r="T54" s="13">
        <f t="shared" ref="T54:T55" si="181">2908.2/21475.2</f>
        <v>0.1354213232</v>
      </c>
      <c r="U54" s="13">
        <f t="shared" ref="U54:U55" si="182">ln(21475.2)</f>
        <v>9.97465406</v>
      </c>
      <c r="V54" s="13">
        <f t="shared" ref="V54:V55" si="183">2.7/21475.2</f>
        <v>0.0001257264193</v>
      </c>
      <c r="W54" s="13">
        <f t="shared" ref="W54:W55" si="184">16148.2/21475.2</f>
        <v>0.7519464312</v>
      </c>
      <c r="X54" s="12">
        <f t="shared" ref="X54:X55" si="185">16148.2/13011.4</f>
        <v>1.241080898</v>
      </c>
      <c r="Y54" s="13">
        <f t="shared" ref="Y54:Y55" si="186">13011.4/21475.2</f>
        <v>0.6058802712</v>
      </c>
      <c r="Z54" s="13">
        <f t="shared" ref="Z54:Z55" si="187">1157.3/21475.2</f>
        <v>0.05389006854</v>
      </c>
      <c r="AA54" s="13">
        <f t="shared" ref="AA54:AA55" si="188">19644.3/9002000</f>
        <v>0.002182215063</v>
      </c>
      <c r="AB54" s="13">
        <f t="shared" ref="AB54:AB55" si="189">(3.51-3.22)/3.22</f>
        <v>0.0900621118</v>
      </c>
    </row>
    <row r="55" ht="14.25" customHeight="1">
      <c r="B55" s="31" t="s">
        <v>195</v>
      </c>
      <c r="C55" s="31" t="s">
        <v>209</v>
      </c>
      <c r="D55" s="31" t="s">
        <v>210</v>
      </c>
      <c r="E55" s="31" t="s">
        <v>215</v>
      </c>
      <c r="F55" s="31" t="s">
        <v>216</v>
      </c>
      <c r="G55" s="21" t="s">
        <v>213</v>
      </c>
      <c r="H55" s="34">
        <v>43958.0</v>
      </c>
      <c r="I55" s="21">
        <v>52.6</v>
      </c>
      <c r="J55" s="21" t="s">
        <v>214</v>
      </c>
      <c r="K55" s="12">
        <f t="shared" si="174"/>
        <v>27.05925701</v>
      </c>
      <c r="L55" s="21">
        <v>0.026</v>
      </c>
      <c r="M55" s="13">
        <f t="shared" si="175"/>
        <v>0.005330301509</v>
      </c>
      <c r="N55" s="13">
        <f t="shared" si="176"/>
        <v>0.008323470188</v>
      </c>
      <c r="O55" s="13">
        <f t="shared" si="177"/>
        <v>0.05113805692</v>
      </c>
      <c r="P55" s="21">
        <v>0.127</v>
      </c>
      <c r="Q55" s="13">
        <f t="shared" si="178"/>
        <v>0.4026618655</v>
      </c>
      <c r="R55" s="13">
        <f t="shared" si="179"/>
        <v>0.0005790119023</v>
      </c>
      <c r="S55" s="13">
        <f t="shared" si="180"/>
        <v>0.0216901356</v>
      </c>
      <c r="T55" s="13">
        <f t="shared" si="181"/>
        <v>0.1354213232</v>
      </c>
      <c r="U55" s="13">
        <f t="shared" si="182"/>
        <v>9.97465406</v>
      </c>
      <c r="V55" s="13">
        <f t="shared" si="183"/>
        <v>0.0001257264193</v>
      </c>
      <c r="W55" s="13">
        <f t="shared" si="184"/>
        <v>0.7519464312</v>
      </c>
      <c r="X55" s="12">
        <f t="shared" si="185"/>
        <v>1.241080898</v>
      </c>
      <c r="Y55" s="13">
        <f t="shared" si="186"/>
        <v>0.6058802712</v>
      </c>
      <c r="Z55" s="13">
        <f t="shared" si="187"/>
        <v>0.05389006854</v>
      </c>
      <c r="AA55" s="13">
        <f t="shared" si="188"/>
        <v>0.002182215063</v>
      </c>
      <c r="AB55" s="13">
        <f t="shared" si="189"/>
        <v>0.0900621118</v>
      </c>
    </row>
    <row r="56" ht="14.25" customHeight="1">
      <c r="B56" s="31" t="s">
        <v>195</v>
      </c>
      <c r="C56" s="31" t="s">
        <v>217</v>
      </c>
      <c r="D56" s="31" t="s">
        <v>218</v>
      </c>
      <c r="E56" s="31" t="s">
        <v>219</v>
      </c>
      <c r="F56" s="31" t="s">
        <v>111</v>
      </c>
      <c r="G56" s="21" t="s">
        <v>213</v>
      </c>
      <c r="H56" s="29">
        <v>44384.0</v>
      </c>
      <c r="I56" s="21">
        <v>255.7</v>
      </c>
      <c r="J56" s="21" t="s">
        <v>220</v>
      </c>
      <c r="K56" s="12">
        <f>(0.004+0.051)/0.0020615528128088</f>
        <v>26.67891875</v>
      </c>
      <c r="L56" s="21">
        <v>0.018</v>
      </c>
      <c r="M56" s="13">
        <f>56/23397.4</f>
        <v>0.00239342833</v>
      </c>
      <c r="N56" s="13">
        <f>56/14062.6</f>
        <v>0.003982193904</v>
      </c>
      <c r="O56" s="13">
        <f>1284.5/23251.4</f>
        <v>0.05524398531</v>
      </c>
      <c r="P56" s="21">
        <v>0.137</v>
      </c>
      <c r="Q56" s="13">
        <f>(1284.5/0.137)/23251.4</f>
        <v>0.4032407687</v>
      </c>
      <c r="R56" s="13">
        <f>9.35/16943.1</f>
        <v>0.0005518470646</v>
      </c>
      <c r="S56" s="13">
        <f>815.7/24611</f>
        <v>0.03314371622</v>
      </c>
      <c r="T56" s="13">
        <f>3718/24611</f>
        <v>0.1510706595</v>
      </c>
      <c r="U56" s="13">
        <f>ln(24611)</f>
        <v>10.11094878</v>
      </c>
      <c r="V56" s="13">
        <f>5.9/24611</f>
        <v>0.0002397302019</v>
      </c>
      <c r="W56" s="13">
        <f>17579.6/24611</f>
        <v>0.7142984844</v>
      </c>
      <c r="X56" s="12">
        <f>16227.4/13123.9</f>
        <v>1.236476962</v>
      </c>
      <c r="Y56" s="13">
        <f>14062.6/24611</f>
        <v>0.5713949047</v>
      </c>
      <c r="Z56" s="13">
        <f>1213.5/24611</f>
        <v>0.04930722035</v>
      </c>
      <c r="AA56" s="13">
        <f>22807/8538900.72</f>
        <v>0.002670952708</v>
      </c>
      <c r="AB56" s="13">
        <f>(3.57-3.58)/3.58</f>
        <v>-0.002793296089</v>
      </c>
    </row>
    <row r="57" ht="14.25" customHeight="1">
      <c r="B57" s="31" t="s">
        <v>195</v>
      </c>
      <c r="C57" s="31" t="s">
        <v>221</v>
      </c>
      <c r="D57" s="31" t="s">
        <v>222</v>
      </c>
      <c r="E57" s="31" t="s">
        <v>223</v>
      </c>
      <c r="F57" s="31" t="s">
        <v>224</v>
      </c>
      <c r="G57" s="21" t="s">
        <v>213</v>
      </c>
      <c r="H57" s="26">
        <v>42866.0</v>
      </c>
      <c r="I57" s="21">
        <v>310.0</v>
      </c>
      <c r="J57" s="21" t="s">
        <v>94</v>
      </c>
      <c r="K57" s="12">
        <f>(0.002+0.048)/0.00081649658092773</f>
        <v>61.23724357</v>
      </c>
      <c r="L57" s="21">
        <v>0.035</v>
      </c>
      <c r="M57" s="13">
        <f>127.9/13672.9</f>
        <v>0.009354270126</v>
      </c>
      <c r="N57" s="13">
        <f>127.9/12717.7</f>
        <v>0.0100568499</v>
      </c>
      <c r="O57" s="13">
        <f>622.8/14367.2</f>
        <v>0.04334873879</v>
      </c>
      <c r="P57" s="21">
        <v>0.124</v>
      </c>
      <c r="Q57" s="13">
        <f>(622.8/0.124)/14367.2</f>
        <v>0.3495866032</v>
      </c>
      <c r="R57" s="13">
        <f>9.35/11034.8</f>
        <v>0.0008473193896</v>
      </c>
      <c r="S57" s="13">
        <f>307.9/14367.2</f>
        <v>0.02143075895</v>
      </c>
      <c r="T57" s="13">
        <f>2439.8/14367.2</f>
        <v>0.1698173618</v>
      </c>
      <c r="U57" s="13">
        <f>ln(14367.2)</f>
        <v>9.57270311</v>
      </c>
      <c r="V57" s="35">
        <f>0.4/14367.2</f>
        <v>0.00002784119383</v>
      </c>
      <c r="W57" s="13">
        <f>11034.8/14367.2</f>
        <v>0.7680550142</v>
      </c>
      <c r="X57" s="12">
        <f>10751.4/8198.4</f>
        <v>1.311402225</v>
      </c>
      <c r="Y57" s="13">
        <f>12717.7/14367.2</f>
        <v>0.8851898769</v>
      </c>
      <c r="Z57" s="13">
        <f>694.3/14367.2</f>
        <v>0.04832535219</v>
      </c>
      <c r="AA57" s="13">
        <f>14127.8/7799566.79</f>
        <v>0.001811357013</v>
      </c>
      <c r="AB57" s="13">
        <f>(3.54-3.51)/3.51</f>
        <v>0.008547008547</v>
      </c>
    </row>
    <row r="58" ht="14.25" customHeight="1">
      <c r="B58" s="31" t="s">
        <v>225</v>
      </c>
      <c r="C58" s="31" t="s">
        <v>226</v>
      </c>
      <c r="D58" s="31" t="s">
        <v>227</v>
      </c>
      <c r="E58" s="31" t="s">
        <v>228</v>
      </c>
      <c r="F58" s="31" t="s">
        <v>229</v>
      </c>
      <c r="G58" s="21" t="s">
        <v>230</v>
      </c>
      <c r="H58" s="30">
        <v>42809.0</v>
      </c>
      <c r="I58" s="21">
        <v>700.0</v>
      </c>
      <c r="J58" s="21" t="s">
        <v>231</v>
      </c>
      <c r="K58" s="21">
        <f t="shared" ref="K58:K59" si="190">(0.002+0.076)/0.0015</f>
        <v>52</v>
      </c>
      <c r="L58" s="21">
        <v>0.084</v>
      </c>
      <c r="M58" s="13">
        <f t="shared" ref="M58:M59" si="191">21.7/11345.6</f>
        <v>0.001912635735</v>
      </c>
      <c r="N58" s="13">
        <f t="shared" ref="N58:N59" si="192">21.7/6162.7</f>
        <v>0.003521183897</v>
      </c>
      <c r="O58" s="13">
        <v>0.06671147996</v>
      </c>
      <c r="P58" s="21">
        <v>0.136</v>
      </c>
      <c r="Q58" s="13">
        <v>0.4905</v>
      </c>
      <c r="R58" s="21">
        <v>8.0E-4</v>
      </c>
      <c r="S58" s="13">
        <f t="shared" ref="S58:S59" si="193">60.9/12284.6</f>
        <v>0.004957426371</v>
      </c>
      <c r="T58" s="13">
        <f t="shared" ref="T58:T59" si="194">3547.4/12284.6</f>
        <v>0.2887680511</v>
      </c>
      <c r="U58" s="13">
        <f t="shared" ref="U58:U59" si="195">ln(12284.6)</f>
        <v>9.416101724</v>
      </c>
      <c r="V58" s="13">
        <f t="shared" ref="V58:V59" si="196">39.2/12284.6</f>
        <v>0.00319098709</v>
      </c>
      <c r="W58" s="13">
        <f t="shared" ref="W58:W59" si="197">7207.5/12284.6</f>
        <v>0.58671019</v>
      </c>
      <c r="X58" s="12">
        <v>1.363</v>
      </c>
      <c r="Y58" s="13">
        <f t="shared" ref="Y58:Y59" si="198">6162.7/12284.6</f>
        <v>0.5016606157</v>
      </c>
      <c r="Z58" s="13">
        <f t="shared" ref="Z58:Z59" si="199">939/12284.6</f>
        <v>0.07643716523</v>
      </c>
      <c r="AA58" s="13">
        <f t="shared" ref="AA58:AA59" si="200">12845.3/2640000</f>
        <v>0.004865643939</v>
      </c>
      <c r="AB58" s="13">
        <v>0.0125</v>
      </c>
    </row>
    <row r="59" ht="14.25" customHeight="1">
      <c r="B59" s="31" t="s">
        <v>225</v>
      </c>
      <c r="C59" s="31" t="s">
        <v>226</v>
      </c>
      <c r="D59" s="31" t="s">
        <v>227</v>
      </c>
      <c r="E59" s="31" t="s">
        <v>232</v>
      </c>
      <c r="F59" s="31" t="s">
        <v>233</v>
      </c>
      <c r="G59" s="21" t="s">
        <v>230</v>
      </c>
      <c r="H59" s="30">
        <v>42809.0</v>
      </c>
      <c r="I59" s="21">
        <v>485.34</v>
      </c>
      <c r="J59" s="21" t="s">
        <v>231</v>
      </c>
      <c r="K59" s="21">
        <f t="shared" si="190"/>
        <v>52</v>
      </c>
      <c r="L59" s="21">
        <v>0.084</v>
      </c>
      <c r="M59" s="13">
        <f t="shared" si="191"/>
        <v>0.001912635735</v>
      </c>
      <c r="N59" s="13">
        <f t="shared" si="192"/>
        <v>0.003521183897</v>
      </c>
      <c r="O59" s="13">
        <v>0.06671147996</v>
      </c>
      <c r="P59" s="21">
        <v>0.136</v>
      </c>
      <c r="Q59" s="13">
        <v>0.4905</v>
      </c>
      <c r="R59" s="21">
        <v>8.0E-4</v>
      </c>
      <c r="S59" s="13">
        <f t="shared" si="193"/>
        <v>0.004957426371</v>
      </c>
      <c r="T59" s="13">
        <f t="shared" si="194"/>
        <v>0.2887680511</v>
      </c>
      <c r="U59" s="13">
        <f t="shared" si="195"/>
        <v>9.416101724</v>
      </c>
      <c r="V59" s="13">
        <f t="shared" si="196"/>
        <v>0.00319098709</v>
      </c>
      <c r="W59" s="13">
        <f t="shared" si="197"/>
        <v>0.58671019</v>
      </c>
      <c r="X59" s="12">
        <v>1.363</v>
      </c>
      <c r="Y59" s="13">
        <f t="shared" si="198"/>
        <v>0.5016606157</v>
      </c>
      <c r="Z59" s="13">
        <f t="shared" si="199"/>
        <v>0.07643716523</v>
      </c>
      <c r="AA59" s="13">
        <f t="shared" si="200"/>
        <v>0.004865643939</v>
      </c>
      <c r="AB59" s="13">
        <v>0.0125</v>
      </c>
    </row>
    <row r="60" ht="14.25" customHeight="1">
      <c r="B60" s="31" t="s">
        <v>225</v>
      </c>
      <c r="C60" s="31" t="s">
        <v>234</v>
      </c>
      <c r="D60" s="31" t="s">
        <v>235</v>
      </c>
      <c r="E60" s="31" t="s">
        <v>236</v>
      </c>
      <c r="F60" s="31" t="s">
        <v>237</v>
      </c>
      <c r="G60" s="21" t="s">
        <v>230</v>
      </c>
      <c r="H60" s="30">
        <v>41971.0</v>
      </c>
      <c r="I60" s="21">
        <v>410.0</v>
      </c>
      <c r="J60" s="21" t="s">
        <v>238</v>
      </c>
      <c r="K60" s="21">
        <f>(0.005+0.0626)/0.002</f>
        <v>33.8</v>
      </c>
      <c r="L60" s="21">
        <v>0.0822</v>
      </c>
      <c r="M60" s="13">
        <f>29.8/11599.2</f>
        <v>0.002569142699</v>
      </c>
      <c r="N60" s="13">
        <f>29.8/6739.9</f>
        <v>0.004421430585</v>
      </c>
      <c r="O60" s="21">
        <v>0.0439</v>
      </c>
      <c r="P60" s="21">
        <v>0.137</v>
      </c>
      <c r="Q60" s="21">
        <v>0.3205</v>
      </c>
      <c r="R60" s="21">
        <v>8.0E-4</v>
      </c>
      <c r="S60" s="13">
        <f>66.8/12317.8</f>
        <v>0.005423046323</v>
      </c>
      <c r="T60" s="13">
        <f>4543.2/12317.8</f>
        <v>0.3688320966</v>
      </c>
      <c r="U60" s="13">
        <f>ln(12317.8)</f>
        <v>9.41880065</v>
      </c>
      <c r="V60" s="13">
        <f>98/12317.8</f>
        <v>0.007955966163</v>
      </c>
      <c r="W60" s="13">
        <f>7433.7/12317.8</f>
        <v>0.6034925068</v>
      </c>
      <c r="X60" s="36">
        <v>1.103</v>
      </c>
      <c r="Y60" s="13">
        <f>6739.9/12317.8</f>
        <v>0.5471675137</v>
      </c>
      <c r="Z60" s="13">
        <f>718.6/12317.8</f>
        <v>0.05833833964</v>
      </c>
      <c r="AA60" s="13">
        <f>12585.6/2710000</f>
        <v>0.004644132841</v>
      </c>
      <c r="AB60" s="13">
        <v>-0.0136</v>
      </c>
    </row>
    <row r="61" ht="14.25" customHeight="1">
      <c r="B61" s="31" t="s">
        <v>225</v>
      </c>
      <c r="C61" s="31" t="s">
        <v>239</v>
      </c>
      <c r="D61" s="31" t="s">
        <v>240</v>
      </c>
      <c r="E61" s="31" t="s">
        <v>241</v>
      </c>
      <c r="F61" s="31" t="s">
        <v>242</v>
      </c>
      <c r="G61" s="21" t="s">
        <v>243</v>
      </c>
      <c r="H61" s="30">
        <v>42459.0</v>
      </c>
      <c r="I61" s="21">
        <v>640.0</v>
      </c>
      <c r="J61" s="21" t="s">
        <v>244</v>
      </c>
      <c r="K61" s="12">
        <f t="shared" ref="K61:K62" si="201">(0.042+0.086)/0.013868429375143</f>
        <v>9.229595979</v>
      </c>
      <c r="L61" s="21">
        <v>0.339</v>
      </c>
      <c r="M61" s="13">
        <f t="shared" ref="M61:M62" si="202">111.671/34417.375</f>
        <v>0.003244611188</v>
      </c>
      <c r="N61" s="13">
        <f t="shared" ref="N61:N62" si="203">111.671/15107.932</f>
        <v>0.007391547698</v>
      </c>
      <c r="O61" s="13">
        <f t="shared" ref="O61:O62" si="204">2459.4/37646.86        </f>
        <v>0.06532815751</v>
      </c>
      <c r="P61" s="21">
        <v>0.108</v>
      </c>
      <c r="Q61" s="13">
        <f t="shared" ref="Q61:Q62" si="205">(2459.4/0.108)/37646.86        </f>
        <v>0.6048903474</v>
      </c>
      <c r="R61" s="13">
        <f t="shared" ref="R61:R62" si="206">38.1375/27708.444</f>
        <v>0.00137638548</v>
      </c>
      <c r="S61" s="13">
        <f t="shared" ref="S61:S62" si="207">131.899/37646.86</f>
        <v>0.003503585691</v>
      </c>
      <c r="T61" s="13">
        <f t="shared" ref="T61:T62" si="208">8537.211/37646.86</f>
        <v>0.2267708648</v>
      </c>
      <c r="U61" s="13">
        <f t="shared" ref="U61:U62" si="209">ln(37646.86)</f>
        <v>10.53600483</v>
      </c>
      <c r="V61" s="13">
        <f t="shared" ref="V61:V62" si="210">2735.998/37646.86</f>
        <v>0.07267533069</v>
      </c>
      <c r="W61" s="13">
        <f t="shared" ref="W61:W62" si="211">27708.444/37646.86</f>
        <v>0.7360094308</v>
      </c>
      <c r="X61" s="12">
        <v>1.834</v>
      </c>
      <c r="Y61" s="13">
        <f t="shared" ref="Y61:Y62" si="212">15107.932/37646.86</f>
        <v>0.4013065632</v>
      </c>
      <c r="Z61" s="13">
        <f t="shared" ref="Z61:Z62" si="213">3229.485/37646.86</f>
        <v>0.08578364836</v>
      </c>
      <c r="AA61" s="13">
        <f t="shared" ref="AA61:AA62" si="214">37646.86/2700000</f>
        <v>0.01394328148</v>
      </c>
      <c r="AB61" s="13">
        <v>0.0113</v>
      </c>
    </row>
    <row r="62" ht="14.25" customHeight="1">
      <c r="B62" s="31" t="s">
        <v>225</v>
      </c>
      <c r="C62" s="31" t="s">
        <v>239</v>
      </c>
      <c r="D62" s="31" t="s">
        <v>240</v>
      </c>
      <c r="E62" s="31" t="s">
        <v>245</v>
      </c>
      <c r="F62" s="31" t="s">
        <v>246</v>
      </c>
      <c r="G62" s="21" t="s">
        <v>243</v>
      </c>
      <c r="H62" s="30">
        <v>42459.0</v>
      </c>
      <c r="I62" s="21">
        <v>531.27</v>
      </c>
      <c r="J62" s="21" t="s">
        <v>244</v>
      </c>
      <c r="K62" s="12">
        <f t="shared" si="201"/>
        <v>9.229595979</v>
      </c>
      <c r="L62" s="21">
        <v>0.339</v>
      </c>
      <c r="M62" s="13">
        <f t="shared" si="202"/>
        <v>0.003244611188</v>
      </c>
      <c r="N62" s="13">
        <f t="shared" si="203"/>
        <v>0.007391547698</v>
      </c>
      <c r="O62" s="13">
        <f t="shared" si="204"/>
        <v>0.06532815751</v>
      </c>
      <c r="P62" s="21">
        <v>0.108</v>
      </c>
      <c r="Q62" s="13">
        <f t="shared" si="205"/>
        <v>0.6048903474</v>
      </c>
      <c r="R62" s="13">
        <f t="shared" si="206"/>
        <v>0.00137638548</v>
      </c>
      <c r="S62" s="13">
        <f t="shared" si="207"/>
        <v>0.003503585691</v>
      </c>
      <c r="T62" s="13">
        <f t="shared" si="208"/>
        <v>0.2267708648</v>
      </c>
      <c r="U62" s="13">
        <f t="shared" si="209"/>
        <v>10.53600483</v>
      </c>
      <c r="V62" s="13">
        <f t="shared" si="210"/>
        <v>0.07267533069</v>
      </c>
      <c r="W62" s="13">
        <f t="shared" si="211"/>
        <v>0.7360094308</v>
      </c>
      <c r="X62" s="12">
        <v>1.834</v>
      </c>
      <c r="Y62" s="13">
        <f t="shared" si="212"/>
        <v>0.4013065632</v>
      </c>
      <c r="Z62" s="13">
        <f t="shared" si="213"/>
        <v>0.08578364836</v>
      </c>
      <c r="AA62" s="13">
        <f t="shared" si="214"/>
        <v>0.01394328148</v>
      </c>
      <c r="AB62" s="13">
        <v>0.0113</v>
      </c>
    </row>
    <row r="63" ht="14.25" customHeight="1">
      <c r="B63" s="31" t="s">
        <v>225</v>
      </c>
      <c r="C63" s="31" t="s">
        <v>247</v>
      </c>
      <c r="D63" s="31" t="s">
        <v>248</v>
      </c>
      <c r="E63" s="31" t="s">
        <v>249</v>
      </c>
      <c r="F63" s="31" t="s">
        <v>250</v>
      </c>
      <c r="G63" s="21" t="s">
        <v>243</v>
      </c>
      <c r="H63" s="30">
        <v>41473.0</v>
      </c>
      <c r="I63" s="21">
        <v>980.0</v>
      </c>
      <c r="J63" s="21" t="s">
        <v>251</v>
      </c>
      <c r="K63" s="12">
        <f t="shared" ref="K63:K65" si="215">(0.001+0.081)/0.00039845535090731</f>
        <v>205.7947015</v>
      </c>
      <c r="L63" s="21">
        <v>0.182</v>
      </c>
      <c r="M63" s="13">
        <f t="shared" ref="M63:M65" si="216">189.205/41568.257</f>
        <v>0.004551670281</v>
      </c>
      <c r="N63" s="13">
        <f t="shared" ref="N63:N65" si="217">189.205/21510.354</f>
        <v>0.00879599657</v>
      </c>
      <c r="O63" s="13">
        <f t="shared" ref="O63:O65" si="218">2503/45236.029</f>
        <v>0.05533200096</v>
      </c>
      <c r="P63" s="21">
        <v>0.086</v>
      </c>
      <c r="Q63" s="13">
        <f t="shared" ref="Q63:Q65" si="219">(2503/0.086)/45236.029</f>
        <v>0.64339536</v>
      </c>
      <c r="R63" s="13">
        <f t="shared" ref="R63:R65" si="220">43.1388/31358.357</f>
        <v>0.001375671563</v>
      </c>
      <c r="S63" s="13">
        <f t="shared" ref="S63:S65" si="221">2389.157/45236.029</f>
        <v>0.05281535654</v>
      </c>
      <c r="T63" s="13">
        <f t="shared" ref="T63:T65" si="222">10102.866/45236.029</f>
        <v>0.2233367124</v>
      </c>
      <c r="U63" s="13">
        <f t="shared" ref="U63:U65" si="223">ln(45236.029)</f>
        <v>10.71964915</v>
      </c>
      <c r="V63" s="13">
        <f t="shared" ref="V63:V65" si="224">2182.06/45236.029</f>
        <v>0.04823721375</v>
      </c>
      <c r="W63" s="13">
        <f t="shared" ref="W63:W65" si="225">31399.43/45236.029</f>
        <v>0.6941243671</v>
      </c>
      <c r="X63" s="12">
        <v>1.46</v>
      </c>
      <c r="Y63" s="13">
        <f t="shared" ref="Y63:Y65" si="226">21510.354/45236.029</f>
        <v>0.4755137548</v>
      </c>
      <c r="Z63" s="13">
        <f t="shared" ref="Z63:Z65" si="227">3667.772/45236.029</f>
        <v>0.08108076861</v>
      </c>
      <c r="AA63" s="13">
        <f t="shared" ref="AA63:AA65" si="228">46474.867/2640000</f>
        <v>0.01760411629</v>
      </c>
      <c r="AB63" s="13">
        <v>-0.0233</v>
      </c>
    </row>
    <row r="64" ht="14.25" customHeight="1">
      <c r="B64" s="31" t="s">
        <v>225</v>
      </c>
      <c r="C64" s="31" t="s">
        <v>247</v>
      </c>
      <c r="D64" s="31" t="s">
        <v>248</v>
      </c>
      <c r="E64" s="31" t="s">
        <v>252</v>
      </c>
      <c r="F64" s="31" t="s">
        <v>253</v>
      </c>
      <c r="G64" s="21" t="s">
        <v>243</v>
      </c>
      <c r="H64" s="30">
        <v>41473.0</v>
      </c>
      <c r="I64" s="21">
        <v>1.0</v>
      </c>
      <c r="J64" s="21" t="s">
        <v>251</v>
      </c>
      <c r="K64" s="12">
        <f t="shared" si="215"/>
        <v>205.7947015</v>
      </c>
      <c r="L64" s="21">
        <v>0.182</v>
      </c>
      <c r="M64" s="13">
        <f t="shared" si="216"/>
        <v>0.004551670281</v>
      </c>
      <c r="N64" s="13">
        <f t="shared" si="217"/>
        <v>0.00879599657</v>
      </c>
      <c r="O64" s="13">
        <f t="shared" si="218"/>
        <v>0.05533200096</v>
      </c>
      <c r="P64" s="21">
        <v>0.086</v>
      </c>
      <c r="Q64" s="13">
        <f t="shared" si="219"/>
        <v>0.64339536</v>
      </c>
      <c r="R64" s="13">
        <f t="shared" si="220"/>
        <v>0.001375671563</v>
      </c>
      <c r="S64" s="13">
        <f t="shared" si="221"/>
        <v>0.05281535654</v>
      </c>
      <c r="T64" s="13">
        <f t="shared" si="222"/>
        <v>0.2233367124</v>
      </c>
      <c r="U64" s="13">
        <f t="shared" si="223"/>
        <v>10.71964915</v>
      </c>
      <c r="V64" s="13">
        <f t="shared" si="224"/>
        <v>0.04823721375</v>
      </c>
      <c r="W64" s="13">
        <f t="shared" si="225"/>
        <v>0.6941243671</v>
      </c>
      <c r="X64" s="12">
        <v>1.46</v>
      </c>
      <c r="Y64" s="13">
        <f t="shared" si="226"/>
        <v>0.4755137548</v>
      </c>
      <c r="Z64" s="13">
        <f t="shared" si="227"/>
        <v>0.08108076861</v>
      </c>
      <c r="AA64" s="13">
        <f t="shared" si="228"/>
        <v>0.01760411629</v>
      </c>
      <c r="AB64" s="13">
        <v>-0.0233</v>
      </c>
    </row>
    <row r="65" ht="14.25" customHeight="1">
      <c r="B65" s="31" t="s">
        <v>225</v>
      </c>
      <c r="C65" s="31" t="s">
        <v>247</v>
      </c>
      <c r="D65" s="31" t="s">
        <v>248</v>
      </c>
      <c r="E65" s="31" t="s">
        <v>254</v>
      </c>
      <c r="F65" s="31" t="s">
        <v>255</v>
      </c>
      <c r="G65" s="21" t="s">
        <v>243</v>
      </c>
      <c r="H65" s="30">
        <v>41473.0</v>
      </c>
      <c r="I65" s="21">
        <v>588.03</v>
      </c>
      <c r="J65" s="21" t="s">
        <v>251</v>
      </c>
      <c r="K65" s="12">
        <f t="shared" si="215"/>
        <v>205.7947015</v>
      </c>
      <c r="L65" s="21">
        <v>0.182</v>
      </c>
      <c r="M65" s="13">
        <f t="shared" si="216"/>
        <v>0.004551670281</v>
      </c>
      <c r="N65" s="13">
        <f t="shared" si="217"/>
        <v>0.00879599657</v>
      </c>
      <c r="O65" s="13">
        <f t="shared" si="218"/>
        <v>0.05533200096</v>
      </c>
      <c r="P65" s="21">
        <v>0.086</v>
      </c>
      <c r="Q65" s="13">
        <f t="shared" si="219"/>
        <v>0.64339536</v>
      </c>
      <c r="R65" s="13">
        <f t="shared" si="220"/>
        <v>0.001375671563</v>
      </c>
      <c r="S65" s="13">
        <f t="shared" si="221"/>
        <v>0.05281535654</v>
      </c>
      <c r="T65" s="13">
        <f t="shared" si="222"/>
        <v>0.2233367124</v>
      </c>
      <c r="U65" s="13">
        <f t="shared" si="223"/>
        <v>10.71964915</v>
      </c>
      <c r="V65" s="13">
        <f t="shared" si="224"/>
        <v>0.04823721375</v>
      </c>
      <c r="W65" s="13">
        <f t="shared" si="225"/>
        <v>0.6941243671</v>
      </c>
      <c r="X65" s="12">
        <v>1.46</v>
      </c>
      <c r="Y65" s="13">
        <f t="shared" si="226"/>
        <v>0.4755137548</v>
      </c>
      <c r="Z65" s="13">
        <f t="shared" si="227"/>
        <v>0.08108076861</v>
      </c>
      <c r="AA65" s="13">
        <f t="shared" si="228"/>
        <v>0.01760411629</v>
      </c>
      <c r="AB65" s="13">
        <v>-0.0233</v>
      </c>
    </row>
    <row r="66" ht="14.25" customHeight="1">
      <c r="B66" s="31" t="s">
        <v>225</v>
      </c>
      <c r="C66" s="31" t="s">
        <v>256</v>
      </c>
      <c r="D66" s="31" t="s">
        <v>257</v>
      </c>
      <c r="E66" s="31" t="s">
        <v>258</v>
      </c>
      <c r="F66" s="31" t="s">
        <v>259</v>
      </c>
      <c r="G66" s="21" t="s">
        <v>260</v>
      </c>
      <c r="H66" s="30">
        <v>41820.0</v>
      </c>
      <c r="I66" s="21">
        <v>31049.9</v>
      </c>
      <c r="J66" s="21" t="s">
        <v>86</v>
      </c>
      <c r="K66" s="12">
        <f t="shared" ref="K66:K68" si="229">(0.004+0.079)/0.011090536506409</f>
        <v>7.483857968</v>
      </c>
      <c r="L66" s="21">
        <v>0.246</v>
      </c>
      <c r="M66" s="13">
        <f t="shared" ref="M66:M68" si="230">426.7/116005.8</f>
        <v>0.003678264363</v>
      </c>
      <c r="N66" s="13">
        <f t="shared" ref="N66:N68" si="231">426.7/46118.6</f>
        <v>0.009252232288</v>
      </c>
      <c r="O66" s="13">
        <f t="shared" ref="O66:O68" si="232">5882/125921.3</f>
        <v>0.04671171597</v>
      </c>
      <c r="P66" s="21">
        <v>0.137</v>
      </c>
      <c r="Q66" s="13">
        <f t="shared" ref="Q66:Q68" si="233">(5882/0.137)/125921.3</f>
        <v>0.3409614304</v>
      </c>
      <c r="R66" s="13">
        <v>0.0</v>
      </c>
      <c r="S66" s="13">
        <f t="shared" ref="S66:S68" si="234">540.2/125921.3</f>
        <v>0.004289981123</v>
      </c>
      <c r="T66" s="13">
        <f t="shared" ref="T66:T68" si="235">37063.4/125921.3</f>
        <v>0.2943378126</v>
      </c>
      <c r="U66" s="13">
        <f t="shared" ref="U66:U68" si="236">ln(125921.3)</f>
        <v>11.74341239</v>
      </c>
      <c r="V66" s="13">
        <f t="shared" ref="V66:V68" si="237">8392.2/125921.3</f>
        <v>0.06664638945</v>
      </c>
      <c r="W66" s="13">
        <f t="shared" ref="W66:W68" si="238">83670.1/125921.3</f>
        <v>0.6644634387</v>
      </c>
      <c r="X66" s="12">
        <v>1.814</v>
      </c>
      <c r="Y66" s="13">
        <f t="shared" ref="Y66:Y68" si="239">46118.6/125921.3</f>
        <v>0.3662493955</v>
      </c>
      <c r="Z66" s="13">
        <f t="shared" ref="Z66:Z68" si="240">9915.4/125921.3</f>
        <v>0.07874283382</v>
      </c>
      <c r="AA66" s="13">
        <f t="shared" ref="AA66:AA68" si="241">126043.9/2700000</f>
        <v>0.04668292593</v>
      </c>
      <c r="AB66" s="13">
        <v>-0.00455</v>
      </c>
    </row>
    <row r="67" ht="14.25" customHeight="1">
      <c r="B67" s="31" t="s">
        <v>225</v>
      </c>
      <c r="C67" s="31" t="s">
        <v>256</v>
      </c>
      <c r="D67" s="31" t="s">
        <v>257</v>
      </c>
      <c r="E67" s="31" t="s">
        <v>261</v>
      </c>
      <c r="F67" s="31" t="s">
        <v>262</v>
      </c>
      <c r="G67" s="21" t="s">
        <v>260</v>
      </c>
      <c r="H67" s="30">
        <v>41820.0</v>
      </c>
      <c r="I67" s="21">
        <v>269.3</v>
      </c>
      <c r="J67" s="21" t="s">
        <v>86</v>
      </c>
      <c r="K67" s="12">
        <f t="shared" si="229"/>
        <v>7.483857968</v>
      </c>
      <c r="L67" s="21">
        <v>0.246</v>
      </c>
      <c r="M67" s="13">
        <f t="shared" si="230"/>
        <v>0.003678264363</v>
      </c>
      <c r="N67" s="13">
        <f t="shared" si="231"/>
        <v>0.009252232288</v>
      </c>
      <c r="O67" s="13">
        <f t="shared" si="232"/>
        <v>0.04671171597</v>
      </c>
      <c r="P67" s="21">
        <v>0.137</v>
      </c>
      <c r="Q67" s="13">
        <f t="shared" si="233"/>
        <v>0.3409614304</v>
      </c>
      <c r="R67" s="13">
        <v>0.0</v>
      </c>
      <c r="S67" s="13">
        <f t="shared" si="234"/>
        <v>0.004289981123</v>
      </c>
      <c r="T67" s="13">
        <f t="shared" si="235"/>
        <v>0.2943378126</v>
      </c>
      <c r="U67" s="13">
        <f t="shared" si="236"/>
        <v>11.74341239</v>
      </c>
      <c r="V67" s="13">
        <f t="shared" si="237"/>
        <v>0.06664638945</v>
      </c>
      <c r="W67" s="13">
        <f t="shared" si="238"/>
        <v>0.6644634387</v>
      </c>
      <c r="X67" s="12">
        <v>1.814</v>
      </c>
      <c r="Y67" s="13">
        <f t="shared" si="239"/>
        <v>0.3662493955</v>
      </c>
      <c r="Z67" s="13">
        <f t="shared" si="240"/>
        <v>0.07874283382</v>
      </c>
      <c r="AA67" s="13">
        <f t="shared" si="241"/>
        <v>0.04668292593</v>
      </c>
      <c r="AB67" s="13">
        <v>-0.00455</v>
      </c>
    </row>
    <row r="68" ht="14.25" customHeight="1">
      <c r="B68" s="31" t="s">
        <v>225</v>
      </c>
      <c r="C68" s="31" t="s">
        <v>256</v>
      </c>
      <c r="D68" s="31" t="s">
        <v>257</v>
      </c>
      <c r="E68" s="31" t="s">
        <v>263</v>
      </c>
      <c r="F68" s="31" t="s">
        <v>264</v>
      </c>
      <c r="G68" s="21" t="s">
        <v>260</v>
      </c>
      <c r="H68" s="30">
        <v>41820.0</v>
      </c>
      <c r="I68" s="21">
        <v>448.9</v>
      </c>
      <c r="J68" s="21" t="s">
        <v>86</v>
      </c>
      <c r="K68" s="12">
        <f t="shared" si="229"/>
        <v>7.483857968</v>
      </c>
      <c r="L68" s="21">
        <v>0.246</v>
      </c>
      <c r="M68" s="13">
        <f t="shared" si="230"/>
        <v>0.003678264363</v>
      </c>
      <c r="N68" s="13">
        <f t="shared" si="231"/>
        <v>0.009252232288</v>
      </c>
      <c r="O68" s="13">
        <f t="shared" si="232"/>
        <v>0.04671171597</v>
      </c>
      <c r="P68" s="21">
        <v>0.137</v>
      </c>
      <c r="Q68" s="13">
        <f t="shared" si="233"/>
        <v>0.3409614304</v>
      </c>
      <c r="R68" s="13">
        <v>0.0</v>
      </c>
      <c r="S68" s="13">
        <f t="shared" si="234"/>
        <v>0.004289981123</v>
      </c>
      <c r="T68" s="13">
        <f t="shared" si="235"/>
        <v>0.2943378126</v>
      </c>
      <c r="U68" s="13">
        <f t="shared" si="236"/>
        <v>11.74341239</v>
      </c>
      <c r="V68" s="13">
        <f t="shared" si="237"/>
        <v>0.06664638945</v>
      </c>
      <c r="W68" s="13">
        <f t="shared" si="238"/>
        <v>0.6644634387</v>
      </c>
      <c r="X68" s="12">
        <v>1.814</v>
      </c>
      <c r="Y68" s="13">
        <f t="shared" si="239"/>
        <v>0.3662493955</v>
      </c>
      <c r="Z68" s="13">
        <f t="shared" si="240"/>
        <v>0.07874283382</v>
      </c>
      <c r="AA68" s="13">
        <f t="shared" si="241"/>
        <v>0.04668292593</v>
      </c>
      <c r="AB68" s="13">
        <v>-0.00455</v>
      </c>
    </row>
    <row r="69" ht="14.25" customHeight="1">
      <c r="B69" s="31" t="s">
        <v>225</v>
      </c>
      <c r="C69" s="31" t="s">
        <v>256</v>
      </c>
      <c r="D69" s="31" t="s">
        <v>257</v>
      </c>
      <c r="E69" s="31" t="s">
        <v>265</v>
      </c>
      <c r="F69" s="31" t="s">
        <v>266</v>
      </c>
      <c r="G69" s="21" t="s">
        <v>260</v>
      </c>
      <c r="H69" s="30">
        <v>42426.0</v>
      </c>
      <c r="I69" s="21">
        <v>1936.0</v>
      </c>
      <c r="J69" s="21" t="s">
        <v>244</v>
      </c>
      <c r="K69" s="12">
        <f t="shared" ref="K69:K71" si="242">(0.002+0.069)/0.004</f>
        <v>17.75</v>
      </c>
      <c r="L69" s="12">
        <v>0.25</v>
      </c>
      <c r="M69" s="13">
        <f t="shared" ref="M69:M71" si="243">251.675/114735.6</f>
        <v>0.002193521453</v>
      </c>
      <c r="N69" s="13">
        <f t="shared" ref="N69:N71" si="244">251.675/45582.9</f>
        <v>0.005521259069</v>
      </c>
      <c r="O69" s="13">
        <f t="shared" ref="O69:O71" si="245">6563.3/123698.9</f>
        <v>0.05305867716</v>
      </c>
      <c r="P69" s="21">
        <v>0.149</v>
      </c>
      <c r="Q69" s="13">
        <f t="shared" ref="Q69:Q71" si="246">(6563.3/0.149)/123698.9</f>
        <v>0.3560985044</v>
      </c>
      <c r="R69" s="13">
        <v>0.0</v>
      </c>
      <c r="S69" s="13">
        <f t="shared" ref="S69:S71" si="247">580.7/123698.9</f>
        <v>0.004694463734</v>
      </c>
      <c r="T69" s="13">
        <f t="shared" ref="T69:T71" si="248">37370.1/123698.9</f>
        <v>0.3021053542</v>
      </c>
      <c r="U69" s="13">
        <f t="shared" ref="U69:U71" si="249">ln(123698.9)</f>
        <v>11.72560567</v>
      </c>
      <c r="V69" s="13">
        <f t="shared" ref="V69:V71" si="250">8188.4/123698.9</f>
        <v>0.06619622325</v>
      </c>
      <c r="W69" s="13">
        <f t="shared" ref="W69:W71" si="251">80519/123698.9</f>
        <v>0.6509273728</v>
      </c>
      <c r="X69" s="12">
        <v>1.766</v>
      </c>
      <c r="Y69" s="13">
        <f t="shared" ref="Y69:Y71" si="252">45582.9/123698.9</f>
        <v>0.3684988306</v>
      </c>
      <c r="Z69" s="13">
        <f t="shared" ref="Z69:Z71" si="253">8963.2/123698.9</f>
        <v>0.07245981977</v>
      </c>
      <c r="AA69" s="13">
        <f t="shared" ref="AA69:AA71" si="254">122150.4/2700000</f>
        <v>0.04524088889</v>
      </c>
      <c r="AB69" s="13">
        <v>0.0129</v>
      </c>
    </row>
    <row r="70" ht="14.25" customHeight="1">
      <c r="B70" s="31" t="s">
        <v>225</v>
      </c>
      <c r="C70" s="31" t="s">
        <v>256</v>
      </c>
      <c r="D70" s="31" t="s">
        <v>257</v>
      </c>
      <c r="E70" s="31" t="s">
        <v>267</v>
      </c>
      <c r="F70" s="31" t="s">
        <v>268</v>
      </c>
      <c r="G70" s="21" t="s">
        <v>260</v>
      </c>
      <c r="H70" s="30">
        <v>42426.0</v>
      </c>
      <c r="I70" s="21">
        <v>1.0</v>
      </c>
      <c r="J70" s="21" t="s">
        <v>244</v>
      </c>
      <c r="K70" s="12">
        <f t="shared" si="242"/>
        <v>17.75</v>
      </c>
      <c r="L70" s="12">
        <v>0.25</v>
      </c>
      <c r="M70" s="13">
        <f t="shared" si="243"/>
        <v>0.002193521453</v>
      </c>
      <c r="N70" s="13">
        <f t="shared" si="244"/>
        <v>0.005521259069</v>
      </c>
      <c r="O70" s="13">
        <f t="shared" si="245"/>
        <v>0.05305867716</v>
      </c>
      <c r="P70" s="21">
        <v>0.149</v>
      </c>
      <c r="Q70" s="13">
        <f t="shared" si="246"/>
        <v>0.3560985044</v>
      </c>
      <c r="R70" s="13">
        <f t="shared" ref="R70:R71" si="255">4430/80519</f>
        <v>0.05501807027</v>
      </c>
      <c r="S70" s="13">
        <f t="shared" si="247"/>
        <v>0.004694463734</v>
      </c>
      <c r="T70" s="13">
        <f t="shared" si="248"/>
        <v>0.3021053542</v>
      </c>
      <c r="U70" s="13">
        <f t="shared" si="249"/>
        <v>11.72560567</v>
      </c>
      <c r="V70" s="13">
        <f t="shared" si="250"/>
        <v>0.06619622325</v>
      </c>
      <c r="W70" s="13">
        <f t="shared" si="251"/>
        <v>0.6509273728</v>
      </c>
      <c r="X70" s="12">
        <v>1.766</v>
      </c>
      <c r="Y70" s="13">
        <f t="shared" si="252"/>
        <v>0.3684988306</v>
      </c>
      <c r="Z70" s="13">
        <f t="shared" si="253"/>
        <v>0.07245981977</v>
      </c>
      <c r="AA70" s="13">
        <f t="shared" si="254"/>
        <v>0.04524088889</v>
      </c>
      <c r="AB70" s="13">
        <v>0.0129</v>
      </c>
    </row>
    <row r="71" ht="14.25" customHeight="1">
      <c r="B71" s="31" t="s">
        <v>225</v>
      </c>
      <c r="C71" s="31" t="s">
        <v>256</v>
      </c>
      <c r="D71" s="31" t="s">
        <v>257</v>
      </c>
      <c r="E71" s="31" t="s">
        <v>269</v>
      </c>
      <c r="F71" s="31" t="s">
        <v>270</v>
      </c>
      <c r="G71" s="21" t="s">
        <v>260</v>
      </c>
      <c r="H71" s="30">
        <v>42426.0</v>
      </c>
      <c r="I71" s="21">
        <v>448.07</v>
      </c>
      <c r="J71" s="21" t="s">
        <v>244</v>
      </c>
      <c r="K71" s="12">
        <f t="shared" si="242"/>
        <v>17.75</v>
      </c>
      <c r="L71" s="12">
        <v>0.25</v>
      </c>
      <c r="M71" s="13">
        <f t="shared" si="243"/>
        <v>0.002193521453</v>
      </c>
      <c r="N71" s="13">
        <f t="shared" si="244"/>
        <v>0.005521259069</v>
      </c>
      <c r="O71" s="13">
        <f t="shared" si="245"/>
        <v>0.05305867716</v>
      </c>
      <c r="P71" s="21">
        <v>0.149</v>
      </c>
      <c r="Q71" s="13">
        <f t="shared" si="246"/>
        <v>0.3560985044</v>
      </c>
      <c r="R71" s="13">
        <f t="shared" si="255"/>
        <v>0.05501807027</v>
      </c>
      <c r="S71" s="13">
        <f t="shared" si="247"/>
        <v>0.004694463734</v>
      </c>
      <c r="T71" s="13">
        <f t="shared" si="248"/>
        <v>0.3021053542</v>
      </c>
      <c r="U71" s="13">
        <f t="shared" si="249"/>
        <v>11.72560567</v>
      </c>
      <c r="V71" s="13">
        <f t="shared" si="250"/>
        <v>0.06619622325</v>
      </c>
      <c r="W71" s="13">
        <f t="shared" si="251"/>
        <v>0.6509273728</v>
      </c>
      <c r="X71" s="12">
        <v>1.766</v>
      </c>
      <c r="Y71" s="13">
        <f t="shared" si="252"/>
        <v>0.3684988306</v>
      </c>
      <c r="Z71" s="13">
        <f t="shared" si="253"/>
        <v>0.07245981977</v>
      </c>
      <c r="AA71" s="13">
        <f t="shared" si="254"/>
        <v>0.04524088889</v>
      </c>
      <c r="AB71" s="13">
        <v>0.0129</v>
      </c>
    </row>
    <row r="72" ht="14.25" customHeight="1">
      <c r="B72" s="31" t="s">
        <v>225</v>
      </c>
      <c r="C72" s="31" t="s">
        <v>271</v>
      </c>
      <c r="D72" s="31" t="s">
        <v>272</v>
      </c>
      <c r="E72" s="31" t="s">
        <v>273</v>
      </c>
      <c r="F72" s="31" t="s">
        <v>274</v>
      </c>
      <c r="G72" s="21" t="s">
        <v>260</v>
      </c>
      <c r="H72" s="30">
        <v>41344.0</v>
      </c>
      <c r="I72" s="21">
        <v>1942.48</v>
      </c>
      <c r="J72" s="21" t="s">
        <v>275</v>
      </c>
      <c r="K72" s="12">
        <f t="shared" ref="K72:K73" si="256">(0.002+0.0699)/0.013671747023211</f>
        <v>5.259020656</v>
      </c>
      <c r="L72" s="21">
        <v>0.202</v>
      </c>
      <c r="M72" s="13">
        <f t="shared" ref="M72:M73" si="257">482.15/122767</f>
        <v>0.003927358329</v>
      </c>
      <c r="N72" s="13">
        <f t="shared" ref="N72:N73" si="258">482.15/38767.6</f>
        <v>0.01243693187</v>
      </c>
      <c r="O72" s="13">
        <f t="shared" ref="O72:O73" si="259">6875/131998.5</f>
        <v>0.0520839252</v>
      </c>
      <c r="P72" s="21">
        <v>0.111</v>
      </c>
      <c r="Q72" s="13">
        <f t="shared" ref="Q72:Q73" si="260">(6875/0.111)/131998.5</f>
        <v>0.4692245513</v>
      </c>
      <c r="R72" s="13">
        <v>0.0</v>
      </c>
      <c r="S72" s="13">
        <f t="shared" ref="S72:S73" si="261">543.9/129967.5</f>
        <v>0.004184892377</v>
      </c>
      <c r="T72" s="13">
        <f t="shared" ref="T72:T73" si="262">36722.1/129967.5</f>
        <v>0.2825483294</v>
      </c>
      <c r="U72" s="13">
        <f t="shared" ref="U72:U73" si="263">ln(131998.5)</f>
        <v>11.79054584</v>
      </c>
      <c r="V72" s="13">
        <f t="shared" ref="V72:V73" si="264">9326.7/131998.5</f>
        <v>0.07065762111</v>
      </c>
      <c r="W72" s="13">
        <f t="shared" ref="W72:W73" si="265">90096/131998.5</f>
        <v>0.6825532108</v>
      </c>
      <c r="X72" s="13">
        <f t="shared" ref="X72:X73" si="266">90096/38767.6</f>
        <v>2.324002518</v>
      </c>
      <c r="Y72" s="13">
        <f t="shared" ref="Y72:Y73" si="267">38767.6/131998.5</f>
        <v>0.2936972769</v>
      </c>
      <c r="Z72" s="13">
        <f t="shared" ref="Z72:Z73" si="268">9231.5/131998.5</f>
        <v>0.06993640079</v>
      </c>
      <c r="AA72" s="13">
        <f t="shared" ref="AA72:AA73" si="269">131259/2800000</f>
        <v>0.04687821429</v>
      </c>
      <c r="AB72" s="13">
        <v>-0.0184</v>
      </c>
    </row>
    <row r="73" ht="14.25" customHeight="1">
      <c r="B73" s="31" t="s">
        <v>225</v>
      </c>
      <c r="C73" s="31" t="s">
        <v>271</v>
      </c>
      <c r="D73" s="31" t="s">
        <v>272</v>
      </c>
      <c r="E73" s="31" t="s">
        <v>276</v>
      </c>
      <c r="F73" s="31" t="s">
        <v>277</v>
      </c>
      <c r="G73" s="21" t="s">
        <v>260</v>
      </c>
      <c r="H73" s="30">
        <v>41344.0</v>
      </c>
      <c r="I73" s="21">
        <v>3307.3</v>
      </c>
      <c r="J73" s="21" t="s">
        <v>275</v>
      </c>
      <c r="K73" s="12">
        <f t="shared" si="256"/>
        <v>5.259020656</v>
      </c>
      <c r="L73" s="21">
        <v>0.202</v>
      </c>
      <c r="M73" s="13">
        <f t="shared" si="257"/>
        <v>0.003927358329</v>
      </c>
      <c r="N73" s="13">
        <f t="shared" si="258"/>
        <v>0.01243693187</v>
      </c>
      <c r="O73" s="13">
        <f t="shared" si="259"/>
        <v>0.0520839252</v>
      </c>
      <c r="P73" s="21">
        <v>0.111</v>
      </c>
      <c r="Q73" s="13">
        <f t="shared" si="260"/>
        <v>0.4692245513</v>
      </c>
      <c r="R73" s="13">
        <v>0.0</v>
      </c>
      <c r="S73" s="13">
        <f t="shared" si="261"/>
        <v>0.004184892377</v>
      </c>
      <c r="T73" s="13">
        <f t="shared" si="262"/>
        <v>0.2825483294</v>
      </c>
      <c r="U73" s="13">
        <f t="shared" si="263"/>
        <v>11.79054584</v>
      </c>
      <c r="V73" s="13">
        <f t="shared" si="264"/>
        <v>0.07065762111</v>
      </c>
      <c r="W73" s="13">
        <f t="shared" si="265"/>
        <v>0.6825532108</v>
      </c>
      <c r="X73" s="13">
        <f t="shared" si="266"/>
        <v>2.324002518</v>
      </c>
      <c r="Y73" s="13">
        <f t="shared" si="267"/>
        <v>0.2936972769</v>
      </c>
      <c r="Z73" s="13">
        <f t="shared" si="268"/>
        <v>0.06993640079</v>
      </c>
      <c r="AA73" s="13">
        <f t="shared" si="269"/>
        <v>0.04687821429</v>
      </c>
      <c r="AB73" s="13">
        <v>-0.0184</v>
      </c>
    </row>
    <row r="74" ht="14.25" customHeight="1">
      <c r="B74" s="31" t="s">
        <v>225</v>
      </c>
      <c r="C74" s="31" t="s">
        <v>278</v>
      </c>
      <c r="D74" s="31" t="s">
        <v>279</v>
      </c>
      <c r="E74" s="31" t="s">
        <v>280</v>
      </c>
      <c r="F74" s="31" t="s">
        <v>281</v>
      </c>
      <c r="G74" s="21" t="s">
        <v>260</v>
      </c>
      <c r="H74" s="30">
        <v>41912.0</v>
      </c>
      <c r="I74" s="21">
        <v>3109.6</v>
      </c>
      <c r="J74" s="21" t="s">
        <v>282</v>
      </c>
      <c r="K74" s="12">
        <f t="shared" ref="K74:K75" si="270">(0.06+0.072)/0.029034462281916</f>
        <v>4.546321496</v>
      </c>
      <c r="L74" s="21">
        <v>0.265</v>
      </c>
      <c r="M74" s="13">
        <f t="shared" ref="M74:M75" si="271">426.7/115005.3</f>
        <v>0.003710263788</v>
      </c>
      <c r="N74" s="13">
        <f t="shared" ref="N74:N75" si="272">426.7/47929.8</f>
        <v>0.008902603391</v>
      </c>
      <c r="O74" s="13">
        <f t="shared" ref="O74:O75" si="273">5882.2/123081.7</f>
        <v>0.04779102011</v>
      </c>
      <c r="P74" s="21">
        <v>0.123</v>
      </c>
      <c r="Q74" s="13">
        <f t="shared" ref="Q74:Q75" si="274">(5882.2/0.123)/123081.7</f>
        <v>0.388544879</v>
      </c>
      <c r="R74" s="13">
        <v>0.0</v>
      </c>
      <c r="S74" s="13">
        <f t="shared" ref="S74:S75" si="275">689.8/123081.7</f>
        <v>0.005604407479</v>
      </c>
      <c r="T74" s="13">
        <f t="shared" ref="T74:T75" si="276">37527.5/123081.7</f>
        <v>0.3048991036</v>
      </c>
      <c r="U74" s="13">
        <f t="shared" ref="U74:U75" si="277">ln(123081.7)</f>
        <v>11.72060364</v>
      </c>
      <c r="V74" s="13">
        <f t="shared" ref="V74:V75" si="278">7817.4/123081.7</f>
        <v>0.06351390987</v>
      </c>
      <c r="W74" s="13">
        <f t="shared" ref="W74:W75" si="279">81854.4/123081.7</f>
        <v>0.6650411881</v>
      </c>
      <c r="X74" s="12">
        <v>1.708</v>
      </c>
      <c r="Y74" s="13">
        <f t="shared" ref="Y74:Y75" si="280">47929.8/123081.7</f>
        <v>0.3894145108</v>
      </c>
      <c r="Z74" s="13">
        <f t="shared" ref="Z74:Z75" si="281">8076.3/123081.7</f>
        <v>0.06561739073</v>
      </c>
      <c r="AA74" s="13">
        <f t="shared" ref="AA74:AA75" si="282">125921.3/2690000</f>
        <v>0.04681089219</v>
      </c>
      <c r="AB74" s="13">
        <v>-0.00455</v>
      </c>
    </row>
    <row r="75" ht="14.25" customHeight="1">
      <c r="B75" s="31" t="s">
        <v>225</v>
      </c>
      <c r="C75" s="31" t="s">
        <v>278</v>
      </c>
      <c r="D75" s="31" t="s">
        <v>279</v>
      </c>
      <c r="E75" s="31" t="s">
        <v>283</v>
      </c>
      <c r="F75" s="31" t="s">
        <v>284</v>
      </c>
      <c r="G75" s="21" t="s">
        <v>260</v>
      </c>
      <c r="H75" s="30">
        <v>41912.0</v>
      </c>
      <c r="I75" s="21">
        <v>418.7</v>
      </c>
      <c r="J75" s="21" t="s">
        <v>282</v>
      </c>
      <c r="K75" s="12">
        <f t="shared" si="270"/>
        <v>4.546321496</v>
      </c>
      <c r="L75" s="21">
        <v>0.265</v>
      </c>
      <c r="M75" s="13">
        <f t="shared" si="271"/>
        <v>0.003710263788</v>
      </c>
      <c r="N75" s="13">
        <f t="shared" si="272"/>
        <v>0.008902603391</v>
      </c>
      <c r="O75" s="13">
        <f t="shared" si="273"/>
        <v>0.04779102011</v>
      </c>
      <c r="P75" s="21">
        <v>0.123</v>
      </c>
      <c r="Q75" s="13">
        <f t="shared" si="274"/>
        <v>0.388544879</v>
      </c>
      <c r="R75" s="13">
        <v>0.0</v>
      </c>
      <c r="S75" s="13">
        <f t="shared" si="275"/>
        <v>0.005604407479</v>
      </c>
      <c r="T75" s="13">
        <f t="shared" si="276"/>
        <v>0.3048991036</v>
      </c>
      <c r="U75" s="13">
        <f t="shared" si="277"/>
        <v>11.72060364</v>
      </c>
      <c r="V75" s="13">
        <f t="shared" si="278"/>
        <v>0.06351390987</v>
      </c>
      <c r="W75" s="13">
        <f t="shared" si="279"/>
        <v>0.6650411881</v>
      </c>
      <c r="X75" s="12">
        <v>1.708</v>
      </c>
      <c r="Y75" s="13">
        <f t="shared" si="280"/>
        <v>0.3894145108</v>
      </c>
      <c r="Z75" s="13">
        <f t="shared" si="281"/>
        <v>0.06561739073</v>
      </c>
      <c r="AA75" s="13">
        <f t="shared" si="282"/>
        <v>0.04681089219</v>
      </c>
      <c r="AB75" s="13">
        <v>-0.00455</v>
      </c>
    </row>
    <row r="76" ht="14.25" customHeight="1">
      <c r="B76" s="31" t="s">
        <v>225</v>
      </c>
      <c r="C76" s="31" t="s">
        <v>285</v>
      </c>
      <c r="D76" s="31" t="s">
        <v>286</v>
      </c>
      <c r="E76" s="31" t="s">
        <v>287</v>
      </c>
      <c r="F76" s="31" t="s">
        <v>288</v>
      </c>
      <c r="G76" s="21" t="s">
        <v>289</v>
      </c>
      <c r="H76" s="30">
        <v>43448.0</v>
      </c>
      <c r="I76" s="21">
        <v>3750.0</v>
      </c>
      <c r="J76" s="21" t="s">
        <v>58</v>
      </c>
      <c r="K76" s="21">
        <f t="shared" ref="K76:K77" si="283">(0.005+0.068)/0.0005</f>
        <v>146</v>
      </c>
      <c r="L76" s="21">
        <v>0.087</v>
      </c>
      <c r="M76" s="13">
        <f t="shared" ref="M76:M77" si="284">840/773720</f>
        <v>0.001085664065</v>
      </c>
      <c r="N76" s="13">
        <f t="shared" ref="N76:N77" si="285">840/377255</f>
        <v>0.002226610648</v>
      </c>
      <c r="O76" s="13">
        <f t="shared" ref="O76:O77" si="286">42755/829280</f>
        <v>0.05155677214</v>
      </c>
      <c r="P76" s="21">
        <v>0.153</v>
      </c>
      <c r="Q76" s="13">
        <f t="shared" ref="Q76:Q77" si="287">(42755/0.153)/829280</f>
        <v>0.3369723669</v>
      </c>
      <c r="R76" s="13">
        <v>0.0025955</v>
      </c>
      <c r="S76" s="13">
        <f t="shared" ref="S76:S77" si="288">7325/829280</f>
        <v>0.008832963535</v>
      </c>
      <c r="T76" s="13">
        <f t="shared" ref="T76:T77" si="289">275604/829280</f>
        <v>0.3323413081</v>
      </c>
      <c r="U76" s="13">
        <f t="shared" ref="U76:U77" si="290">ln(829280)</f>
        <v>13.62831313</v>
      </c>
      <c r="V76" s="13">
        <f t="shared" ref="V76:V77" si="291">48725/829280</f>
        <v>0.05875578815</v>
      </c>
      <c r="W76" s="13">
        <f t="shared" ref="W76:W77" si="292">414835/829280</f>
        <v>0.5002351437</v>
      </c>
      <c r="X76" s="12">
        <v>1.058</v>
      </c>
      <c r="Y76" s="13">
        <f t="shared" ref="Y76:Y77" si="293">377255/829280</f>
        <v>0.4549187247</v>
      </c>
      <c r="Z76" s="13">
        <f t="shared" ref="Z76:Z77" si="294">55560/829280</f>
        <v>0.06699787768</v>
      </c>
      <c r="AA76" s="13">
        <f t="shared" ref="AA76:AA77" si="295">787790/2690000</f>
        <v>0.2928587361</v>
      </c>
      <c r="AB76" s="13">
        <v>0.009</v>
      </c>
    </row>
    <row r="77" ht="14.25" customHeight="1">
      <c r="B77" s="31" t="s">
        <v>225</v>
      </c>
      <c r="C77" s="31" t="s">
        <v>285</v>
      </c>
      <c r="D77" s="31" t="s">
        <v>286</v>
      </c>
      <c r="E77" s="31" t="s">
        <v>290</v>
      </c>
      <c r="F77" s="31" t="s">
        <v>291</v>
      </c>
      <c r="G77" s="21" t="s">
        <v>289</v>
      </c>
      <c r="H77" s="30">
        <v>43448.0</v>
      </c>
      <c r="I77" s="21">
        <v>1529.72</v>
      </c>
      <c r="J77" s="21" t="s">
        <v>58</v>
      </c>
      <c r="K77" s="21">
        <f t="shared" si="283"/>
        <v>146</v>
      </c>
      <c r="L77" s="21">
        <v>0.087</v>
      </c>
      <c r="M77" s="13">
        <f t="shared" si="284"/>
        <v>0.001085664065</v>
      </c>
      <c r="N77" s="13">
        <f t="shared" si="285"/>
        <v>0.002226610648</v>
      </c>
      <c r="O77" s="13">
        <f t="shared" si="286"/>
        <v>0.05155677214</v>
      </c>
      <c r="P77" s="21">
        <v>0.153</v>
      </c>
      <c r="Q77" s="13">
        <f t="shared" si="287"/>
        <v>0.3369723669</v>
      </c>
      <c r="R77" s="13">
        <v>0.0025955</v>
      </c>
      <c r="S77" s="13">
        <f t="shared" si="288"/>
        <v>0.008832963535</v>
      </c>
      <c r="T77" s="13">
        <f t="shared" si="289"/>
        <v>0.3323413081</v>
      </c>
      <c r="U77" s="13">
        <f t="shared" si="290"/>
        <v>13.62831313</v>
      </c>
      <c r="V77" s="13">
        <f t="shared" si="291"/>
        <v>0.05875578815</v>
      </c>
      <c r="W77" s="13">
        <f t="shared" si="292"/>
        <v>0.5002351437</v>
      </c>
      <c r="X77" s="12">
        <v>1.058</v>
      </c>
      <c r="Y77" s="13">
        <f t="shared" si="293"/>
        <v>0.4549187247</v>
      </c>
      <c r="Z77" s="13">
        <f t="shared" si="294"/>
        <v>0.06699787768</v>
      </c>
      <c r="AA77" s="13">
        <f t="shared" si="295"/>
        <v>0.2928587361</v>
      </c>
      <c r="AB77" s="13">
        <v>0.009</v>
      </c>
    </row>
    <row r="78" ht="14.25" customHeight="1">
      <c r="B78" s="31" t="s">
        <v>225</v>
      </c>
      <c r="C78" s="31" t="s">
        <v>292</v>
      </c>
      <c r="D78" s="31" t="s">
        <v>293</v>
      </c>
      <c r="E78" s="31" t="s">
        <v>294</v>
      </c>
      <c r="F78" s="31" t="s">
        <v>295</v>
      </c>
      <c r="G78" s="21" t="s">
        <v>296</v>
      </c>
      <c r="H78" s="29">
        <v>41122.0</v>
      </c>
      <c r="I78" s="21">
        <v>144.7</v>
      </c>
      <c r="J78" s="21" t="s">
        <v>49</v>
      </c>
      <c r="K78" s="13">
        <f t="shared" ref="K78:K79" si="296">(0.001+0.0752)/0.00057735026918963</f>
        <v>131.9822715</v>
      </c>
      <c r="L78" s="21">
        <v>0.167</v>
      </c>
      <c r="M78" s="13">
        <f t="shared" ref="M78:M79" si="297">17.3/4889.3</f>
        <v>0.003538338822</v>
      </c>
      <c r="N78" s="13">
        <f t="shared" ref="N78:N79" si="298">17.3/1524.9</f>
        <v>0.01134500623</v>
      </c>
      <c r="O78" s="13">
        <f t="shared" ref="O78:O79" si="299">326.6/5286.6</f>
        <v>0.06177883706</v>
      </c>
      <c r="P78" s="21">
        <v>0.111</v>
      </c>
      <c r="Q78" s="13">
        <f t="shared" ref="Q78:Q79" si="300">(326.6/0.111)/5286.6</f>
        <v>0.5565660996</v>
      </c>
      <c r="R78" s="13">
        <v>0.00117567156340493</v>
      </c>
      <c r="S78" s="13">
        <v>0.004823516059</v>
      </c>
      <c r="T78" s="13">
        <v>0.3531759543</v>
      </c>
      <c r="U78" s="13">
        <f t="shared" ref="U78:U79" si="301">ln(5286.6)</f>
        <v>8.572930596</v>
      </c>
      <c r="V78" s="13">
        <f t="shared" ref="V78:V79" si="302">11.2/5286.6</f>
        <v>0.002118563916</v>
      </c>
      <c r="W78" s="13">
        <f t="shared" ref="W78:W79" si="303">3230.3/5286.6</f>
        <v>0.6110354481</v>
      </c>
      <c r="X78" s="13">
        <f t="shared" ref="X78:X79" si="304">3230.3/1524.9</f>
        <v>2.118368418</v>
      </c>
      <c r="Y78" s="13">
        <f t="shared" ref="Y78:Y79" si="305">1524.9/5286.6</f>
        <v>0.2884462604</v>
      </c>
      <c r="Z78" s="13">
        <f t="shared" ref="Z78:Z79" si="306">397.3/5286.6</f>
        <v>0.07515227178</v>
      </c>
      <c r="AA78" s="13">
        <f t="shared" ref="AA78:AA79" si="307">5286.6/2700000</f>
        <v>0.001958</v>
      </c>
      <c r="AB78" s="13">
        <v>-0.03</v>
      </c>
    </row>
    <row r="79" ht="14.25" customHeight="1">
      <c r="B79" s="31" t="s">
        <v>225</v>
      </c>
      <c r="C79" s="31" t="s">
        <v>292</v>
      </c>
      <c r="D79" s="31" t="s">
        <v>293</v>
      </c>
      <c r="E79" s="31" t="s">
        <v>297</v>
      </c>
      <c r="F79" s="31" t="s">
        <v>298</v>
      </c>
      <c r="G79" s="21" t="s">
        <v>296</v>
      </c>
      <c r="H79" s="29">
        <v>41122.0</v>
      </c>
      <c r="I79" s="21">
        <v>273.0</v>
      </c>
      <c r="J79" s="21" t="s">
        <v>49</v>
      </c>
      <c r="K79" s="13">
        <f t="shared" si="296"/>
        <v>131.9822715</v>
      </c>
      <c r="L79" s="21">
        <v>0.167</v>
      </c>
      <c r="M79" s="13">
        <f t="shared" si="297"/>
        <v>0.003538338822</v>
      </c>
      <c r="N79" s="13">
        <f t="shared" si="298"/>
        <v>0.01134500623</v>
      </c>
      <c r="O79" s="13">
        <f t="shared" si="299"/>
        <v>0.06177883706</v>
      </c>
      <c r="P79" s="21">
        <v>0.111</v>
      </c>
      <c r="Q79" s="13">
        <f t="shared" si="300"/>
        <v>0.5565660996</v>
      </c>
      <c r="R79" s="13">
        <v>0.00117567156340493</v>
      </c>
      <c r="S79" s="13">
        <v>0.004823516059</v>
      </c>
      <c r="T79" s="13">
        <v>0.3531759543</v>
      </c>
      <c r="U79" s="13">
        <f t="shared" si="301"/>
        <v>8.572930596</v>
      </c>
      <c r="V79" s="13">
        <f t="shared" si="302"/>
        <v>0.002118563916</v>
      </c>
      <c r="W79" s="13">
        <f t="shared" si="303"/>
        <v>0.6110354481</v>
      </c>
      <c r="X79" s="13">
        <f t="shared" si="304"/>
        <v>2.118368418</v>
      </c>
      <c r="Y79" s="13">
        <f t="shared" si="305"/>
        <v>0.2884462604</v>
      </c>
      <c r="Z79" s="13">
        <f t="shared" si="306"/>
        <v>0.07515227178</v>
      </c>
      <c r="AA79" s="13">
        <f t="shared" si="307"/>
        <v>0.001958</v>
      </c>
      <c r="AB79" s="13">
        <v>-0.03</v>
      </c>
    </row>
    <row r="80" ht="14.25" customHeight="1">
      <c r="B80" s="31" t="s">
        <v>225</v>
      </c>
      <c r="C80" s="31" t="s">
        <v>299</v>
      </c>
      <c r="D80" s="31" t="s">
        <v>293</v>
      </c>
      <c r="E80" s="31" t="s">
        <v>300</v>
      </c>
      <c r="F80" s="31" t="s">
        <v>301</v>
      </c>
      <c r="G80" s="21" t="s">
        <v>296</v>
      </c>
      <c r="H80" s="30">
        <v>43755.0</v>
      </c>
      <c r="I80" s="21">
        <v>320.0</v>
      </c>
      <c r="J80" s="21" t="s">
        <v>163</v>
      </c>
      <c r="K80" s="13">
        <f t="shared" ref="K80:K82" si="308">(0.002+0.0647)/0.00095742710775634</f>
        <v>69.66587791</v>
      </c>
      <c r="L80" s="21">
        <v>0.088</v>
      </c>
      <c r="M80" s="13">
        <f t="shared" ref="M80:M82" si="309">4.3/4138.3</f>
        <v>0.001039074016</v>
      </c>
      <c r="N80" s="13">
        <f t="shared" ref="N80:N82" si="310">4.3/2933.3</f>
        <v>0.001465925749</v>
      </c>
      <c r="O80" s="13">
        <f t="shared" ref="O80:O82" si="311">297.3/4424.6</f>
        <v>0.06719251458</v>
      </c>
      <c r="P80" s="21">
        <v>0.143</v>
      </c>
      <c r="Q80" s="13">
        <f t="shared" ref="Q80:Q82" si="312">(297.3/0.143)/4424.6</f>
        <v>0.4698777243</v>
      </c>
      <c r="R80" s="13">
        <v>9.885968015071241E-4</v>
      </c>
      <c r="S80" s="13">
        <v>0.02140306468</v>
      </c>
      <c r="T80" s="13">
        <v>0.06875197758</v>
      </c>
      <c r="U80" s="13">
        <f t="shared" ref="U80:U82" si="313">ln(4337.8)</f>
        <v>8.375122586</v>
      </c>
      <c r="V80" s="13">
        <f t="shared" ref="V80:V82" si="314">15.6/4337.8</f>
        <v>0.003596293052</v>
      </c>
      <c r="W80" s="13">
        <f t="shared" ref="W80:W82" si="315">3761.3/4337.8</f>
        <v>0.8670985292</v>
      </c>
      <c r="X80" s="13">
        <f t="shared" ref="X80:X82" si="316">3761.3/2708.8</f>
        <v>1.388548435</v>
      </c>
      <c r="Y80" s="13">
        <f t="shared" ref="Y80:Y82" si="317">2708.8/4337.8</f>
        <v>0.624464014</v>
      </c>
      <c r="Z80" s="13">
        <f t="shared" ref="Z80:Z82" si="318">284.9/4337.8</f>
        <v>0.06567845452</v>
      </c>
      <c r="AA80" s="13">
        <f t="shared" ref="AA80:AA82" si="319">4337.8/3075000</f>
        <v>0.001410666667</v>
      </c>
      <c r="AB80" s="13">
        <v>0.005</v>
      </c>
    </row>
    <row r="81" ht="14.25" customHeight="1">
      <c r="B81" s="31" t="s">
        <v>225</v>
      </c>
      <c r="C81" s="31" t="s">
        <v>299</v>
      </c>
      <c r="D81" s="31" t="s">
        <v>293</v>
      </c>
      <c r="E81" s="31" t="s">
        <v>302</v>
      </c>
      <c r="F81" s="31" t="s">
        <v>303</v>
      </c>
      <c r="G81" s="21" t="s">
        <v>296</v>
      </c>
      <c r="H81" s="30">
        <v>43755.0</v>
      </c>
      <c r="I81" s="21">
        <v>50.0</v>
      </c>
      <c r="J81" s="21" t="s">
        <v>163</v>
      </c>
      <c r="K81" s="13">
        <f t="shared" si="308"/>
        <v>69.66587791</v>
      </c>
      <c r="L81" s="21">
        <v>0.088</v>
      </c>
      <c r="M81" s="13">
        <f t="shared" si="309"/>
        <v>0.001039074016</v>
      </c>
      <c r="N81" s="13">
        <f t="shared" si="310"/>
        <v>0.001465925749</v>
      </c>
      <c r="O81" s="13">
        <f t="shared" si="311"/>
        <v>0.06719251458</v>
      </c>
      <c r="P81" s="21">
        <v>0.143</v>
      </c>
      <c r="Q81" s="13">
        <f t="shared" si="312"/>
        <v>0.4698777243</v>
      </c>
      <c r="R81" s="13">
        <v>9.885968015071241E-4</v>
      </c>
      <c r="S81" s="13">
        <v>0.02140306468</v>
      </c>
      <c r="T81" s="13">
        <v>0.06875197758</v>
      </c>
      <c r="U81" s="13">
        <f t="shared" si="313"/>
        <v>8.375122586</v>
      </c>
      <c r="V81" s="13">
        <f t="shared" si="314"/>
        <v>0.003596293052</v>
      </c>
      <c r="W81" s="13">
        <f t="shared" si="315"/>
        <v>0.8670985292</v>
      </c>
      <c r="X81" s="13">
        <f t="shared" si="316"/>
        <v>1.388548435</v>
      </c>
      <c r="Y81" s="13">
        <f t="shared" si="317"/>
        <v>0.624464014</v>
      </c>
      <c r="Z81" s="13">
        <f t="shared" si="318"/>
        <v>0.06567845452</v>
      </c>
      <c r="AA81" s="13">
        <f t="shared" si="319"/>
        <v>0.001410666667</v>
      </c>
      <c r="AB81" s="13">
        <v>0.005</v>
      </c>
    </row>
    <row r="82" ht="14.25" customHeight="1">
      <c r="B82" s="31" t="s">
        <v>225</v>
      </c>
      <c r="C82" s="31" t="s">
        <v>299</v>
      </c>
      <c r="D82" s="31" t="s">
        <v>293</v>
      </c>
      <c r="E82" s="31" t="s">
        <v>304</v>
      </c>
      <c r="F82" s="31" t="s">
        <v>305</v>
      </c>
      <c r="G82" s="21" t="s">
        <v>296</v>
      </c>
      <c r="H82" s="30">
        <v>43755.0</v>
      </c>
      <c r="I82" s="21">
        <v>88.5</v>
      </c>
      <c r="J82" s="21" t="s">
        <v>163</v>
      </c>
      <c r="K82" s="13">
        <f t="shared" si="308"/>
        <v>69.66587791</v>
      </c>
      <c r="L82" s="21">
        <v>0.088</v>
      </c>
      <c r="M82" s="13">
        <f t="shared" si="309"/>
        <v>0.001039074016</v>
      </c>
      <c r="N82" s="13">
        <f t="shared" si="310"/>
        <v>0.001465925749</v>
      </c>
      <c r="O82" s="13">
        <f t="shared" si="311"/>
        <v>0.06719251458</v>
      </c>
      <c r="P82" s="21">
        <v>0.143</v>
      </c>
      <c r="Q82" s="13">
        <f t="shared" si="312"/>
        <v>0.4698777243</v>
      </c>
      <c r="R82" s="13">
        <v>9.885968015071241E-4</v>
      </c>
      <c r="S82" s="13">
        <v>0.02140306468</v>
      </c>
      <c r="T82" s="13">
        <v>0.06875197758</v>
      </c>
      <c r="U82" s="13">
        <f t="shared" si="313"/>
        <v>8.375122586</v>
      </c>
      <c r="V82" s="13">
        <f t="shared" si="314"/>
        <v>0.003596293052</v>
      </c>
      <c r="W82" s="13">
        <f t="shared" si="315"/>
        <v>0.8670985292</v>
      </c>
      <c r="X82" s="13">
        <f t="shared" si="316"/>
        <v>1.388548435</v>
      </c>
      <c r="Y82" s="13">
        <f t="shared" si="317"/>
        <v>0.624464014</v>
      </c>
      <c r="Z82" s="13">
        <f t="shared" si="318"/>
        <v>0.06567845452</v>
      </c>
      <c r="AA82" s="13">
        <f t="shared" si="319"/>
        <v>0.001410666667</v>
      </c>
      <c r="AB82" s="13">
        <v>0.005</v>
      </c>
    </row>
    <row r="83" ht="14.25" customHeight="1">
      <c r="B83" s="31" t="s">
        <v>225</v>
      </c>
      <c r="C83" s="31" t="s">
        <v>306</v>
      </c>
      <c r="D83" s="31" t="s">
        <v>307</v>
      </c>
      <c r="E83" s="31" t="s">
        <v>308</v>
      </c>
      <c r="F83" s="31" t="s">
        <v>309</v>
      </c>
      <c r="G83" s="21" t="s">
        <v>310</v>
      </c>
      <c r="H83" s="30">
        <v>40598.0</v>
      </c>
      <c r="I83" s="21">
        <v>606.9</v>
      </c>
      <c r="J83" s="21" t="s">
        <v>311</v>
      </c>
      <c r="K83" s="21">
        <f t="shared" ref="K83:K84" si="320">(0.007+0.095)/0.0015</f>
        <v>68</v>
      </c>
      <c r="L83" s="21">
        <v>0.101</v>
      </c>
      <c r="M83" s="13">
        <f t="shared" ref="M83:M84" si="321">144.242/32440.772</f>
        <v>0.004446318355</v>
      </c>
      <c r="N83" s="13">
        <f t="shared" ref="N83:N84" si="322">144.242/14607</f>
        <v>0.009874854522</v>
      </c>
      <c r="O83" s="13">
        <f t="shared" ref="O83:O84" si="323">2103.732/35839.63</f>
        <v>0.05869848545</v>
      </c>
      <c r="P83" s="21">
        <v>0.083</v>
      </c>
      <c r="Q83" s="13">
        <f t="shared" ref="Q83:Q84" si="324">(2103.732/0.83)/35839.63</f>
        <v>0.0707210668</v>
      </c>
      <c r="R83" s="13">
        <v>0.0</v>
      </c>
      <c r="S83" s="13">
        <f t="shared" ref="S83:S84" si="325">206.892/35839.63</f>
        <v>0.005772715846</v>
      </c>
      <c r="T83" s="13">
        <f t="shared" ref="T83:T84" si="326">4321.313/35839.63</f>
        <v>0.1205735941</v>
      </c>
      <c r="U83" s="13">
        <f t="shared" ref="U83:U84" si="327">ln(35839.63)</f>
        <v>10.48680954</v>
      </c>
      <c r="V83" s="13">
        <f t="shared" ref="V83:V84" si="328">771.863/35839.63</f>
        <v>0.02153657836</v>
      </c>
      <c r="W83" s="13">
        <f t="shared" ref="W83:W84" si="329">29028.728/35839.63</f>
        <v>0.80996171</v>
      </c>
      <c r="X83" s="12">
        <v>1.987</v>
      </c>
      <c r="Y83" s="13">
        <f t="shared" ref="Y83:Y84" si="330">14607/35839.63</f>
        <v>0.4075655915</v>
      </c>
      <c r="Z83" s="13">
        <f t="shared" ref="Z83:Z84" si="331">3398.858/35839.63</f>
        <v>0.09483518664</v>
      </c>
      <c r="AA83" s="13">
        <f t="shared" ref="AA83:AA84" si="332">35839.63/2810000</f>
        <v>0.01275431673</v>
      </c>
      <c r="AB83" s="13">
        <v>0.007</v>
      </c>
    </row>
    <row r="84" ht="14.25" customHeight="1">
      <c r="B84" s="31" t="s">
        <v>225</v>
      </c>
      <c r="C84" s="31" t="s">
        <v>306</v>
      </c>
      <c r="D84" s="31" t="s">
        <v>307</v>
      </c>
      <c r="E84" s="31" t="s">
        <v>312</v>
      </c>
      <c r="F84" s="31" t="s">
        <v>313</v>
      </c>
      <c r="G84" s="21" t="s">
        <v>310</v>
      </c>
      <c r="H84" s="30">
        <v>40598.0</v>
      </c>
      <c r="I84" s="21">
        <v>326.742</v>
      </c>
      <c r="J84" s="21" t="s">
        <v>311</v>
      </c>
      <c r="K84" s="21">
        <f t="shared" si="320"/>
        <v>68</v>
      </c>
      <c r="L84" s="21">
        <v>0.101</v>
      </c>
      <c r="M84" s="13">
        <f t="shared" si="321"/>
        <v>0.004446318355</v>
      </c>
      <c r="N84" s="13">
        <f t="shared" si="322"/>
        <v>0.009874854522</v>
      </c>
      <c r="O84" s="13">
        <f t="shared" si="323"/>
        <v>0.05869848545</v>
      </c>
      <c r="P84" s="21">
        <v>0.083</v>
      </c>
      <c r="Q84" s="13">
        <f t="shared" si="324"/>
        <v>0.0707210668</v>
      </c>
      <c r="R84" s="13">
        <v>0.0</v>
      </c>
      <c r="S84" s="13">
        <f t="shared" si="325"/>
        <v>0.005772715846</v>
      </c>
      <c r="T84" s="13">
        <f t="shared" si="326"/>
        <v>0.1205735941</v>
      </c>
      <c r="U84" s="13">
        <f t="shared" si="327"/>
        <v>10.48680954</v>
      </c>
      <c r="V84" s="13">
        <f t="shared" si="328"/>
        <v>0.02153657836</v>
      </c>
      <c r="W84" s="13">
        <f t="shared" si="329"/>
        <v>0.80996171</v>
      </c>
      <c r="X84" s="12">
        <v>1.987</v>
      </c>
      <c r="Y84" s="13">
        <f t="shared" si="330"/>
        <v>0.4075655915</v>
      </c>
      <c r="Z84" s="13">
        <f t="shared" si="331"/>
        <v>0.09483518664</v>
      </c>
      <c r="AA84" s="13">
        <f t="shared" si="332"/>
        <v>0.01275431673</v>
      </c>
      <c r="AB84" s="13">
        <v>0.007</v>
      </c>
    </row>
    <row r="85" ht="14.25" customHeight="1">
      <c r="B85" s="31" t="s">
        <v>225</v>
      </c>
      <c r="C85" s="31" t="s">
        <v>314</v>
      </c>
      <c r="D85" s="31" t="s">
        <v>315</v>
      </c>
      <c r="E85" s="31" t="s">
        <v>316</v>
      </c>
      <c r="F85" s="31" t="s">
        <v>317</v>
      </c>
      <c r="G85" s="21" t="s">
        <v>310</v>
      </c>
      <c r="H85" s="30">
        <v>41134.0</v>
      </c>
      <c r="I85" s="21">
        <v>1041.4</v>
      </c>
      <c r="J85" s="21" t="s">
        <v>49</v>
      </c>
      <c r="K85" s="12">
        <f t="shared" ref="K85:K88" si="333">(0.007+0.077)/0.0023094010767585</f>
        <v>36.37306696</v>
      </c>
      <c r="L85" s="21">
        <v>0.134</v>
      </c>
      <c r="M85" s="13">
        <f t="shared" ref="M85:M88" si="334">183.892/37078.853</f>
        <v>0.004959484588</v>
      </c>
      <c r="N85" s="13">
        <f t="shared" ref="N85:N88" si="335">183.892/15802.286</f>
        <v>0.01163705049</v>
      </c>
      <c r="O85" s="13">
        <f t="shared" ref="O85:O88" si="336">2014.214/40164.641</f>
        <v>0.05014893573</v>
      </c>
      <c r="P85" s="21">
        <v>0.079</v>
      </c>
      <c r="Q85" s="13">
        <f t="shared" ref="Q85:Q88" si="337">(2014.214/0.079)/40164.641</f>
        <v>0.6347966548</v>
      </c>
      <c r="R85" s="13">
        <v>0.0</v>
      </c>
      <c r="S85" s="13">
        <f t="shared" ref="S85:S88" si="338">246.789/40164.641</f>
        <v>0.006144434355</v>
      </c>
      <c r="T85" s="13">
        <f t="shared" ref="T85:T88" si="339">8828.507/40164.641</f>
        <v>0.21980794</v>
      </c>
      <c r="U85" s="13">
        <f t="shared" ref="U85:U88" si="340">ln(40164.641)</f>
        <v>10.60074231</v>
      </c>
      <c r="V85" s="13">
        <f t="shared" ref="V85:V88" si="341">628.105/40164.641</f>
        <v>0.01563825754</v>
      </c>
      <c r="W85" s="13">
        <f t="shared" ref="W85:W88" si="342">27517.713/40164.641</f>
        <v>0.6851228423</v>
      </c>
      <c r="X85" s="12">
        <v>1.741</v>
      </c>
      <c r="Y85" s="13">
        <f t="shared" ref="Y85:Y88" si="343">15802.286/40164.641</f>
        <v>0.3934377504</v>
      </c>
      <c r="Z85" s="13">
        <f t="shared" ref="Z85:Z88" si="344">3085.788/40164.641</f>
        <v>0.07682847209</v>
      </c>
      <c r="AA85" s="13">
        <f t="shared" ref="AA85:AA88" si="345">40164.641/2725000</f>
        <v>0.0147393178</v>
      </c>
      <c r="AB85" s="13">
        <v>-0.03</v>
      </c>
    </row>
    <row r="86" ht="14.25" customHeight="1">
      <c r="B86" s="31" t="s">
        <v>225</v>
      </c>
      <c r="C86" s="31" t="s">
        <v>314</v>
      </c>
      <c r="D86" s="31" t="s">
        <v>315</v>
      </c>
      <c r="E86" s="31" t="s">
        <v>318</v>
      </c>
      <c r="F86" s="31" t="s">
        <v>319</v>
      </c>
      <c r="G86" s="21" t="s">
        <v>310</v>
      </c>
      <c r="H86" s="30">
        <v>41134.0</v>
      </c>
      <c r="I86" s="21">
        <v>252.0</v>
      </c>
      <c r="J86" s="21" t="s">
        <v>49</v>
      </c>
      <c r="K86" s="12">
        <f t="shared" si="333"/>
        <v>36.37306696</v>
      </c>
      <c r="L86" s="21">
        <v>0.134</v>
      </c>
      <c r="M86" s="13">
        <f t="shared" si="334"/>
        <v>0.004959484588</v>
      </c>
      <c r="N86" s="13">
        <f t="shared" si="335"/>
        <v>0.01163705049</v>
      </c>
      <c r="O86" s="13">
        <f t="shared" si="336"/>
        <v>0.05014893573</v>
      </c>
      <c r="P86" s="21">
        <v>0.079</v>
      </c>
      <c r="Q86" s="13">
        <f t="shared" si="337"/>
        <v>0.6347966548</v>
      </c>
      <c r="R86" s="13">
        <v>0.0</v>
      </c>
      <c r="S86" s="13">
        <f t="shared" si="338"/>
        <v>0.006144434355</v>
      </c>
      <c r="T86" s="13">
        <f t="shared" si="339"/>
        <v>0.21980794</v>
      </c>
      <c r="U86" s="13">
        <f t="shared" si="340"/>
        <v>10.60074231</v>
      </c>
      <c r="V86" s="13">
        <f t="shared" si="341"/>
        <v>0.01563825754</v>
      </c>
      <c r="W86" s="13">
        <f t="shared" si="342"/>
        <v>0.6851228423</v>
      </c>
      <c r="X86" s="12">
        <v>1.741</v>
      </c>
      <c r="Y86" s="13">
        <f t="shared" si="343"/>
        <v>0.3934377504</v>
      </c>
      <c r="Z86" s="13">
        <f t="shared" si="344"/>
        <v>0.07682847209</v>
      </c>
      <c r="AA86" s="13">
        <f t="shared" si="345"/>
        <v>0.0147393178</v>
      </c>
      <c r="AB86" s="13">
        <v>-0.03</v>
      </c>
    </row>
    <row r="87" ht="14.25" customHeight="1">
      <c r="B87" s="31" t="s">
        <v>225</v>
      </c>
      <c r="C87" s="31" t="s">
        <v>314</v>
      </c>
      <c r="D87" s="31" t="s">
        <v>315</v>
      </c>
      <c r="E87" s="31" t="s">
        <v>320</v>
      </c>
      <c r="F87" s="31" t="s">
        <v>321</v>
      </c>
      <c r="G87" s="21" t="s">
        <v>310</v>
      </c>
      <c r="H87" s="30">
        <v>41134.0</v>
      </c>
      <c r="I87" s="21">
        <v>121.25</v>
      </c>
      <c r="J87" s="21" t="s">
        <v>49</v>
      </c>
      <c r="K87" s="12">
        <f t="shared" si="333"/>
        <v>36.37306696</v>
      </c>
      <c r="L87" s="21">
        <v>0.134</v>
      </c>
      <c r="M87" s="13">
        <f t="shared" si="334"/>
        <v>0.004959484588</v>
      </c>
      <c r="N87" s="13">
        <f t="shared" si="335"/>
        <v>0.01163705049</v>
      </c>
      <c r="O87" s="13">
        <f t="shared" si="336"/>
        <v>0.05014893573</v>
      </c>
      <c r="P87" s="21">
        <v>0.079</v>
      </c>
      <c r="Q87" s="13">
        <f t="shared" si="337"/>
        <v>0.6347966548</v>
      </c>
      <c r="R87" s="13">
        <v>0.0</v>
      </c>
      <c r="S87" s="13">
        <f t="shared" si="338"/>
        <v>0.006144434355</v>
      </c>
      <c r="T87" s="13">
        <f t="shared" si="339"/>
        <v>0.21980794</v>
      </c>
      <c r="U87" s="13">
        <f t="shared" si="340"/>
        <v>10.60074231</v>
      </c>
      <c r="V87" s="13">
        <f t="shared" si="341"/>
        <v>0.01563825754</v>
      </c>
      <c r="W87" s="13">
        <f t="shared" si="342"/>
        <v>0.6851228423</v>
      </c>
      <c r="X87" s="12">
        <v>1.741</v>
      </c>
      <c r="Y87" s="13">
        <f t="shared" si="343"/>
        <v>0.3934377504</v>
      </c>
      <c r="Z87" s="13">
        <f t="shared" si="344"/>
        <v>0.07682847209</v>
      </c>
      <c r="AA87" s="13">
        <f t="shared" si="345"/>
        <v>0.0147393178</v>
      </c>
      <c r="AB87" s="13">
        <v>-0.03</v>
      </c>
    </row>
    <row r="88" ht="14.25" customHeight="1">
      <c r="B88" s="31" t="s">
        <v>225</v>
      </c>
      <c r="C88" s="31" t="s">
        <v>314</v>
      </c>
      <c r="D88" s="31" t="s">
        <v>315</v>
      </c>
      <c r="E88" s="31" t="s">
        <v>322</v>
      </c>
      <c r="F88" s="31" t="s">
        <v>323</v>
      </c>
      <c r="G88" s="21" t="s">
        <v>310</v>
      </c>
      <c r="H88" s="30">
        <v>41134.0</v>
      </c>
      <c r="I88" s="21">
        <v>31.7</v>
      </c>
      <c r="J88" s="21" t="s">
        <v>49</v>
      </c>
      <c r="K88" s="12">
        <f t="shared" si="333"/>
        <v>36.37306696</v>
      </c>
      <c r="L88" s="21">
        <v>0.134</v>
      </c>
      <c r="M88" s="13">
        <f t="shared" si="334"/>
        <v>0.004959484588</v>
      </c>
      <c r="N88" s="13">
        <f t="shared" si="335"/>
        <v>0.01163705049</v>
      </c>
      <c r="O88" s="13">
        <f t="shared" si="336"/>
        <v>0.05014893573</v>
      </c>
      <c r="P88" s="21">
        <v>0.079</v>
      </c>
      <c r="Q88" s="13">
        <f t="shared" si="337"/>
        <v>0.6347966548</v>
      </c>
      <c r="R88" s="13">
        <v>0.0</v>
      </c>
      <c r="S88" s="13">
        <f t="shared" si="338"/>
        <v>0.006144434355</v>
      </c>
      <c r="T88" s="13">
        <f t="shared" si="339"/>
        <v>0.21980794</v>
      </c>
      <c r="U88" s="13">
        <f t="shared" si="340"/>
        <v>10.60074231</v>
      </c>
      <c r="V88" s="13">
        <f t="shared" si="341"/>
        <v>0.01563825754</v>
      </c>
      <c r="W88" s="13">
        <f t="shared" si="342"/>
        <v>0.6851228423</v>
      </c>
      <c r="X88" s="12">
        <v>1.741</v>
      </c>
      <c r="Y88" s="13">
        <f t="shared" si="343"/>
        <v>0.3934377504</v>
      </c>
      <c r="Z88" s="13">
        <f t="shared" si="344"/>
        <v>0.07682847209</v>
      </c>
      <c r="AA88" s="13">
        <f t="shared" si="345"/>
        <v>0.0147393178</v>
      </c>
      <c r="AB88" s="13">
        <v>-0.03</v>
      </c>
    </row>
    <row r="89" ht="14.25" customHeight="1">
      <c r="B89" s="31" t="s">
        <v>225</v>
      </c>
      <c r="C89" s="31" t="s">
        <v>324</v>
      </c>
      <c r="D89" s="31" t="s">
        <v>325</v>
      </c>
      <c r="E89" s="31" t="s">
        <v>326</v>
      </c>
      <c r="F89" s="31" t="s">
        <v>327</v>
      </c>
      <c r="G89" s="21" t="s">
        <v>310</v>
      </c>
      <c r="H89" s="30">
        <v>42307.0</v>
      </c>
      <c r="I89" s="27">
        <v>1270.0</v>
      </c>
      <c r="J89" s="21" t="s">
        <v>201</v>
      </c>
      <c r="K89" s="13">
        <f t="shared" ref="K89:K92" si="346">(0.005+0.06782280034)/0.013868429375143</f>
        <v>5.25097676</v>
      </c>
      <c r="L89" s="21">
        <v>0.327</v>
      </c>
      <c r="M89" s="13">
        <f t="shared" ref="M89:M92" si="347">84.571/28599.588</f>
        <v>0.00295707057</v>
      </c>
      <c r="N89" s="13">
        <f t="shared" ref="N89:N92" si="348">84.571/12695</f>
        <v>0.006661756597</v>
      </c>
      <c r="O89" s="13">
        <f t="shared" ref="O89:O92" si="349">2297.385/30547.359</f>
        <v>0.07520731989</v>
      </c>
      <c r="P89" s="21">
        <v>0.107</v>
      </c>
      <c r="Q89" s="13">
        <f t="shared" ref="Q89:Q92" si="350">(2297.385/0.107)/30547.359</f>
        <v>0.7028721485</v>
      </c>
      <c r="R89" s="13">
        <v>8.224400074E-4</v>
      </c>
      <c r="S89" s="13">
        <f t="shared" ref="S89:S92" si="351">275.294/30680.42</f>
        <v>0.008972954086</v>
      </c>
      <c r="T89" s="13">
        <f t="shared" ref="T89:T92" si="352">3185.233/30680.42</f>
        <v>0.1038197326</v>
      </c>
      <c r="U89" s="13">
        <f t="shared" ref="U89:U92" si="353">ln(30680.42)</f>
        <v>10.33137995</v>
      </c>
      <c r="V89" s="13">
        <f t="shared" ref="V89:V92" si="354">258.818/30680.42</f>
        <v>0.008435934058</v>
      </c>
      <c r="W89" s="13">
        <f t="shared" ref="W89:W92" si="355">23481.044/30680.42</f>
        <v>0.7653429777</v>
      </c>
      <c r="X89" s="12">
        <v>1.85</v>
      </c>
      <c r="Y89" s="13">
        <f t="shared" ref="Y89:Y92" si="356">12695/30680.42</f>
        <v>0.4137818192</v>
      </c>
      <c r="Z89" s="13">
        <f t="shared" ref="Z89:Z92" si="357">2080.832/30680.42</f>
        <v>0.06782280034</v>
      </c>
      <c r="AA89" s="13">
        <f t="shared" ref="AA89:AA92" si="358">33349.346/2720000</f>
        <v>0.01226078897</v>
      </c>
      <c r="AB89" s="13">
        <v>0.008</v>
      </c>
    </row>
    <row r="90" ht="14.25" customHeight="1">
      <c r="B90" s="31" t="s">
        <v>225</v>
      </c>
      <c r="C90" s="31" t="s">
        <v>324</v>
      </c>
      <c r="D90" s="31" t="s">
        <v>325</v>
      </c>
      <c r="E90" s="31" t="s">
        <v>328</v>
      </c>
      <c r="F90" s="31" t="s">
        <v>329</v>
      </c>
      <c r="G90" s="21" t="s">
        <v>310</v>
      </c>
      <c r="H90" s="30">
        <v>42307.0</v>
      </c>
      <c r="I90" s="21">
        <v>290.0</v>
      </c>
      <c r="J90" s="21" t="s">
        <v>201</v>
      </c>
      <c r="K90" s="13">
        <f t="shared" si="346"/>
        <v>5.25097676</v>
      </c>
      <c r="L90" s="21">
        <v>0.327</v>
      </c>
      <c r="M90" s="13">
        <f t="shared" si="347"/>
        <v>0.00295707057</v>
      </c>
      <c r="N90" s="13">
        <f t="shared" si="348"/>
        <v>0.006661756597</v>
      </c>
      <c r="O90" s="13">
        <f t="shared" si="349"/>
        <v>0.07520731989</v>
      </c>
      <c r="P90" s="21">
        <v>0.107</v>
      </c>
      <c r="Q90" s="13">
        <f t="shared" si="350"/>
        <v>0.7028721485</v>
      </c>
      <c r="R90" s="13">
        <v>8.224400074E-4</v>
      </c>
      <c r="S90" s="13">
        <f t="shared" si="351"/>
        <v>0.008972954086</v>
      </c>
      <c r="T90" s="13">
        <f t="shared" si="352"/>
        <v>0.1038197326</v>
      </c>
      <c r="U90" s="13">
        <f t="shared" si="353"/>
        <v>10.33137995</v>
      </c>
      <c r="V90" s="13">
        <f t="shared" si="354"/>
        <v>0.008435934058</v>
      </c>
      <c r="W90" s="13">
        <f t="shared" si="355"/>
        <v>0.7653429777</v>
      </c>
      <c r="X90" s="12">
        <v>1.85</v>
      </c>
      <c r="Y90" s="13">
        <f t="shared" si="356"/>
        <v>0.4137818192</v>
      </c>
      <c r="Z90" s="13">
        <f t="shared" si="357"/>
        <v>0.06782280034</v>
      </c>
      <c r="AA90" s="13">
        <f t="shared" si="358"/>
        <v>0.01226078897</v>
      </c>
      <c r="AB90" s="13">
        <v>0.008</v>
      </c>
    </row>
    <row r="91" ht="14.25" customHeight="1">
      <c r="B91" s="31" t="s">
        <v>225</v>
      </c>
      <c r="C91" s="31" t="s">
        <v>324</v>
      </c>
      <c r="D91" s="31" t="s">
        <v>325</v>
      </c>
      <c r="E91" s="31" t="s">
        <v>330</v>
      </c>
      <c r="F91" s="31" t="s">
        <v>331</v>
      </c>
      <c r="G91" s="21" t="s">
        <v>310</v>
      </c>
      <c r="H91" s="30">
        <v>42307.0</v>
      </c>
      <c r="I91" s="21">
        <v>321.43</v>
      </c>
      <c r="J91" s="21" t="s">
        <v>201</v>
      </c>
      <c r="K91" s="13">
        <f t="shared" si="346"/>
        <v>5.25097676</v>
      </c>
      <c r="L91" s="21">
        <v>0.327</v>
      </c>
      <c r="M91" s="13">
        <f t="shared" si="347"/>
        <v>0.00295707057</v>
      </c>
      <c r="N91" s="13">
        <f t="shared" si="348"/>
        <v>0.006661756597</v>
      </c>
      <c r="O91" s="13">
        <f t="shared" si="349"/>
        <v>0.07520731989</v>
      </c>
      <c r="P91" s="21">
        <v>0.107</v>
      </c>
      <c r="Q91" s="13">
        <f t="shared" si="350"/>
        <v>0.7028721485</v>
      </c>
      <c r="R91" s="13">
        <v>8.224400074E-4</v>
      </c>
      <c r="S91" s="13">
        <f t="shared" si="351"/>
        <v>0.008972954086</v>
      </c>
      <c r="T91" s="13">
        <f t="shared" si="352"/>
        <v>0.1038197326</v>
      </c>
      <c r="U91" s="13">
        <f t="shared" si="353"/>
        <v>10.33137995</v>
      </c>
      <c r="V91" s="13">
        <f t="shared" si="354"/>
        <v>0.008435934058</v>
      </c>
      <c r="W91" s="13">
        <f t="shared" si="355"/>
        <v>0.7653429777</v>
      </c>
      <c r="X91" s="12">
        <v>1.85</v>
      </c>
      <c r="Y91" s="13">
        <f t="shared" si="356"/>
        <v>0.4137818192</v>
      </c>
      <c r="Z91" s="13">
        <f t="shared" si="357"/>
        <v>0.06782280034</v>
      </c>
      <c r="AA91" s="13">
        <f t="shared" si="358"/>
        <v>0.01226078897</v>
      </c>
      <c r="AB91" s="13">
        <v>0.008</v>
      </c>
    </row>
    <row r="92" ht="14.25" customHeight="1">
      <c r="B92" s="31" t="s">
        <v>225</v>
      </c>
      <c r="C92" s="31" t="s">
        <v>324</v>
      </c>
      <c r="D92" s="31" t="s">
        <v>325</v>
      </c>
      <c r="E92" s="31" t="s">
        <v>332</v>
      </c>
      <c r="F92" s="31" t="s">
        <v>333</v>
      </c>
      <c r="G92" s="21" t="s">
        <v>310</v>
      </c>
      <c r="H92" s="30">
        <v>42307.0</v>
      </c>
      <c r="I92" s="21">
        <v>81.14</v>
      </c>
      <c r="J92" s="21" t="s">
        <v>201</v>
      </c>
      <c r="K92" s="13">
        <f t="shared" si="346"/>
        <v>5.25097676</v>
      </c>
      <c r="L92" s="21">
        <v>0.327</v>
      </c>
      <c r="M92" s="13">
        <f t="shared" si="347"/>
        <v>0.00295707057</v>
      </c>
      <c r="N92" s="13">
        <f t="shared" si="348"/>
        <v>0.006661756597</v>
      </c>
      <c r="O92" s="13">
        <f t="shared" si="349"/>
        <v>0.07520731989</v>
      </c>
      <c r="P92" s="21">
        <v>0.107</v>
      </c>
      <c r="Q92" s="13">
        <f t="shared" si="350"/>
        <v>0.7028721485</v>
      </c>
      <c r="R92" s="13">
        <v>8.224400074E-4</v>
      </c>
      <c r="S92" s="13">
        <f t="shared" si="351"/>
        <v>0.008972954086</v>
      </c>
      <c r="T92" s="13">
        <f t="shared" si="352"/>
        <v>0.1038197326</v>
      </c>
      <c r="U92" s="13">
        <f t="shared" si="353"/>
        <v>10.33137995</v>
      </c>
      <c r="V92" s="13">
        <f t="shared" si="354"/>
        <v>0.008435934058</v>
      </c>
      <c r="W92" s="13">
        <f t="shared" si="355"/>
        <v>0.7653429777</v>
      </c>
      <c r="X92" s="12">
        <v>1.85</v>
      </c>
      <c r="Y92" s="13">
        <f t="shared" si="356"/>
        <v>0.4137818192</v>
      </c>
      <c r="Z92" s="13">
        <f t="shared" si="357"/>
        <v>0.06782280034</v>
      </c>
      <c r="AA92" s="13">
        <f t="shared" si="358"/>
        <v>0.01226078897</v>
      </c>
      <c r="AB92" s="13">
        <v>0.008</v>
      </c>
    </row>
    <row r="93" ht="14.25" customHeight="1">
      <c r="B93" s="31" t="s">
        <v>225</v>
      </c>
      <c r="C93" s="31" t="s">
        <v>334</v>
      </c>
      <c r="D93" s="31" t="s">
        <v>335</v>
      </c>
      <c r="E93" s="31" t="s">
        <v>336</v>
      </c>
      <c r="F93" s="31" t="s">
        <v>337</v>
      </c>
      <c r="G93" s="21" t="s">
        <v>338</v>
      </c>
      <c r="H93" s="30">
        <v>41260.0</v>
      </c>
      <c r="I93" s="21">
        <v>668.7</v>
      </c>
      <c r="J93" s="21" t="s">
        <v>339</v>
      </c>
      <c r="K93" s="12">
        <f t="shared" ref="K93:K94" si="359">(0.001+0.077)/0.0047169905660283</f>
        <v>16.53596693</v>
      </c>
      <c r="L93" s="21">
        <v>0.168</v>
      </c>
      <c r="M93" s="13">
        <f t="shared" ref="M93:M94" si="360">211.8/57647.8</f>
        <v>0.003674034395</v>
      </c>
      <c r="N93" s="13">
        <f t="shared" ref="N93:N94" si="361">211.8/30798.6</f>
        <v>0.006876935965</v>
      </c>
      <c r="O93" s="13">
        <f t="shared" ref="O93:O94" si="362">3746.3/62398.5</f>
        <v>0.0600383022</v>
      </c>
      <c r="P93" s="21">
        <v>0.083</v>
      </c>
      <c r="Q93" s="13">
        <f t="shared" ref="Q93:Q94" si="363">(3746.3/0.083)/62398.5</f>
        <v>0.7233530386</v>
      </c>
      <c r="R93" s="13">
        <v>6.666541864E-4</v>
      </c>
      <c r="S93" s="13">
        <f t="shared" ref="S93:S94" si="364">359.6/62398.5</f>
        <v>0.005762959045</v>
      </c>
      <c r="T93" s="13">
        <f t="shared" ref="T93:T94" si="365">9346.4/62398.5</f>
        <v>0.1497856519</v>
      </c>
      <c r="U93" s="13">
        <f t="shared" ref="U93:U94" si="366">ln(62398.5)</f>
        <v>11.04129652</v>
      </c>
      <c r="V93" s="13">
        <f t="shared" ref="V93:V94" si="367">1413.9/62398.5</f>
        <v>0.02265919854</v>
      </c>
      <c r="W93" s="13">
        <f t="shared" ref="W93:W94" si="368">52398.4/62398.5</f>
        <v>0.8397381347</v>
      </c>
      <c r="X93" s="12">
        <v>1.701</v>
      </c>
      <c r="Y93" s="13">
        <f t="shared" ref="Y93:Y94" si="369">30798.6/62398.5</f>
        <v>0.4935791726</v>
      </c>
      <c r="Z93" s="13">
        <f t="shared" ref="Z93:Z94" si="370">4750.7/62398.5</f>
        <v>0.07613484299</v>
      </c>
      <c r="AA93" s="13">
        <f t="shared" ref="AA93:AA94" si="371">61637.8/2650000</f>
        <v>0.02325954717</v>
      </c>
      <c r="AB93" s="13">
        <v>-0.03</v>
      </c>
    </row>
    <row r="94" ht="14.25" customHeight="1">
      <c r="B94" s="31" t="s">
        <v>225</v>
      </c>
      <c r="C94" s="31" t="s">
        <v>334</v>
      </c>
      <c r="D94" s="31" t="s">
        <v>335</v>
      </c>
      <c r="E94" s="31" t="s">
        <v>340</v>
      </c>
      <c r="F94" s="31" t="s">
        <v>341</v>
      </c>
      <c r="G94" s="21" t="s">
        <v>338</v>
      </c>
      <c r="H94" s="30">
        <v>41260.0</v>
      </c>
      <c r="I94" s="21">
        <v>1488.0</v>
      </c>
      <c r="J94" s="21" t="s">
        <v>339</v>
      </c>
      <c r="K94" s="12">
        <f t="shared" si="359"/>
        <v>16.53596693</v>
      </c>
      <c r="L94" s="21">
        <v>0.168</v>
      </c>
      <c r="M94" s="13">
        <f t="shared" si="360"/>
        <v>0.003674034395</v>
      </c>
      <c r="N94" s="13">
        <f t="shared" si="361"/>
        <v>0.006876935965</v>
      </c>
      <c r="O94" s="13">
        <f t="shared" si="362"/>
        <v>0.0600383022</v>
      </c>
      <c r="P94" s="21">
        <v>0.083</v>
      </c>
      <c r="Q94" s="13">
        <f t="shared" si="363"/>
        <v>0.7233530386</v>
      </c>
      <c r="R94" s="13">
        <v>6.666541864E-4</v>
      </c>
      <c r="S94" s="13">
        <f t="shared" si="364"/>
        <v>0.005762959045</v>
      </c>
      <c r="T94" s="13">
        <f t="shared" si="365"/>
        <v>0.1497856519</v>
      </c>
      <c r="U94" s="13">
        <f t="shared" si="366"/>
        <v>11.04129652</v>
      </c>
      <c r="V94" s="13">
        <f t="shared" si="367"/>
        <v>0.02265919854</v>
      </c>
      <c r="W94" s="13">
        <f t="shared" si="368"/>
        <v>0.8397381347</v>
      </c>
      <c r="X94" s="12">
        <v>1.701</v>
      </c>
      <c r="Y94" s="13">
        <f t="shared" si="369"/>
        <v>0.4935791726</v>
      </c>
      <c r="Z94" s="13">
        <f t="shared" si="370"/>
        <v>0.07613484299</v>
      </c>
      <c r="AA94" s="13">
        <f t="shared" si="371"/>
        <v>0.02325954717</v>
      </c>
      <c r="AB94" s="13">
        <v>-0.03</v>
      </c>
    </row>
    <row r="95" ht="14.25" customHeight="1">
      <c r="B95" s="31" t="s">
        <v>225</v>
      </c>
      <c r="C95" s="31" t="s">
        <v>342</v>
      </c>
      <c r="D95" s="31" t="s">
        <v>343</v>
      </c>
      <c r="E95" s="31" t="s">
        <v>344</v>
      </c>
      <c r="F95" s="31" t="s">
        <v>345</v>
      </c>
      <c r="G95" s="21" t="s">
        <v>346</v>
      </c>
      <c r="H95" s="30">
        <v>41192.0</v>
      </c>
      <c r="I95" s="21">
        <v>427.0</v>
      </c>
      <c r="J95" s="21" t="s">
        <v>339</v>
      </c>
      <c r="K95" s="12">
        <f t="shared" ref="K95:K97" si="372">(0.001+0.042)/0.028170611163646</f>
        <v>1.526413458</v>
      </c>
      <c r="L95" s="21">
        <v>0.361</v>
      </c>
      <c r="M95" s="13">
        <f t="shared" ref="M95:M97" si="373">49.804/14513.847</f>
        <v>0.003431481674</v>
      </c>
      <c r="N95" s="13">
        <f t="shared" ref="N95:N97" si="374">49.804/8963.591</f>
        <v>0.0055562553</v>
      </c>
      <c r="O95" s="13">
        <f t="shared" ref="O95:O97" si="375">511.237/17206.213</f>
        <v>0.02971234867</v>
      </c>
      <c r="P95" s="21">
        <v>0.062</v>
      </c>
      <c r="Q95" s="13">
        <f t="shared" ref="Q95:Q97" si="376">(511.237/0.062)/17206.213</f>
        <v>0.4792314302</v>
      </c>
      <c r="R95" s="13">
        <v>4.171747641E-4</v>
      </c>
      <c r="S95" s="13">
        <f t="shared" ref="S95:S97" si="377">63.477/15136.113</f>
        <v>0.004193745118</v>
      </c>
      <c r="T95" s="13">
        <f t="shared" ref="T95:T97" si="378">6802.403/15136.113</f>
        <v>0.4494154477</v>
      </c>
      <c r="U95" s="13">
        <f t="shared" ref="U95:U97" si="379">ln(15136.113)</f>
        <v>9.624838757</v>
      </c>
      <c r="V95" s="13">
        <f t="shared" ref="V95:V97" si="380">102.097/15136.113</f>
        <v>0.006745258839</v>
      </c>
      <c r="W95" s="13">
        <f t="shared" ref="W95:W97" si="381">7198.422/15136.113</f>
        <v>0.4755792983</v>
      </c>
      <c r="X95" s="12">
        <v>0.803</v>
      </c>
      <c r="Y95" s="13">
        <f t="shared" ref="Y95:Y97" si="382">8963.591/15136.113</f>
        <v>0.5921990012</v>
      </c>
      <c r="Z95" s="13">
        <f t="shared" ref="Z95:Z97" si="383">622.266/15136.113</f>
        <v>0.04111134741</v>
      </c>
      <c r="AA95" s="13">
        <f t="shared" ref="AA95:AA97" si="384">14690.79/2650000</f>
        <v>0.00554369434</v>
      </c>
      <c r="AB95" s="13">
        <v>-0.03</v>
      </c>
    </row>
    <row r="96" ht="14.25" customHeight="1">
      <c r="B96" s="31" t="s">
        <v>225</v>
      </c>
      <c r="C96" s="31" t="s">
        <v>342</v>
      </c>
      <c r="D96" s="31" t="s">
        <v>343</v>
      </c>
      <c r="E96" s="31" t="s">
        <v>347</v>
      </c>
      <c r="F96" s="31" t="s">
        <v>348</v>
      </c>
      <c r="G96" s="21" t="s">
        <v>346</v>
      </c>
      <c r="H96" s="30">
        <v>41192.0</v>
      </c>
      <c r="I96" s="21">
        <v>125.0</v>
      </c>
      <c r="J96" s="21" t="s">
        <v>339</v>
      </c>
      <c r="K96" s="12">
        <f t="shared" si="372"/>
        <v>1.526413458</v>
      </c>
      <c r="L96" s="21">
        <v>0.361</v>
      </c>
      <c r="M96" s="13">
        <f t="shared" si="373"/>
        <v>0.003431481674</v>
      </c>
      <c r="N96" s="13">
        <f t="shared" si="374"/>
        <v>0.0055562553</v>
      </c>
      <c r="O96" s="13">
        <f t="shared" si="375"/>
        <v>0.02971234867</v>
      </c>
      <c r="P96" s="21">
        <v>0.062</v>
      </c>
      <c r="Q96" s="13">
        <f t="shared" si="376"/>
        <v>0.4792314302</v>
      </c>
      <c r="R96" s="13">
        <v>4.171747641E-4</v>
      </c>
      <c r="S96" s="13">
        <f t="shared" si="377"/>
        <v>0.004193745118</v>
      </c>
      <c r="T96" s="13">
        <f t="shared" si="378"/>
        <v>0.4494154477</v>
      </c>
      <c r="U96" s="13">
        <f t="shared" si="379"/>
        <v>9.624838757</v>
      </c>
      <c r="V96" s="13">
        <f t="shared" si="380"/>
        <v>0.006745258839</v>
      </c>
      <c r="W96" s="13">
        <f t="shared" si="381"/>
        <v>0.4755792983</v>
      </c>
      <c r="X96" s="12">
        <v>0.803</v>
      </c>
      <c r="Y96" s="13">
        <f t="shared" si="382"/>
        <v>0.5921990012</v>
      </c>
      <c r="Z96" s="13">
        <f t="shared" si="383"/>
        <v>0.04111134741</v>
      </c>
      <c r="AA96" s="13">
        <f t="shared" si="384"/>
        <v>0.00554369434</v>
      </c>
      <c r="AB96" s="13">
        <v>-0.03</v>
      </c>
    </row>
    <row r="97" ht="14.25" customHeight="1">
      <c r="B97" s="31" t="s">
        <v>225</v>
      </c>
      <c r="C97" s="31" t="s">
        <v>342</v>
      </c>
      <c r="D97" s="31" t="s">
        <v>343</v>
      </c>
      <c r="E97" s="31" t="s">
        <v>349</v>
      </c>
      <c r="F97" s="31" t="s">
        <v>350</v>
      </c>
      <c r="G97" s="21" t="s">
        <v>346</v>
      </c>
      <c r="H97" s="30">
        <v>41192.0</v>
      </c>
      <c r="I97" s="21">
        <v>91.987</v>
      </c>
      <c r="J97" s="21" t="s">
        <v>339</v>
      </c>
      <c r="K97" s="12">
        <f t="shared" si="372"/>
        <v>1.526413458</v>
      </c>
      <c r="L97" s="21">
        <v>0.361</v>
      </c>
      <c r="M97" s="13">
        <f t="shared" si="373"/>
        <v>0.003431481674</v>
      </c>
      <c r="N97" s="13">
        <f t="shared" si="374"/>
        <v>0.0055562553</v>
      </c>
      <c r="O97" s="13">
        <f t="shared" si="375"/>
        <v>0.02971234867</v>
      </c>
      <c r="P97" s="21">
        <v>0.062</v>
      </c>
      <c r="Q97" s="13">
        <f t="shared" si="376"/>
        <v>0.4792314302</v>
      </c>
      <c r="R97" s="13">
        <v>4.171747641E-4</v>
      </c>
      <c r="S97" s="13">
        <f t="shared" si="377"/>
        <v>0.004193745118</v>
      </c>
      <c r="T97" s="13">
        <f t="shared" si="378"/>
        <v>0.4494154477</v>
      </c>
      <c r="U97" s="13">
        <f t="shared" si="379"/>
        <v>9.624838757</v>
      </c>
      <c r="V97" s="13">
        <f t="shared" si="380"/>
        <v>0.006745258839</v>
      </c>
      <c r="W97" s="13">
        <f t="shared" si="381"/>
        <v>0.4755792983</v>
      </c>
      <c r="X97" s="12">
        <v>0.803</v>
      </c>
      <c r="Y97" s="13">
        <f t="shared" si="382"/>
        <v>0.5921990012</v>
      </c>
      <c r="Z97" s="13">
        <f t="shared" si="383"/>
        <v>0.04111134741</v>
      </c>
      <c r="AA97" s="13">
        <f t="shared" si="384"/>
        <v>0.00554369434</v>
      </c>
      <c r="AB97" s="13">
        <v>-0.03</v>
      </c>
    </row>
    <row r="98" ht="15.0" customHeight="1">
      <c r="B98" s="31" t="s">
        <v>225</v>
      </c>
      <c r="C98" s="31" t="s">
        <v>351</v>
      </c>
      <c r="D98" s="31" t="s">
        <v>352</v>
      </c>
      <c r="E98" s="31" t="s">
        <v>353</v>
      </c>
      <c r="F98" s="31" t="s">
        <v>354</v>
      </c>
      <c r="G98" s="21" t="s">
        <v>289</v>
      </c>
      <c r="H98" s="30">
        <v>44186.0</v>
      </c>
      <c r="I98" s="27">
        <v>6610.0</v>
      </c>
      <c r="J98" s="21" t="s">
        <v>166</v>
      </c>
      <c r="K98" s="12">
        <f t="shared" ref="K98:K99" si="385">(0.006+0.066)/0.0066017674401128</f>
        <v>10.9061703</v>
      </c>
      <c r="L98" s="21">
        <v>0.039</v>
      </c>
      <c r="M98" s="13">
        <f t="shared" ref="M98:M99" si="386">570/934919</f>
        <v>0.0006096784855</v>
      </c>
      <c r="N98" s="13">
        <f t="shared" ref="N98:N99" si="387">570/501148</f>
        <v>0.001137388556</v>
      </c>
      <c r="O98" s="13">
        <f t="shared" ref="O98:O99" si="388">55257/1057595</f>
        <v>0.05224778861</v>
      </c>
      <c r="P98" s="21">
        <v>0.168</v>
      </c>
      <c r="Q98" s="13">
        <f t="shared" ref="Q98:Q99" si="389">(55257/0.168)/1057595</f>
        <v>0.3109987418</v>
      </c>
      <c r="R98" s="13">
        <v>7.517445865E-4</v>
      </c>
      <c r="S98" s="13">
        <f t="shared" ref="S98:S99" si="390">8254/1000628</f>
        <v>0.008248819741</v>
      </c>
      <c r="T98" s="13">
        <f t="shared" ref="T98:T99" si="391">318186/1000628</f>
        <v>0.3179863046</v>
      </c>
      <c r="U98" s="13">
        <f t="shared" ref="U98:U99" si="392">ln(1000628)</f>
        <v>13.81613836</v>
      </c>
      <c r="V98" s="13">
        <f t="shared" ref="V98:V99" si="393">53648/1000628</f>
        <v>0.0536143302</v>
      </c>
      <c r="W98" s="13">
        <f t="shared" ref="W98:W99" si="394">500835/1000628</f>
        <v>0.500520673</v>
      </c>
      <c r="X98" s="12">
        <v>1.017937979</v>
      </c>
      <c r="Y98" s="13">
        <f t="shared" ref="Y98:Y99" si="395">501148/1000628</f>
        <v>0.5008334766</v>
      </c>
      <c r="Z98" s="13">
        <f t="shared" ref="Z98:Z99" si="396">65709/1000628</f>
        <v>0.06566776065</v>
      </c>
      <c r="AA98" s="13">
        <f t="shared" ref="AA98:AA99" si="397">1002614/3100000</f>
        <v>0.323423871</v>
      </c>
      <c r="AB98" s="13">
        <v>-0.09</v>
      </c>
    </row>
    <row r="99" ht="15.0" customHeight="1">
      <c r="B99" s="31" t="s">
        <v>225</v>
      </c>
      <c r="C99" s="31" t="s">
        <v>351</v>
      </c>
      <c r="D99" s="31" t="s">
        <v>352</v>
      </c>
      <c r="E99" s="31" t="s">
        <v>355</v>
      </c>
      <c r="F99" s="31" t="s">
        <v>356</v>
      </c>
      <c r="G99" s="21" t="s">
        <v>289</v>
      </c>
      <c r="H99" s="30">
        <v>44186.0</v>
      </c>
      <c r="I99" s="32">
        <v>3485.1</v>
      </c>
      <c r="J99" s="21" t="s">
        <v>166</v>
      </c>
      <c r="K99" s="12">
        <f t="shared" si="385"/>
        <v>10.9061703</v>
      </c>
      <c r="L99" s="21">
        <v>0.039</v>
      </c>
      <c r="M99" s="13">
        <f t="shared" si="386"/>
        <v>0.0006096784855</v>
      </c>
      <c r="N99" s="13">
        <f t="shared" si="387"/>
        <v>0.001137388556</v>
      </c>
      <c r="O99" s="13">
        <f t="shared" si="388"/>
        <v>0.05224778861</v>
      </c>
      <c r="P99" s="21">
        <v>0.168</v>
      </c>
      <c r="Q99" s="13">
        <f t="shared" si="389"/>
        <v>0.3109987418</v>
      </c>
      <c r="R99" s="13">
        <v>7.517445865E-4</v>
      </c>
      <c r="S99" s="13">
        <f t="shared" si="390"/>
        <v>0.008248819741</v>
      </c>
      <c r="T99" s="13">
        <f t="shared" si="391"/>
        <v>0.3179863046</v>
      </c>
      <c r="U99" s="13">
        <f t="shared" si="392"/>
        <v>13.81613836</v>
      </c>
      <c r="V99" s="13">
        <f t="shared" si="393"/>
        <v>0.0536143302</v>
      </c>
      <c r="W99" s="13">
        <f t="shared" si="394"/>
        <v>0.500520673</v>
      </c>
      <c r="X99" s="12">
        <v>1.017937979</v>
      </c>
      <c r="Y99" s="13">
        <f t="shared" si="395"/>
        <v>0.5008334766</v>
      </c>
      <c r="Z99" s="13">
        <f t="shared" si="396"/>
        <v>0.06566776065</v>
      </c>
      <c r="AA99" s="13">
        <f t="shared" si="397"/>
        <v>0.323423871</v>
      </c>
      <c r="AB99" s="13">
        <v>-0.09</v>
      </c>
    </row>
    <row r="100" ht="14.25" customHeight="1">
      <c r="B100" s="31" t="s">
        <v>225</v>
      </c>
      <c r="C100" s="31" t="s">
        <v>357</v>
      </c>
      <c r="D100" s="31" t="s">
        <v>358</v>
      </c>
      <c r="E100" s="31"/>
      <c r="F100" s="31" t="s">
        <v>359</v>
      </c>
      <c r="G100" s="21" t="s">
        <v>360</v>
      </c>
      <c r="H100" s="30">
        <v>40840.0</v>
      </c>
      <c r="I100" s="21">
        <v>452.8</v>
      </c>
      <c r="J100" s="21" t="s">
        <v>361</v>
      </c>
      <c r="K100" s="12">
        <f t="shared" ref="K100:K103" si="398">(0.004+0.065)/0.020672042311618</f>
        <v>3.337841465</v>
      </c>
      <c r="L100" s="37">
        <v>0.113</v>
      </c>
      <c r="M100" s="13">
        <f t="shared" ref="M100:M103" si="399">3549.125/867656</f>
        <v>0.004090474796</v>
      </c>
      <c r="N100" s="13">
        <f t="shared" ref="N100:N103" si="400">3549.125/531108</f>
        <v>0.006682492073</v>
      </c>
      <c r="O100" s="13">
        <f t="shared" ref="O100:O103" si="401">49429/933063</f>
        <v>0.05297498668</v>
      </c>
      <c r="P100" s="21">
        <v>0.109</v>
      </c>
      <c r="Q100" s="13">
        <f t="shared" ref="Q100:Q103" si="402">(49429/0.109)/933063</f>
        <v>0.4860090521</v>
      </c>
      <c r="R100" s="13">
        <v>9.546089187E-4</v>
      </c>
      <c r="S100" s="13">
        <f t="shared" ref="S100:S103" si="403">9244/933063</f>
        <v>0.009907155251</v>
      </c>
      <c r="T100" s="13">
        <f t="shared" ref="T100:T103" si="404">241983/933063</f>
        <v>0.2593426167</v>
      </c>
      <c r="U100" s="13">
        <f t="shared" ref="U100:U103" si="405">ln(913567.1)</f>
        <v>13.72511211</v>
      </c>
      <c r="V100" s="13">
        <f t="shared" ref="V100:V103" si="406">138646/933063</f>
        <v>0.1485923244</v>
      </c>
      <c r="W100" s="13">
        <f t="shared" ref="W100:W103" si="407">664806/933063</f>
        <v>0.712498513</v>
      </c>
      <c r="X100" s="25">
        <v>1.252</v>
      </c>
      <c r="Y100" s="13">
        <f t="shared" ref="Y100:Y103" si="408">531108/933063</f>
        <v>0.5692091531</v>
      </c>
      <c r="Z100" s="13">
        <f t="shared" ref="Z100:Z103" si="409">65407/933063</f>
        <v>0.07009923231</v>
      </c>
      <c r="AA100" s="13">
        <f t="shared" ref="AA100:AA103" si="410">913567.1/2800000</f>
        <v>0.3262739643</v>
      </c>
      <c r="AB100" s="13">
        <v>0.007</v>
      </c>
    </row>
    <row r="101" ht="14.25" customHeight="1">
      <c r="B101" s="31" t="s">
        <v>225</v>
      </c>
      <c r="C101" s="31" t="s">
        <v>357</v>
      </c>
      <c r="D101" s="31" t="s">
        <v>358</v>
      </c>
      <c r="E101" s="31"/>
      <c r="F101" s="31" t="s">
        <v>362</v>
      </c>
      <c r="G101" s="21" t="s">
        <v>360</v>
      </c>
      <c r="H101" s="30">
        <v>40840.0</v>
      </c>
      <c r="I101" s="32">
        <v>1207.7</v>
      </c>
      <c r="J101" s="21" t="s">
        <v>361</v>
      </c>
      <c r="K101" s="12">
        <f t="shared" si="398"/>
        <v>3.337841465</v>
      </c>
      <c r="L101" s="37">
        <v>0.113</v>
      </c>
      <c r="M101" s="13">
        <f t="shared" si="399"/>
        <v>0.004090474796</v>
      </c>
      <c r="N101" s="13">
        <f t="shared" si="400"/>
        <v>0.006682492073</v>
      </c>
      <c r="O101" s="13">
        <f t="shared" si="401"/>
        <v>0.05297498668</v>
      </c>
      <c r="P101" s="21">
        <v>0.109</v>
      </c>
      <c r="Q101" s="13">
        <f t="shared" si="402"/>
        <v>0.4860090521</v>
      </c>
      <c r="R101" s="13">
        <v>9.546089187E-4</v>
      </c>
      <c r="S101" s="13">
        <f t="shared" si="403"/>
        <v>0.009907155251</v>
      </c>
      <c r="T101" s="13">
        <f t="shared" si="404"/>
        <v>0.2593426167</v>
      </c>
      <c r="U101" s="13">
        <f t="shared" si="405"/>
        <v>13.72511211</v>
      </c>
      <c r="V101" s="13">
        <f t="shared" si="406"/>
        <v>0.1485923244</v>
      </c>
      <c r="W101" s="13">
        <f t="shared" si="407"/>
        <v>0.712498513</v>
      </c>
      <c r="X101" s="25">
        <v>1.252</v>
      </c>
      <c r="Y101" s="13">
        <f t="shared" si="408"/>
        <v>0.5692091531</v>
      </c>
      <c r="Z101" s="13">
        <f t="shared" si="409"/>
        <v>0.07009923231</v>
      </c>
      <c r="AA101" s="13">
        <f t="shared" si="410"/>
        <v>0.3262739643</v>
      </c>
      <c r="AB101" s="13">
        <v>0.007</v>
      </c>
    </row>
    <row r="102" ht="14.25" customHeight="1">
      <c r="B102" s="31" t="s">
        <v>225</v>
      </c>
      <c r="C102" s="31" t="s">
        <v>357</v>
      </c>
      <c r="D102" s="31" t="s">
        <v>358</v>
      </c>
      <c r="E102" s="31"/>
      <c r="F102" s="31" t="s">
        <v>363</v>
      </c>
      <c r="G102" s="21" t="s">
        <v>360</v>
      </c>
      <c r="H102" s="30">
        <v>40840.0</v>
      </c>
      <c r="I102" s="21">
        <v>836.1</v>
      </c>
      <c r="J102" s="21" t="s">
        <v>361</v>
      </c>
      <c r="K102" s="12">
        <f t="shared" si="398"/>
        <v>3.337841465</v>
      </c>
      <c r="L102" s="37">
        <v>0.113</v>
      </c>
      <c r="M102" s="13">
        <f t="shared" si="399"/>
        <v>0.004090474796</v>
      </c>
      <c r="N102" s="13">
        <f t="shared" si="400"/>
        <v>0.006682492073</v>
      </c>
      <c r="O102" s="13">
        <f t="shared" si="401"/>
        <v>0.05297498668</v>
      </c>
      <c r="P102" s="21">
        <v>0.109</v>
      </c>
      <c r="Q102" s="13">
        <f t="shared" si="402"/>
        <v>0.4860090521</v>
      </c>
      <c r="R102" s="13">
        <v>9.546089187E-4</v>
      </c>
      <c r="S102" s="13">
        <f t="shared" si="403"/>
        <v>0.009907155251</v>
      </c>
      <c r="T102" s="13">
        <f t="shared" si="404"/>
        <v>0.2593426167</v>
      </c>
      <c r="U102" s="13">
        <f t="shared" si="405"/>
        <v>13.72511211</v>
      </c>
      <c r="V102" s="13">
        <f t="shared" si="406"/>
        <v>0.1485923244</v>
      </c>
      <c r="W102" s="13">
        <f t="shared" si="407"/>
        <v>0.712498513</v>
      </c>
      <c r="X102" s="25">
        <v>1.252</v>
      </c>
      <c r="Y102" s="13">
        <f t="shared" si="408"/>
        <v>0.5692091531</v>
      </c>
      <c r="Z102" s="13">
        <f t="shared" si="409"/>
        <v>0.07009923231</v>
      </c>
      <c r="AA102" s="13">
        <f t="shared" si="410"/>
        <v>0.3262739643</v>
      </c>
      <c r="AB102" s="13">
        <v>0.007</v>
      </c>
    </row>
    <row r="103" ht="14.25" customHeight="1">
      <c r="B103" s="31" t="s">
        <v>225</v>
      </c>
      <c r="C103" s="31" t="s">
        <v>357</v>
      </c>
      <c r="D103" s="31" t="s">
        <v>358</v>
      </c>
      <c r="E103" s="31"/>
      <c r="F103" s="31" t="s">
        <v>364</v>
      </c>
      <c r="G103" s="21" t="s">
        <v>360</v>
      </c>
      <c r="H103" s="30">
        <v>40840.0</v>
      </c>
      <c r="I103" s="32">
        <v>2090.4</v>
      </c>
      <c r="J103" s="21" t="s">
        <v>361</v>
      </c>
      <c r="K103" s="12">
        <f t="shared" si="398"/>
        <v>3.337841465</v>
      </c>
      <c r="L103" s="37">
        <v>0.113</v>
      </c>
      <c r="M103" s="13">
        <f t="shared" si="399"/>
        <v>0.004090474796</v>
      </c>
      <c r="N103" s="13">
        <f t="shared" si="400"/>
        <v>0.006682492073</v>
      </c>
      <c r="O103" s="13">
        <f t="shared" si="401"/>
        <v>0.05297498668</v>
      </c>
      <c r="P103" s="21">
        <v>0.109</v>
      </c>
      <c r="Q103" s="13">
        <f t="shared" si="402"/>
        <v>0.4860090521</v>
      </c>
      <c r="R103" s="13">
        <v>9.546089187E-4</v>
      </c>
      <c r="S103" s="13">
        <f t="shared" si="403"/>
        <v>0.009907155251</v>
      </c>
      <c r="T103" s="13">
        <f t="shared" si="404"/>
        <v>0.2593426167</v>
      </c>
      <c r="U103" s="13">
        <f t="shared" si="405"/>
        <v>13.72511211</v>
      </c>
      <c r="V103" s="13">
        <f t="shared" si="406"/>
        <v>0.1485923244</v>
      </c>
      <c r="W103" s="13">
        <f t="shared" si="407"/>
        <v>0.712498513</v>
      </c>
      <c r="X103" s="25">
        <v>1.252</v>
      </c>
      <c r="Y103" s="13">
        <f t="shared" si="408"/>
        <v>0.5692091531</v>
      </c>
      <c r="Z103" s="13">
        <f t="shared" si="409"/>
        <v>0.07009923231</v>
      </c>
      <c r="AA103" s="13">
        <f t="shared" si="410"/>
        <v>0.3262739643</v>
      </c>
      <c r="AB103" s="13">
        <v>0.007</v>
      </c>
    </row>
    <row r="104" ht="14.25" customHeight="1">
      <c r="B104" s="31" t="s">
        <v>225</v>
      </c>
      <c r="C104" s="31" t="s">
        <v>365</v>
      </c>
      <c r="D104" s="31" t="s">
        <v>366</v>
      </c>
      <c r="E104" s="31" t="s">
        <v>367</v>
      </c>
      <c r="F104" s="31" t="s">
        <v>368</v>
      </c>
      <c r="G104" s="21" t="s">
        <v>360</v>
      </c>
      <c r="H104" s="30">
        <v>43780.0</v>
      </c>
      <c r="I104" s="32">
        <v>7746.4</v>
      </c>
      <c r="J104" s="21" t="s">
        <v>163</v>
      </c>
      <c r="K104" s="12">
        <f t="shared" ref="K104:K105" si="411">(0.013+0.071)/0.0045092497528229</f>
        <v>18.62837603</v>
      </c>
      <c r="L104" s="37">
        <v>0.041</v>
      </c>
      <c r="M104" s="24">
        <f t="shared" ref="M104:M105" si="412">921.25/811503</f>
        <v>0.00113523918</v>
      </c>
      <c r="N104" s="24">
        <f t="shared" ref="N104:N105" si="413">921.25/616453</f>
        <v>0.001494436721</v>
      </c>
      <c r="O104" s="13">
        <f t="shared" ref="O104:O105" si="414">58315/872753</f>
        <v>0.06681730111</v>
      </c>
      <c r="P104" s="21">
        <v>0.155</v>
      </c>
      <c r="Q104" s="13">
        <f t="shared" ref="Q104:Q105" si="415">(58315/0.166)/872753</f>
        <v>0.4025138621</v>
      </c>
      <c r="R104" s="13">
        <v>9.546089187E-4</v>
      </c>
      <c r="S104" s="13">
        <f t="shared" ref="S104:S105" si="416">20726/872753</f>
        <v>0.0237478416</v>
      </c>
      <c r="T104" s="13">
        <f t="shared" ref="T104:T105" si="417">232714/872753</f>
        <v>0.2666435979</v>
      </c>
      <c r="U104" s="13">
        <f t="shared" ref="U104:U105" si="418">ln(872753)</f>
        <v>13.67940786</v>
      </c>
      <c r="V104" s="13">
        <f t="shared" ref="V104:V105" si="419">80807/872753</f>
        <v>0.09258862473</v>
      </c>
      <c r="W104" s="13">
        <f t="shared" ref="W104:W105" si="420">604085/872753</f>
        <v>0.6921603249</v>
      </c>
      <c r="X104" s="25">
        <v>0.98</v>
      </c>
      <c r="Y104" s="13">
        <f t="shared" ref="Y104:Y105" si="421">616453/872753</f>
        <v>0.7063315738</v>
      </c>
      <c r="Z104" s="13">
        <f t="shared" ref="Z104:Z105" si="422">61250/872753</f>
        <v>0.07018022281</v>
      </c>
      <c r="AA104" s="13">
        <f t="shared" ref="AA104:AA105" si="423">855647/3050000</f>
        <v>0.28054</v>
      </c>
      <c r="AB104" s="13">
        <v>0.005</v>
      </c>
    </row>
    <row r="105" ht="14.25" customHeight="1">
      <c r="B105" s="31" t="s">
        <v>225</v>
      </c>
      <c r="C105" s="31" t="s">
        <v>365</v>
      </c>
      <c r="D105" s="31" t="s">
        <v>366</v>
      </c>
      <c r="E105" s="31" t="s">
        <v>369</v>
      </c>
      <c r="F105" s="31" t="s">
        <v>370</v>
      </c>
      <c r="G105" s="21" t="s">
        <v>360</v>
      </c>
      <c r="H105" s="30">
        <v>43780.0</v>
      </c>
      <c r="I105" s="32">
        <v>3319.91</v>
      </c>
      <c r="J105" s="21" t="s">
        <v>163</v>
      </c>
      <c r="K105" s="12">
        <f t="shared" si="411"/>
        <v>18.62837603</v>
      </c>
      <c r="L105" s="37">
        <v>0.041</v>
      </c>
      <c r="M105" s="24">
        <f t="shared" si="412"/>
        <v>0.00113523918</v>
      </c>
      <c r="N105" s="24">
        <f t="shared" si="413"/>
        <v>0.001494436721</v>
      </c>
      <c r="O105" s="13">
        <f t="shared" si="414"/>
        <v>0.06681730111</v>
      </c>
      <c r="P105" s="21">
        <v>0.155</v>
      </c>
      <c r="Q105" s="13">
        <f t="shared" si="415"/>
        <v>0.4025138621</v>
      </c>
      <c r="R105" s="13">
        <v>9.546089187E-4</v>
      </c>
      <c r="S105" s="13">
        <f t="shared" si="416"/>
        <v>0.0237478416</v>
      </c>
      <c r="T105" s="13">
        <f t="shared" si="417"/>
        <v>0.2666435979</v>
      </c>
      <c r="U105" s="13">
        <f t="shared" si="418"/>
        <v>13.67940786</v>
      </c>
      <c r="V105" s="13">
        <f t="shared" si="419"/>
        <v>0.09258862473</v>
      </c>
      <c r="W105" s="13">
        <f t="shared" si="420"/>
        <v>0.6921603249</v>
      </c>
      <c r="X105" s="25">
        <v>0.98</v>
      </c>
      <c r="Y105" s="13">
        <f t="shared" si="421"/>
        <v>0.7063315738</v>
      </c>
      <c r="Z105" s="13">
        <f t="shared" si="422"/>
        <v>0.07018022281</v>
      </c>
      <c r="AA105" s="13">
        <f t="shared" si="423"/>
        <v>0.28054</v>
      </c>
      <c r="AB105" s="13">
        <v>0.005</v>
      </c>
    </row>
    <row r="106" ht="14.25" customHeight="1">
      <c r="B106" s="31" t="s">
        <v>225</v>
      </c>
      <c r="C106" s="31" t="s">
        <v>371</v>
      </c>
      <c r="D106" s="31" t="s">
        <v>372</v>
      </c>
      <c r="E106" s="31" t="s">
        <v>373</v>
      </c>
      <c r="F106" s="31" t="s">
        <v>374</v>
      </c>
      <c r="G106" s="21" t="s">
        <v>338</v>
      </c>
      <c r="H106" s="30">
        <v>44012.0</v>
      </c>
      <c r="I106" s="21">
        <v>205.0</v>
      </c>
      <c r="J106" s="21" t="s">
        <v>214</v>
      </c>
      <c r="K106" s="12">
        <f t="shared" ref="K106:K108" si="424">(0.005+0.062)/0.0025166114784236</f>
        <v>26.62310038</v>
      </c>
      <c r="L106" s="37">
        <v>0.072</v>
      </c>
      <c r="M106" s="13">
        <f t="shared" ref="M106:M108" si="425">44.3/83164.6</f>
        <v>0.0005326785676</v>
      </c>
      <c r="N106" s="13">
        <f t="shared" ref="N106:N108" si="426">44.3/52877.4</f>
        <v>0.0008377870319</v>
      </c>
      <c r="O106" s="13">
        <f t="shared" ref="O106:O108" si="427">4954.4/88618</f>
        <v>0.05590737773</v>
      </c>
      <c r="P106" s="13">
        <v>0.147</v>
      </c>
      <c r="Q106" s="13">
        <f t="shared" ref="Q106:Q108" si="428">(4954.4/0.147)/88618</f>
        <v>0.3803222975</v>
      </c>
      <c r="R106" s="13">
        <v>6.666541864E-4</v>
      </c>
      <c r="S106" s="13">
        <f t="shared" ref="S106:S108" si="429">464.2/88618</f>
        <v>0.005238213456</v>
      </c>
      <c r="T106" s="13">
        <f t="shared" ref="T106:T108" si="430">12485.2/88618</f>
        <v>0.1408878557</v>
      </c>
      <c r="U106" s="13">
        <f t="shared" ref="U106:U108" si="431">ln(88618)</f>
        <v>11.39209028</v>
      </c>
      <c r="V106" s="13">
        <f t="shared" ref="V106:V108" si="432">332.7/88618</f>
        <v>0.003754316279</v>
      </c>
      <c r="W106" s="13">
        <f t="shared" ref="W106:W108" si="433">67762.3/88618</f>
        <v>0.7646561647</v>
      </c>
      <c r="X106" s="25">
        <v>1.281</v>
      </c>
      <c r="Y106" s="13">
        <f t="shared" ref="Y106:Y108" si="434">52877.4/88618</f>
        <v>0.5966891602</v>
      </c>
      <c r="Z106" s="13">
        <f t="shared" ref="Z106:Z108" si="435">5453.4/88618</f>
        <v>0.06153828793</v>
      </c>
      <c r="AA106" s="13">
        <f t="shared" ref="AA106:AA108" si="436">85935.5/3100000</f>
        <v>0.02772112903</v>
      </c>
      <c r="AB106" s="13">
        <v>-0.09</v>
      </c>
    </row>
    <row r="107" ht="14.25" customHeight="1">
      <c r="B107" s="31" t="s">
        <v>225</v>
      </c>
      <c r="C107" s="31" t="s">
        <v>371</v>
      </c>
      <c r="D107" s="31" t="s">
        <v>372</v>
      </c>
      <c r="E107" s="31" t="s">
        <v>375</v>
      </c>
      <c r="F107" s="31" t="s">
        <v>376</v>
      </c>
      <c r="G107" s="21" t="s">
        <v>338</v>
      </c>
      <c r="H107" s="30">
        <v>44012.0</v>
      </c>
      <c r="I107" s="21">
        <v>20.0</v>
      </c>
      <c r="J107" s="21" t="s">
        <v>214</v>
      </c>
      <c r="K107" s="12">
        <f t="shared" si="424"/>
        <v>26.62310038</v>
      </c>
      <c r="L107" s="37">
        <v>0.072</v>
      </c>
      <c r="M107" s="13">
        <f t="shared" si="425"/>
        <v>0.0005326785676</v>
      </c>
      <c r="N107" s="13">
        <f t="shared" si="426"/>
        <v>0.0008377870319</v>
      </c>
      <c r="O107" s="13">
        <f t="shared" si="427"/>
        <v>0.05590737773</v>
      </c>
      <c r="P107" s="13">
        <v>0.147</v>
      </c>
      <c r="Q107" s="13">
        <f t="shared" si="428"/>
        <v>0.3803222975</v>
      </c>
      <c r="R107" s="13">
        <v>6.666541864E-4</v>
      </c>
      <c r="S107" s="13">
        <f t="shared" si="429"/>
        <v>0.005238213456</v>
      </c>
      <c r="T107" s="13">
        <f t="shared" si="430"/>
        <v>0.1408878557</v>
      </c>
      <c r="U107" s="13">
        <f t="shared" si="431"/>
        <v>11.39209028</v>
      </c>
      <c r="V107" s="13">
        <f t="shared" si="432"/>
        <v>0.003754316279</v>
      </c>
      <c r="W107" s="13">
        <f t="shared" si="433"/>
        <v>0.7646561647</v>
      </c>
      <c r="X107" s="25">
        <v>1.281</v>
      </c>
      <c r="Y107" s="13">
        <f t="shared" si="434"/>
        <v>0.5966891602</v>
      </c>
      <c r="Z107" s="13">
        <f t="shared" si="435"/>
        <v>0.06153828793</v>
      </c>
      <c r="AA107" s="13">
        <f t="shared" si="436"/>
        <v>0.02772112903</v>
      </c>
      <c r="AB107" s="13">
        <v>-0.09</v>
      </c>
    </row>
    <row r="108" ht="14.25" customHeight="1">
      <c r="B108" s="31" t="s">
        <v>225</v>
      </c>
      <c r="C108" s="31" t="s">
        <v>371</v>
      </c>
      <c r="D108" s="31" t="s">
        <v>372</v>
      </c>
      <c r="E108" s="31" t="s">
        <v>377</v>
      </c>
      <c r="F108" s="31" t="s">
        <v>378</v>
      </c>
      <c r="G108" s="21" t="s">
        <v>338</v>
      </c>
      <c r="H108" s="30">
        <v>44012.0</v>
      </c>
      <c r="I108" s="21">
        <v>137.5</v>
      </c>
      <c r="J108" s="21" t="s">
        <v>214</v>
      </c>
      <c r="K108" s="12">
        <f t="shared" si="424"/>
        <v>26.62310038</v>
      </c>
      <c r="L108" s="37">
        <v>0.072</v>
      </c>
      <c r="M108" s="13">
        <f t="shared" si="425"/>
        <v>0.0005326785676</v>
      </c>
      <c r="N108" s="13">
        <f t="shared" si="426"/>
        <v>0.0008377870319</v>
      </c>
      <c r="O108" s="13">
        <f t="shared" si="427"/>
        <v>0.05590737773</v>
      </c>
      <c r="P108" s="13">
        <v>0.147</v>
      </c>
      <c r="Q108" s="13">
        <f t="shared" si="428"/>
        <v>0.3803222975</v>
      </c>
      <c r="R108" s="13">
        <v>6.666541864E-4</v>
      </c>
      <c r="S108" s="13">
        <f t="shared" si="429"/>
        <v>0.005238213456</v>
      </c>
      <c r="T108" s="13">
        <f t="shared" si="430"/>
        <v>0.1408878557</v>
      </c>
      <c r="U108" s="13">
        <f t="shared" si="431"/>
        <v>11.39209028</v>
      </c>
      <c r="V108" s="13">
        <f t="shared" si="432"/>
        <v>0.003754316279</v>
      </c>
      <c r="W108" s="13">
        <f t="shared" si="433"/>
        <v>0.7646561647</v>
      </c>
      <c r="X108" s="25">
        <v>1.281</v>
      </c>
      <c r="Y108" s="13">
        <f t="shared" si="434"/>
        <v>0.5966891602</v>
      </c>
      <c r="Z108" s="13">
        <f t="shared" si="435"/>
        <v>0.06153828793</v>
      </c>
      <c r="AA108" s="13">
        <f t="shared" si="436"/>
        <v>0.02772112903</v>
      </c>
      <c r="AB108" s="13">
        <v>-0.09</v>
      </c>
    </row>
    <row r="109" ht="14.25" customHeight="1">
      <c r="B109" s="31" t="s">
        <v>225</v>
      </c>
      <c r="C109" s="31" t="s">
        <v>371</v>
      </c>
      <c r="D109" s="31" t="s">
        <v>372</v>
      </c>
      <c r="E109" s="31" t="s">
        <v>379</v>
      </c>
      <c r="F109" s="31" t="s">
        <v>380</v>
      </c>
      <c r="G109" s="21" t="s">
        <v>338</v>
      </c>
      <c r="H109" s="30">
        <v>44377.0</v>
      </c>
      <c r="I109" s="21">
        <v>320.0</v>
      </c>
      <c r="J109" s="21" t="s">
        <v>381</v>
      </c>
      <c r="K109" s="12">
        <f t="shared" ref="K109:K110" si="437">(0.003+0.051)/0.0061846584384265</f>
        <v>8.731282501</v>
      </c>
      <c r="L109" s="37">
        <v>0.046</v>
      </c>
      <c r="M109" s="13">
        <f t="shared" ref="M109:M110" si="438">67.9/127227.1</f>
        <v>0.0005336913283</v>
      </c>
      <c r="N109" s="13">
        <f t="shared" ref="N109:N110" si="439">67.9/91112.2</f>
        <v>0.000745234996</v>
      </c>
      <c r="O109" s="13">
        <f t="shared" ref="O109:O110" si="440">6807.2/134174.3</f>
        <v>0.05073400793</v>
      </c>
      <c r="P109" s="13">
        <v>0.15</v>
      </c>
      <c r="Q109" s="13">
        <f t="shared" ref="Q109:Q110" si="441">(6807.2/0.15)/134174.3</f>
        <v>0.3382267195</v>
      </c>
      <c r="R109" s="13">
        <v>6.666541864E-4</v>
      </c>
      <c r="S109" s="13">
        <f t="shared" ref="S109:S110" si="442">653.1/134174.3</f>
        <v>0.004867549151</v>
      </c>
      <c r="T109" s="13">
        <f t="shared" ref="T109:T110" si="443">13675.9/134174.3</f>
        <v>0.1019263749</v>
      </c>
      <c r="U109" s="13">
        <f t="shared" ref="U109:U110" si="444">ln(134174.3)</f>
        <v>11.80689498</v>
      </c>
      <c r="V109" s="13">
        <f t="shared" ref="V109:V110" si="445">512.3/134174.3</f>
        <v>0.003818167861</v>
      </c>
      <c r="W109" s="13">
        <f t="shared" ref="W109:W110" si="446">95199.4/134174.3</f>
        <v>0.7095203776</v>
      </c>
      <c r="X109" s="25">
        <v>1.045</v>
      </c>
      <c r="Y109" s="13">
        <f t="shared" ref="Y109:Y110" si="447">91112.2/134174.3</f>
        <v>0.6790585082</v>
      </c>
      <c r="Z109" s="13">
        <f t="shared" ref="Z109:Z110" si="448">6947.2/134174.3</f>
        <v>0.05177742682</v>
      </c>
      <c r="AA109" s="13">
        <f t="shared" ref="AA109:AA110" si="449">134801.6/3278050</f>
        <v>0.04112249661</v>
      </c>
      <c r="AB109" s="13">
        <v>0.067</v>
      </c>
    </row>
    <row r="110" ht="14.25" customHeight="1">
      <c r="B110" s="31" t="s">
        <v>225</v>
      </c>
      <c r="C110" s="31" t="s">
        <v>371</v>
      </c>
      <c r="D110" s="31" t="s">
        <v>372</v>
      </c>
      <c r="E110" s="31" t="s">
        <v>382</v>
      </c>
      <c r="F110" s="31" t="s">
        <v>383</v>
      </c>
      <c r="G110" s="21" t="s">
        <v>338</v>
      </c>
      <c r="H110" s="30">
        <v>44377.0</v>
      </c>
      <c r="I110" s="21">
        <v>62.7</v>
      </c>
      <c r="J110" s="21" t="s">
        <v>381</v>
      </c>
      <c r="K110" s="12">
        <f t="shared" si="437"/>
        <v>8.731282501</v>
      </c>
      <c r="L110" s="37">
        <v>0.046</v>
      </c>
      <c r="M110" s="13">
        <f t="shared" si="438"/>
        <v>0.0005336913283</v>
      </c>
      <c r="N110" s="13">
        <f t="shared" si="439"/>
        <v>0.000745234996</v>
      </c>
      <c r="O110" s="13">
        <f t="shared" si="440"/>
        <v>0.05073400793</v>
      </c>
      <c r="P110" s="13">
        <v>0.15</v>
      </c>
      <c r="Q110" s="13">
        <f t="shared" si="441"/>
        <v>0.3382267195</v>
      </c>
      <c r="R110" s="13">
        <v>6.666541864E-4</v>
      </c>
      <c r="S110" s="13">
        <f t="shared" si="442"/>
        <v>0.004867549151</v>
      </c>
      <c r="T110" s="13">
        <f t="shared" si="443"/>
        <v>0.1019263749</v>
      </c>
      <c r="U110" s="13">
        <f t="shared" si="444"/>
        <v>11.80689498</v>
      </c>
      <c r="V110" s="13">
        <f t="shared" si="445"/>
        <v>0.003818167861</v>
      </c>
      <c r="W110" s="13">
        <f t="shared" si="446"/>
        <v>0.7095203776</v>
      </c>
      <c r="X110" s="25">
        <v>1.045</v>
      </c>
      <c r="Y110" s="13">
        <f t="shared" si="447"/>
        <v>0.6790585082</v>
      </c>
      <c r="Z110" s="13">
        <f t="shared" si="448"/>
        <v>0.05177742682</v>
      </c>
      <c r="AA110" s="13">
        <f t="shared" si="449"/>
        <v>0.04112249661</v>
      </c>
      <c r="AB110" s="13">
        <v>0.067</v>
      </c>
    </row>
    <row r="111" ht="14.25" customHeight="1">
      <c r="B111" s="31" t="s">
        <v>225</v>
      </c>
      <c r="C111" s="31" t="s">
        <v>384</v>
      </c>
      <c r="D111" s="31" t="s">
        <v>385</v>
      </c>
      <c r="E111" s="31" t="s">
        <v>386</v>
      </c>
      <c r="F111" s="31" t="s">
        <v>387</v>
      </c>
      <c r="G111" s="21" t="s">
        <v>338</v>
      </c>
      <c r="H111" s="29">
        <v>42340.0</v>
      </c>
      <c r="I111" s="21">
        <v>579.66</v>
      </c>
      <c r="J111" s="21" t="s">
        <v>201</v>
      </c>
      <c r="K111" s="12">
        <f t="shared" ref="K111:K112" si="450">(0.002+0.093)/0.0036968455021365</f>
        <v>25.69758459</v>
      </c>
      <c r="L111" s="37">
        <v>0.232</v>
      </c>
      <c r="M111" s="13">
        <f t="shared" ref="M111:M112" si="451">87.9/55703.3</f>
        <v>0.001578003458</v>
      </c>
      <c r="N111" s="13">
        <f t="shared" ref="N111:N112" si="452">87.9/32156.5</f>
        <v>0.002733506445</v>
      </c>
      <c r="O111" s="13">
        <f t="shared" ref="O111:O112" si="453">4633/61407.6</f>
        <v>0.07544668738</v>
      </c>
      <c r="P111" s="13">
        <v>0.116</v>
      </c>
      <c r="Q111" s="13">
        <f t="shared" ref="Q111:Q112" si="454">(4633/0.116)/61407.6</f>
        <v>0.6504024774</v>
      </c>
      <c r="R111" s="13">
        <v>6.666541864E-4</v>
      </c>
      <c r="S111" s="13">
        <f t="shared" ref="S111:S112" si="455">354.3/61407.6</f>
        <v>0.005769644148</v>
      </c>
      <c r="T111" s="13">
        <f t="shared" ref="T111:T112" si="456">13107.9/61407.6</f>
        <v>0.2134572919</v>
      </c>
      <c r="U111" s="13">
        <f t="shared" ref="U111:U112" si="457">ln(61407.6)</f>
        <v>11.02528888</v>
      </c>
      <c r="V111" s="13">
        <f t="shared" ref="V111:V112" si="458">814.1/61407.6</f>
        <v>0.01325731668</v>
      </c>
      <c r="W111" s="13">
        <f t="shared" ref="W111:W112" si="459">49752.3/61407.6</f>
        <v>0.8101977605</v>
      </c>
      <c r="X111" s="25">
        <v>1.547</v>
      </c>
      <c r="Y111" s="13">
        <f t="shared" ref="Y111:Y112" si="460">32156.5/61407.6</f>
        <v>0.5236566809</v>
      </c>
      <c r="Z111" s="13">
        <f t="shared" ref="Z111:Z112" si="461">5704.3/61407.6</f>
        <v>0.09289241071</v>
      </c>
      <c r="AA111" s="13">
        <f t="shared" ref="AA111:AA112" si="462">61261.2/2725000</f>
        <v>0.02248117431</v>
      </c>
      <c r="AB111" s="13">
        <v>0.008</v>
      </c>
    </row>
    <row r="112" ht="14.25" customHeight="1">
      <c r="B112" s="31" t="s">
        <v>225</v>
      </c>
      <c r="C112" s="31" t="s">
        <v>384</v>
      </c>
      <c r="D112" s="31" t="s">
        <v>385</v>
      </c>
      <c r="E112" s="31" t="s">
        <v>388</v>
      </c>
      <c r="F112" s="31" t="s">
        <v>389</v>
      </c>
      <c r="G112" s="21" t="s">
        <v>338</v>
      </c>
      <c r="H112" s="29">
        <v>42340.0</v>
      </c>
      <c r="I112" s="21">
        <v>331.8</v>
      </c>
      <c r="J112" s="21" t="s">
        <v>201</v>
      </c>
      <c r="K112" s="12">
        <f t="shared" si="450"/>
        <v>25.69758459</v>
      </c>
      <c r="L112" s="37">
        <v>0.232</v>
      </c>
      <c r="M112" s="13">
        <f t="shared" si="451"/>
        <v>0.001578003458</v>
      </c>
      <c r="N112" s="13">
        <f t="shared" si="452"/>
        <v>0.002733506445</v>
      </c>
      <c r="O112" s="13">
        <f t="shared" si="453"/>
        <v>0.07544668738</v>
      </c>
      <c r="P112" s="13">
        <v>0.116</v>
      </c>
      <c r="Q112" s="13">
        <f t="shared" si="454"/>
        <v>0.6504024774</v>
      </c>
      <c r="R112" s="13">
        <v>6.666541864E-4</v>
      </c>
      <c r="S112" s="13">
        <f t="shared" si="455"/>
        <v>0.005769644148</v>
      </c>
      <c r="T112" s="13">
        <f t="shared" si="456"/>
        <v>0.2134572919</v>
      </c>
      <c r="U112" s="13">
        <f t="shared" si="457"/>
        <v>11.02528888</v>
      </c>
      <c r="V112" s="13">
        <f t="shared" si="458"/>
        <v>0.01325731668</v>
      </c>
      <c r="W112" s="13">
        <f t="shared" si="459"/>
        <v>0.8101977605</v>
      </c>
      <c r="X112" s="25">
        <v>1.547</v>
      </c>
      <c r="Y112" s="13">
        <f t="shared" si="460"/>
        <v>0.5236566809</v>
      </c>
      <c r="Z112" s="13">
        <f t="shared" si="461"/>
        <v>0.09289241071</v>
      </c>
      <c r="AA112" s="13">
        <f t="shared" si="462"/>
        <v>0.02248117431</v>
      </c>
      <c r="AB112" s="13">
        <v>0.008</v>
      </c>
    </row>
    <row r="113" ht="14.25" customHeight="1">
      <c r="B113" s="31" t="s">
        <v>225</v>
      </c>
      <c r="C113" s="31" t="s">
        <v>390</v>
      </c>
      <c r="D113" s="31" t="s">
        <v>391</v>
      </c>
      <c r="E113" s="31" t="s">
        <v>392</v>
      </c>
      <c r="F113" s="31" t="s">
        <v>393</v>
      </c>
      <c r="G113" s="21" t="s">
        <v>394</v>
      </c>
      <c r="H113" s="30">
        <v>41087.0</v>
      </c>
      <c r="I113" s="21">
        <v>750.9</v>
      </c>
      <c r="J113" s="21" t="s">
        <v>395</v>
      </c>
      <c r="K113" s="12">
        <f t="shared" ref="K113:K114" si="463">(0.049+0.052)/0.021914607000811</f>
        <v>4.608798141</v>
      </c>
      <c r="L113" s="21">
        <v>0.248</v>
      </c>
      <c r="M113" s="13">
        <f t="shared" ref="M113:M114" si="464">92.256/21720.156</f>
        <v>0.004247483305</v>
      </c>
      <c r="N113" s="13">
        <f t="shared" ref="N113:N114" si="465">92.256/7358.081</f>
        <v>0.0125380517</v>
      </c>
      <c r="O113" s="13">
        <f t="shared" ref="O113:O114" si="466">873.034/22692.368</f>
        <v>0.0384725825</v>
      </c>
      <c r="P113" s="13">
        <v>0.056</v>
      </c>
      <c r="Q113" s="13">
        <f t="shared" ref="Q113:Q114" si="467">(873.034/0.056)/22692.368</f>
        <v>0.6870104018</v>
      </c>
      <c r="R113" s="13">
        <f t="shared" ref="R113:R114" si="468">23.31275/19182.132</f>
        <v>0.001215336752</v>
      </c>
      <c r="S113" s="13">
        <f t="shared" ref="S113:S114" si="469">638.242/22692.368</f>
        <v>0.0281258439</v>
      </c>
      <c r="T113" s="13">
        <f t="shared" ref="T113:T114" si="470">3439.414/22692.368</f>
        <v>0.1515669938</v>
      </c>
      <c r="U113" s="13">
        <f t="shared" ref="U113:U114" si="471">ln(22692.368)</f>
        <v>10.02978394</v>
      </c>
      <c r="V113" s="13">
        <f t="shared" ref="V113:V114" si="472">191.132/22692.368</f>
        <v>0.008422743717</v>
      </c>
      <c r="W113" s="13">
        <f t="shared" ref="W113:W114" si="473">19182.132/22692.368</f>
        <v>0.845312045</v>
      </c>
      <c r="X113" s="12">
        <v>2.607</v>
      </c>
      <c r="Y113" s="13">
        <f t="shared" ref="Y113:Y114" si="474">7358.081/22692.368</f>
        <v>0.3242535552</v>
      </c>
      <c r="Z113" s="13">
        <f t="shared" ref="Z113:Z114" si="475">972.212/22692.368</f>
        <v>0.04284312682</v>
      </c>
      <c r="AA113" s="13">
        <f t="shared" ref="AA113:AA114" si="476">23915.557/2650000</f>
        <v>0.009024738491</v>
      </c>
      <c r="AB113" s="13">
        <v>-0.03</v>
      </c>
    </row>
    <row r="114" ht="14.25" customHeight="1">
      <c r="B114" s="31" t="s">
        <v>225</v>
      </c>
      <c r="C114" s="31" t="s">
        <v>390</v>
      </c>
      <c r="D114" s="31" t="s">
        <v>391</v>
      </c>
      <c r="E114" s="31" t="s">
        <v>396</v>
      </c>
      <c r="F114" s="31" t="s">
        <v>397</v>
      </c>
      <c r="G114" s="21" t="s">
        <v>394</v>
      </c>
      <c r="H114" s="30">
        <v>41087.0</v>
      </c>
      <c r="I114" s="27">
        <v>1195.0</v>
      </c>
      <c r="J114" s="21" t="s">
        <v>395</v>
      </c>
      <c r="K114" s="12">
        <f t="shared" si="463"/>
        <v>4.608798141</v>
      </c>
      <c r="L114" s="21">
        <v>0.248</v>
      </c>
      <c r="M114" s="13">
        <f t="shared" si="464"/>
        <v>0.004247483305</v>
      </c>
      <c r="N114" s="13">
        <f t="shared" si="465"/>
        <v>0.0125380517</v>
      </c>
      <c r="O114" s="13">
        <f t="shared" si="466"/>
        <v>0.0384725825</v>
      </c>
      <c r="P114" s="13">
        <v>0.056</v>
      </c>
      <c r="Q114" s="13">
        <f t="shared" si="467"/>
        <v>0.6870104018</v>
      </c>
      <c r="R114" s="13">
        <f t="shared" si="468"/>
        <v>0.001215336752</v>
      </c>
      <c r="S114" s="13">
        <f t="shared" si="469"/>
        <v>0.0281258439</v>
      </c>
      <c r="T114" s="13">
        <f t="shared" si="470"/>
        <v>0.1515669938</v>
      </c>
      <c r="U114" s="13">
        <f t="shared" si="471"/>
        <v>10.02978394</v>
      </c>
      <c r="V114" s="13">
        <f t="shared" si="472"/>
        <v>0.008422743717</v>
      </c>
      <c r="W114" s="13">
        <f t="shared" si="473"/>
        <v>0.845312045</v>
      </c>
      <c r="X114" s="12">
        <v>2.607</v>
      </c>
      <c r="Y114" s="13">
        <f t="shared" si="474"/>
        <v>0.3242535552</v>
      </c>
      <c r="Z114" s="13">
        <f t="shared" si="475"/>
        <v>0.04284312682</v>
      </c>
      <c r="AA114" s="13">
        <f t="shared" si="476"/>
        <v>0.009024738491</v>
      </c>
      <c r="AB114" s="13">
        <v>-0.03</v>
      </c>
    </row>
    <row r="115" ht="14.25" customHeight="1">
      <c r="B115" s="31" t="s">
        <v>225</v>
      </c>
      <c r="C115" s="31" t="s">
        <v>398</v>
      </c>
      <c r="D115" s="31" t="s">
        <v>399</v>
      </c>
      <c r="E115" s="31" t="s">
        <v>400</v>
      </c>
      <c r="F115" s="31" t="s">
        <v>401</v>
      </c>
      <c r="G115" s="21" t="s">
        <v>402</v>
      </c>
      <c r="H115" s="30">
        <v>41127.0</v>
      </c>
      <c r="I115" s="32">
        <v>1043.9</v>
      </c>
      <c r="J115" s="21" t="s">
        <v>49</v>
      </c>
      <c r="K115" s="12">
        <f t="shared" ref="K115:K116" si="477">(0.047+0.071)/0.022700954458642</f>
        <v>5.198019326</v>
      </c>
      <c r="L115" s="21">
        <v>0.136</v>
      </c>
      <c r="M115" s="13">
        <f t="shared" ref="M115:M116" si="478">132.5/27909</f>
        <v>0.004747572468</v>
      </c>
      <c r="N115" s="13">
        <f t="shared" ref="N115:N116" si="479">132.5/15546.7</f>
        <v>0.008522708999</v>
      </c>
      <c r="O115" s="13">
        <f t="shared" ref="O115:O116" si="480">1616.9/29896.1</f>
        <v>0.05408397751</v>
      </c>
      <c r="P115" s="21">
        <v>0.081</v>
      </c>
      <c r="Q115" s="13">
        <f t="shared" ref="Q115:Q116" si="481">(1616.9/0.081)/29896.1</f>
        <v>0.667703426</v>
      </c>
      <c r="R115" s="13">
        <v>0.001150783933</v>
      </c>
      <c r="S115" s="13">
        <f t="shared" ref="S115:S116" si="482">227.3/29896.1</f>
        <v>0.007602998384</v>
      </c>
      <c r="T115" s="13">
        <f t="shared" ref="T115:T116" si="483">4753.2/29896.1</f>
        <v>0.1589906376</v>
      </c>
      <c r="U115" s="13">
        <f t="shared" ref="U115:U116" si="484">ln(29896.1)</f>
        <v>10.30548332</v>
      </c>
      <c r="V115" s="13">
        <f t="shared" ref="V115:V116" si="485">106.6/29896.1</f>
        <v>0.00356568248</v>
      </c>
      <c r="W115" s="13">
        <f t="shared" ref="W115:W116" si="486">23888.5/29896.1</f>
        <v>0.7990507123</v>
      </c>
      <c r="X115" s="12">
        <v>1.537</v>
      </c>
      <c r="Y115" s="13">
        <f t="shared" ref="Y115:Y116" si="487">15546.7/29896.1</f>
        <v>0.520024351</v>
      </c>
      <c r="Z115" s="13">
        <f t="shared" ref="Z115:Z116" si="488">1987.1/29896.1</f>
        <v>0.06646686357</v>
      </c>
      <c r="AA115" s="13">
        <f t="shared" ref="AA115:AA116" si="489">30538/2700000</f>
        <v>0.01131037037</v>
      </c>
      <c r="AB115" s="13">
        <v>-0.03</v>
      </c>
    </row>
    <row r="116" ht="14.25" customHeight="1">
      <c r="B116" s="31" t="s">
        <v>225</v>
      </c>
      <c r="C116" s="31" t="s">
        <v>398</v>
      </c>
      <c r="D116" s="31" t="s">
        <v>399</v>
      </c>
      <c r="E116" s="31" t="s">
        <v>403</v>
      </c>
      <c r="F116" s="31" t="s">
        <v>404</v>
      </c>
      <c r="G116" s="21" t="s">
        <v>402</v>
      </c>
      <c r="H116" s="30">
        <v>41127.0</v>
      </c>
      <c r="I116" s="27">
        <v>1740.0</v>
      </c>
      <c r="J116" s="21" t="s">
        <v>49</v>
      </c>
      <c r="K116" s="12">
        <f t="shared" si="477"/>
        <v>5.198019326</v>
      </c>
      <c r="L116" s="21">
        <v>0.136</v>
      </c>
      <c r="M116" s="13">
        <f t="shared" si="478"/>
        <v>0.004747572468</v>
      </c>
      <c r="N116" s="13">
        <f t="shared" si="479"/>
        <v>0.008522708999</v>
      </c>
      <c r="O116" s="13">
        <f t="shared" si="480"/>
        <v>0.05408397751</v>
      </c>
      <c r="P116" s="21">
        <v>0.081</v>
      </c>
      <c r="Q116" s="13">
        <f t="shared" si="481"/>
        <v>0.667703426</v>
      </c>
      <c r="R116" s="13">
        <v>0.001150783933</v>
      </c>
      <c r="S116" s="13">
        <f t="shared" si="482"/>
        <v>0.007602998384</v>
      </c>
      <c r="T116" s="13">
        <f t="shared" si="483"/>
        <v>0.1589906376</v>
      </c>
      <c r="U116" s="13">
        <f t="shared" si="484"/>
        <v>10.30548332</v>
      </c>
      <c r="V116" s="13">
        <f t="shared" si="485"/>
        <v>0.00356568248</v>
      </c>
      <c r="W116" s="13">
        <f t="shared" si="486"/>
        <v>0.7990507123</v>
      </c>
      <c r="X116" s="12">
        <v>1.537</v>
      </c>
      <c r="Y116" s="13">
        <f t="shared" si="487"/>
        <v>0.520024351</v>
      </c>
      <c r="Z116" s="13">
        <f t="shared" si="488"/>
        <v>0.06646686357</v>
      </c>
      <c r="AA116" s="13">
        <f t="shared" si="489"/>
        <v>0.01131037037</v>
      </c>
      <c r="AB116" s="13">
        <v>-0.03</v>
      </c>
    </row>
    <row r="117" ht="14.25" customHeight="1">
      <c r="B117" s="31" t="s">
        <v>225</v>
      </c>
      <c r="C117" s="31" t="s">
        <v>405</v>
      </c>
      <c r="D117" s="31" t="s">
        <v>406</v>
      </c>
      <c r="E117" s="31" t="s">
        <v>407</v>
      </c>
      <c r="F117" s="31" t="s">
        <v>408</v>
      </c>
      <c r="G117" s="21" t="s">
        <v>402</v>
      </c>
      <c r="H117" s="30">
        <v>41684.0</v>
      </c>
      <c r="I117" s="21">
        <v>80.0</v>
      </c>
      <c r="J117" s="21" t="s">
        <v>118</v>
      </c>
      <c r="K117" s="12">
        <f t="shared" ref="K117:K120" si="490">(0+0.081)/0.00042031734043062</f>
        <v>192.7115353</v>
      </c>
      <c r="L117" s="21">
        <v>0.219</v>
      </c>
      <c r="M117" s="13">
        <f t="shared" ref="M117:M120" si="491">85.225/24533.7</f>
        <v>0.003473793191</v>
      </c>
      <c r="N117" s="13">
        <f t="shared" ref="N117:N120" si="492">85.225/15040.4</f>
        <v>0.005666405149</v>
      </c>
      <c r="O117" s="13">
        <f t="shared" ref="O117:O120" si="493">2024.3/26900.4</f>
        <v>0.07525166912</v>
      </c>
      <c r="P117" s="21">
        <v>0.116</v>
      </c>
      <c r="Q117" s="13">
        <f t="shared" ref="Q117:Q120" si="494">(2024.3/0.116)/26900.4</f>
        <v>0.6487212855</v>
      </c>
      <c r="R117" s="13">
        <v>0.001150783933</v>
      </c>
      <c r="S117" s="13">
        <f t="shared" ref="S117:S120" si="495">167.2/26900.4</f>
        <v>0.006215520959</v>
      </c>
      <c r="T117" s="13">
        <f t="shared" ref="T117:T120" si="496">4502/26900.4</f>
        <v>0.1673581062</v>
      </c>
      <c r="U117" s="13">
        <f t="shared" ref="U117:U120" si="497">ln(26900.4)</f>
        <v>10.19989644</v>
      </c>
      <c r="V117" s="13">
        <f t="shared" ref="V117:V120" si="498">64.4/26900.4</f>
        <v>0.002394016446</v>
      </c>
      <c r="W117" s="13">
        <f t="shared" ref="W117:W120" si="499">21085/26900.4</f>
        <v>0.783817341</v>
      </c>
      <c r="X117" s="12">
        <v>1.402</v>
      </c>
      <c r="Y117" s="13">
        <f t="shared" ref="Y117:Y120" si="500">15040.4/26900.4</f>
        <v>0.5591143626</v>
      </c>
      <c r="Z117" s="13">
        <f t="shared" ref="Z117:Z120" si="501">2366.7/26900.4</f>
        <v>0.08798010439</v>
      </c>
      <c r="AA117" s="13">
        <f t="shared" ref="AA117:AA120" si="502">26625.3/2700000</f>
        <v>0.009861222222</v>
      </c>
      <c r="AB117" s="13">
        <v>-0.00455</v>
      </c>
    </row>
    <row r="118" ht="14.25" customHeight="1">
      <c r="B118" s="31" t="s">
        <v>225</v>
      </c>
      <c r="C118" s="31" t="s">
        <v>405</v>
      </c>
      <c r="D118" s="31" t="s">
        <v>406</v>
      </c>
      <c r="E118" s="31" t="s">
        <v>409</v>
      </c>
      <c r="F118" s="31" t="s">
        <v>410</v>
      </c>
      <c r="G118" s="21" t="s">
        <v>402</v>
      </c>
      <c r="H118" s="30">
        <v>41684.0</v>
      </c>
      <c r="I118" s="21">
        <v>336.7</v>
      </c>
      <c r="J118" s="21" t="s">
        <v>118</v>
      </c>
      <c r="K118" s="12">
        <f t="shared" si="490"/>
        <v>192.7115353</v>
      </c>
      <c r="L118" s="21">
        <v>0.219</v>
      </c>
      <c r="M118" s="13">
        <f t="shared" si="491"/>
        <v>0.003473793191</v>
      </c>
      <c r="N118" s="13">
        <f t="shared" si="492"/>
        <v>0.005666405149</v>
      </c>
      <c r="O118" s="13">
        <f t="shared" si="493"/>
        <v>0.07525166912</v>
      </c>
      <c r="P118" s="21">
        <v>0.116</v>
      </c>
      <c r="Q118" s="13">
        <f t="shared" si="494"/>
        <v>0.6487212855</v>
      </c>
      <c r="R118" s="13">
        <v>0.001150783933</v>
      </c>
      <c r="S118" s="13">
        <f t="shared" si="495"/>
        <v>0.006215520959</v>
      </c>
      <c r="T118" s="13">
        <f t="shared" si="496"/>
        <v>0.1673581062</v>
      </c>
      <c r="U118" s="13">
        <f t="shared" si="497"/>
        <v>10.19989644</v>
      </c>
      <c r="V118" s="13">
        <f t="shared" si="498"/>
        <v>0.002394016446</v>
      </c>
      <c r="W118" s="13">
        <f t="shared" si="499"/>
        <v>0.783817341</v>
      </c>
      <c r="X118" s="12">
        <v>1.402</v>
      </c>
      <c r="Y118" s="13">
        <f t="shared" si="500"/>
        <v>0.5591143626</v>
      </c>
      <c r="Z118" s="13">
        <f t="shared" si="501"/>
        <v>0.08798010439</v>
      </c>
      <c r="AA118" s="13">
        <f t="shared" si="502"/>
        <v>0.009861222222</v>
      </c>
      <c r="AB118" s="13">
        <v>-0.00455</v>
      </c>
    </row>
    <row r="119" ht="14.25" customHeight="1">
      <c r="B119" s="31" t="s">
        <v>225</v>
      </c>
      <c r="C119" s="31" t="s">
        <v>405</v>
      </c>
      <c r="D119" s="31" t="s">
        <v>406</v>
      </c>
      <c r="E119" s="31" t="s">
        <v>411</v>
      </c>
      <c r="F119" s="31" t="s">
        <v>412</v>
      </c>
      <c r="G119" s="21" t="s">
        <v>402</v>
      </c>
      <c r="H119" s="30">
        <v>41684.0</v>
      </c>
      <c r="I119" s="21">
        <v>200.0</v>
      </c>
      <c r="J119" s="21" t="s">
        <v>118</v>
      </c>
      <c r="K119" s="12">
        <f t="shared" si="490"/>
        <v>192.7115353</v>
      </c>
      <c r="L119" s="21">
        <v>0.219</v>
      </c>
      <c r="M119" s="13">
        <f t="shared" si="491"/>
        <v>0.003473793191</v>
      </c>
      <c r="N119" s="13">
        <f t="shared" si="492"/>
        <v>0.005666405149</v>
      </c>
      <c r="O119" s="13">
        <f t="shared" si="493"/>
        <v>0.07525166912</v>
      </c>
      <c r="P119" s="21">
        <v>0.116</v>
      </c>
      <c r="Q119" s="13">
        <f t="shared" si="494"/>
        <v>0.6487212855</v>
      </c>
      <c r="R119" s="13">
        <v>0.001150783933</v>
      </c>
      <c r="S119" s="13">
        <f t="shared" si="495"/>
        <v>0.006215520959</v>
      </c>
      <c r="T119" s="13">
        <f t="shared" si="496"/>
        <v>0.1673581062</v>
      </c>
      <c r="U119" s="13">
        <f t="shared" si="497"/>
        <v>10.19989644</v>
      </c>
      <c r="V119" s="13">
        <f t="shared" si="498"/>
        <v>0.002394016446</v>
      </c>
      <c r="W119" s="13">
        <f t="shared" si="499"/>
        <v>0.783817341</v>
      </c>
      <c r="X119" s="12">
        <v>1.402</v>
      </c>
      <c r="Y119" s="13">
        <f t="shared" si="500"/>
        <v>0.5591143626</v>
      </c>
      <c r="Z119" s="13">
        <f t="shared" si="501"/>
        <v>0.08798010439</v>
      </c>
      <c r="AA119" s="13">
        <f t="shared" si="502"/>
        <v>0.009861222222</v>
      </c>
      <c r="AB119" s="13">
        <v>-0.00455</v>
      </c>
    </row>
    <row r="120" ht="14.25" customHeight="1">
      <c r="B120" s="31" t="s">
        <v>225</v>
      </c>
      <c r="C120" s="31" t="s">
        <v>405</v>
      </c>
      <c r="D120" s="31" t="s">
        <v>406</v>
      </c>
      <c r="E120" s="31" t="s">
        <v>413</v>
      </c>
      <c r="F120" s="31" t="s">
        <v>414</v>
      </c>
      <c r="G120" s="21" t="s">
        <v>402</v>
      </c>
      <c r="H120" s="30">
        <v>41684.0</v>
      </c>
      <c r="I120" s="21">
        <v>110.0</v>
      </c>
      <c r="J120" s="21" t="s">
        <v>118</v>
      </c>
      <c r="K120" s="12">
        <f t="shared" si="490"/>
        <v>192.7115353</v>
      </c>
      <c r="L120" s="21">
        <v>0.219</v>
      </c>
      <c r="M120" s="13">
        <f t="shared" si="491"/>
        <v>0.003473793191</v>
      </c>
      <c r="N120" s="13">
        <f t="shared" si="492"/>
        <v>0.005666405149</v>
      </c>
      <c r="O120" s="13">
        <f t="shared" si="493"/>
        <v>0.07525166912</v>
      </c>
      <c r="P120" s="21">
        <v>0.116</v>
      </c>
      <c r="Q120" s="13">
        <f t="shared" si="494"/>
        <v>0.6487212855</v>
      </c>
      <c r="R120" s="13">
        <v>0.001150783933</v>
      </c>
      <c r="S120" s="13">
        <f t="shared" si="495"/>
        <v>0.006215520959</v>
      </c>
      <c r="T120" s="13">
        <f t="shared" si="496"/>
        <v>0.1673581062</v>
      </c>
      <c r="U120" s="13">
        <f t="shared" si="497"/>
        <v>10.19989644</v>
      </c>
      <c r="V120" s="13">
        <f t="shared" si="498"/>
        <v>0.002394016446</v>
      </c>
      <c r="W120" s="13">
        <f t="shared" si="499"/>
        <v>0.783817341</v>
      </c>
      <c r="X120" s="12">
        <v>1.402</v>
      </c>
      <c r="Y120" s="13">
        <f t="shared" si="500"/>
        <v>0.5591143626</v>
      </c>
      <c r="Z120" s="13">
        <f t="shared" si="501"/>
        <v>0.08798010439</v>
      </c>
      <c r="AA120" s="13">
        <f t="shared" si="502"/>
        <v>0.009861222222</v>
      </c>
      <c r="AB120" s="13">
        <v>-0.00455</v>
      </c>
    </row>
    <row r="121" ht="14.25" customHeight="1">
      <c r="B121" s="31" t="s">
        <v>225</v>
      </c>
      <c r="C121" s="31" t="s">
        <v>415</v>
      </c>
      <c r="D121" s="31" t="s">
        <v>416</v>
      </c>
      <c r="E121" s="31" t="s">
        <v>417</v>
      </c>
      <c r="F121" s="31" t="s">
        <v>418</v>
      </c>
      <c r="G121" s="21" t="s">
        <v>402</v>
      </c>
      <c r="H121" s="30">
        <v>43311.0</v>
      </c>
      <c r="I121" s="21">
        <v>320.0</v>
      </c>
      <c r="J121" s="21" t="s">
        <v>174</v>
      </c>
      <c r="K121" s="12">
        <f t="shared" ref="K121:K127" si="503">(0.003+0.058)/0.0015</f>
        <v>40.66666667</v>
      </c>
      <c r="L121" s="21">
        <v>0.087</v>
      </c>
      <c r="M121" s="13">
        <f t="shared" ref="M121:M127" si="504">12.1/24906.4</f>
        <v>0.000485818906</v>
      </c>
      <c r="N121" s="13">
        <f t="shared" ref="N121:N127" si="505">12.1/14481.3</f>
        <v>0.0008355603433</v>
      </c>
      <c r="O121" s="13">
        <f t="shared" ref="O121:O127" si="506">1862.1/26472.7</f>
        <v>0.0703403884</v>
      </c>
      <c r="P121" s="21">
        <v>0.183</v>
      </c>
      <c r="Q121" s="13">
        <f t="shared" ref="Q121:Q127" si="507">(1862.1/0.183)/26472.7</f>
        <v>0.3843737071</v>
      </c>
      <c r="R121" s="13">
        <v>0.001150783933</v>
      </c>
      <c r="S121" s="13">
        <f t="shared" ref="S121:S127" si="508">200.2/26472.7</f>
        <v>0.007562507791</v>
      </c>
      <c r="T121" s="13">
        <f t="shared" ref="T121:T127" si="509">3021.7/26472.7</f>
        <v>0.114144005</v>
      </c>
      <c r="U121" s="13">
        <f t="shared" ref="U121:U127" si="510">ln(26472.7)</f>
        <v>10.18386929</v>
      </c>
      <c r="V121" s="13">
        <f t="shared" ref="V121:V127" si="511">40/26472.7</f>
        <v>0.001510990568</v>
      </c>
      <c r="W121" s="13">
        <f t="shared" ref="W121:W127" si="512">22684.3/26472.7</f>
        <v>0.8568940833</v>
      </c>
      <c r="X121" s="12">
        <v>1.566</v>
      </c>
      <c r="Y121" s="13">
        <f t="shared" ref="Y121:Y127" si="513">14481.3/26472.7</f>
        <v>0.5470276927</v>
      </c>
      <c r="Z121" s="13">
        <f t="shared" ref="Z121:Z127" si="514">1566.3/26472.7</f>
        <v>0.05916661315</v>
      </c>
      <c r="AA121" s="13">
        <f t="shared" ref="AA121:AA127" si="515">26600.7/2850000</f>
        <v>0.009333578947</v>
      </c>
      <c r="AB121" s="13">
        <v>0.009</v>
      </c>
    </row>
    <row r="122" ht="14.25" customHeight="1">
      <c r="B122" s="31" t="s">
        <v>225</v>
      </c>
      <c r="C122" s="31" t="s">
        <v>415</v>
      </c>
      <c r="D122" s="31" t="s">
        <v>416</v>
      </c>
      <c r="E122" s="31" t="s">
        <v>419</v>
      </c>
      <c r="F122" s="31" t="s">
        <v>420</v>
      </c>
      <c r="G122" s="21" t="s">
        <v>402</v>
      </c>
      <c r="H122" s="30">
        <v>43311.0</v>
      </c>
      <c r="I122" s="21">
        <v>400.0</v>
      </c>
      <c r="J122" s="21" t="s">
        <v>174</v>
      </c>
      <c r="K122" s="12">
        <f t="shared" si="503"/>
        <v>40.66666667</v>
      </c>
      <c r="L122" s="21">
        <v>0.087</v>
      </c>
      <c r="M122" s="13">
        <f t="shared" si="504"/>
        <v>0.000485818906</v>
      </c>
      <c r="N122" s="13">
        <f t="shared" si="505"/>
        <v>0.0008355603433</v>
      </c>
      <c r="O122" s="13">
        <f t="shared" si="506"/>
        <v>0.0703403884</v>
      </c>
      <c r="P122" s="21">
        <v>0.183</v>
      </c>
      <c r="Q122" s="13">
        <f t="shared" si="507"/>
        <v>0.3843737071</v>
      </c>
      <c r="R122" s="13">
        <v>0.001150783933</v>
      </c>
      <c r="S122" s="13">
        <f t="shared" si="508"/>
        <v>0.007562507791</v>
      </c>
      <c r="T122" s="13">
        <f t="shared" si="509"/>
        <v>0.114144005</v>
      </c>
      <c r="U122" s="13">
        <f t="shared" si="510"/>
        <v>10.18386929</v>
      </c>
      <c r="V122" s="13">
        <f t="shared" si="511"/>
        <v>0.001510990568</v>
      </c>
      <c r="W122" s="13">
        <f t="shared" si="512"/>
        <v>0.8568940833</v>
      </c>
      <c r="X122" s="12">
        <v>1.566</v>
      </c>
      <c r="Y122" s="13">
        <f t="shared" si="513"/>
        <v>0.5470276927</v>
      </c>
      <c r="Z122" s="13">
        <f t="shared" si="514"/>
        <v>0.05916661315</v>
      </c>
      <c r="AA122" s="13">
        <f t="shared" si="515"/>
        <v>0.009333578947</v>
      </c>
      <c r="AB122" s="13">
        <v>0.009</v>
      </c>
    </row>
    <row r="123" ht="14.25" customHeight="1">
      <c r="B123" s="31" t="s">
        <v>225</v>
      </c>
      <c r="C123" s="31" t="s">
        <v>415</v>
      </c>
      <c r="D123" s="31" t="s">
        <v>416</v>
      </c>
      <c r="E123" s="31" t="s">
        <v>421</v>
      </c>
      <c r="F123" s="31" t="s">
        <v>422</v>
      </c>
      <c r="G123" s="21" t="s">
        <v>402</v>
      </c>
      <c r="H123" s="30">
        <v>43311.0</v>
      </c>
      <c r="I123" s="21">
        <v>200.0</v>
      </c>
      <c r="J123" s="21" t="s">
        <v>174</v>
      </c>
      <c r="K123" s="12">
        <f t="shared" si="503"/>
        <v>40.66666667</v>
      </c>
      <c r="L123" s="21">
        <v>0.087</v>
      </c>
      <c r="M123" s="13">
        <f t="shared" si="504"/>
        <v>0.000485818906</v>
      </c>
      <c r="N123" s="13">
        <f t="shared" si="505"/>
        <v>0.0008355603433</v>
      </c>
      <c r="O123" s="13">
        <f t="shared" si="506"/>
        <v>0.0703403884</v>
      </c>
      <c r="P123" s="21">
        <v>0.183</v>
      </c>
      <c r="Q123" s="13">
        <f t="shared" si="507"/>
        <v>0.3843737071</v>
      </c>
      <c r="R123" s="13">
        <v>0.001150783933</v>
      </c>
      <c r="S123" s="13">
        <f t="shared" si="508"/>
        <v>0.007562507791</v>
      </c>
      <c r="T123" s="13">
        <f t="shared" si="509"/>
        <v>0.114144005</v>
      </c>
      <c r="U123" s="13">
        <f t="shared" si="510"/>
        <v>10.18386929</v>
      </c>
      <c r="V123" s="13">
        <f t="shared" si="511"/>
        <v>0.001510990568</v>
      </c>
      <c r="W123" s="13">
        <f t="shared" si="512"/>
        <v>0.8568940833</v>
      </c>
      <c r="X123" s="12">
        <v>1.566</v>
      </c>
      <c r="Y123" s="13">
        <f t="shared" si="513"/>
        <v>0.5470276927</v>
      </c>
      <c r="Z123" s="13">
        <f t="shared" si="514"/>
        <v>0.05916661315</v>
      </c>
      <c r="AA123" s="13">
        <f t="shared" si="515"/>
        <v>0.009333578947</v>
      </c>
      <c r="AB123" s="13">
        <v>0.009</v>
      </c>
    </row>
    <row r="124" ht="14.25" customHeight="1">
      <c r="B124" s="31" t="s">
        <v>225</v>
      </c>
      <c r="C124" s="31" t="s">
        <v>415</v>
      </c>
      <c r="D124" s="31" t="s">
        <v>416</v>
      </c>
      <c r="E124" s="31" t="s">
        <v>423</v>
      </c>
      <c r="F124" s="31" t="s">
        <v>424</v>
      </c>
      <c r="G124" s="21" t="s">
        <v>402</v>
      </c>
      <c r="H124" s="30">
        <v>43311.0</v>
      </c>
      <c r="I124" s="21">
        <v>120.2</v>
      </c>
      <c r="J124" s="21" t="s">
        <v>174</v>
      </c>
      <c r="K124" s="12">
        <f t="shared" si="503"/>
        <v>40.66666667</v>
      </c>
      <c r="L124" s="21">
        <v>0.087</v>
      </c>
      <c r="M124" s="13">
        <f t="shared" si="504"/>
        <v>0.000485818906</v>
      </c>
      <c r="N124" s="13">
        <f t="shared" si="505"/>
        <v>0.0008355603433</v>
      </c>
      <c r="O124" s="13">
        <f t="shared" si="506"/>
        <v>0.0703403884</v>
      </c>
      <c r="P124" s="21">
        <v>0.183</v>
      </c>
      <c r="Q124" s="13">
        <f t="shared" si="507"/>
        <v>0.3843737071</v>
      </c>
      <c r="R124" s="13">
        <v>0.001150783933</v>
      </c>
      <c r="S124" s="13">
        <f t="shared" si="508"/>
        <v>0.007562507791</v>
      </c>
      <c r="T124" s="13">
        <f t="shared" si="509"/>
        <v>0.114144005</v>
      </c>
      <c r="U124" s="13">
        <f t="shared" si="510"/>
        <v>10.18386929</v>
      </c>
      <c r="V124" s="13">
        <f t="shared" si="511"/>
        <v>0.001510990568</v>
      </c>
      <c r="W124" s="13">
        <f t="shared" si="512"/>
        <v>0.8568940833</v>
      </c>
      <c r="X124" s="12">
        <v>1.566</v>
      </c>
      <c r="Y124" s="13">
        <f t="shared" si="513"/>
        <v>0.5470276927</v>
      </c>
      <c r="Z124" s="13">
        <f t="shared" si="514"/>
        <v>0.05916661315</v>
      </c>
      <c r="AA124" s="13">
        <f t="shared" si="515"/>
        <v>0.009333578947</v>
      </c>
      <c r="AB124" s="13">
        <v>0.009</v>
      </c>
    </row>
    <row r="125" ht="14.25" customHeight="1">
      <c r="B125" s="31" t="s">
        <v>225</v>
      </c>
      <c r="C125" s="31" t="s">
        <v>415</v>
      </c>
      <c r="D125" s="31" t="s">
        <v>416</v>
      </c>
      <c r="E125" s="31" t="s">
        <v>425</v>
      </c>
      <c r="F125" s="31" t="s">
        <v>426</v>
      </c>
      <c r="G125" s="21" t="s">
        <v>402</v>
      </c>
      <c r="H125" s="30">
        <v>43311.0</v>
      </c>
      <c r="I125" s="21">
        <v>100.0</v>
      </c>
      <c r="J125" s="21" t="s">
        <v>174</v>
      </c>
      <c r="K125" s="12">
        <f t="shared" si="503"/>
        <v>40.66666667</v>
      </c>
      <c r="L125" s="21">
        <v>0.087</v>
      </c>
      <c r="M125" s="13">
        <f t="shared" si="504"/>
        <v>0.000485818906</v>
      </c>
      <c r="N125" s="13">
        <f t="shared" si="505"/>
        <v>0.0008355603433</v>
      </c>
      <c r="O125" s="13">
        <f t="shared" si="506"/>
        <v>0.0703403884</v>
      </c>
      <c r="P125" s="21">
        <v>0.183</v>
      </c>
      <c r="Q125" s="13">
        <f t="shared" si="507"/>
        <v>0.3843737071</v>
      </c>
      <c r="R125" s="13">
        <v>0.001150783933</v>
      </c>
      <c r="S125" s="13">
        <f t="shared" si="508"/>
        <v>0.007562507791</v>
      </c>
      <c r="T125" s="13">
        <f t="shared" si="509"/>
        <v>0.114144005</v>
      </c>
      <c r="U125" s="13">
        <f t="shared" si="510"/>
        <v>10.18386929</v>
      </c>
      <c r="V125" s="13">
        <f t="shared" si="511"/>
        <v>0.001510990568</v>
      </c>
      <c r="W125" s="13">
        <f t="shared" si="512"/>
        <v>0.8568940833</v>
      </c>
      <c r="X125" s="12">
        <v>1.566</v>
      </c>
      <c r="Y125" s="13">
        <f t="shared" si="513"/>
        <v>0.5470276927</v>
      </c>
      <c r="Z125" s="13">
        <f t="shared" si="514"/>
        <v>0.05916661315</v>
      </c>
      <c r="AA125" s="13">
        <f t="shared" si="515"/>
        <v>0.009333578947</v>
      </c>
      <c r="AB125" s="13">
        <v>0.009</v>
      </c>
    </row>
    <row r="126" ht="14.25" customHeight="1">
      <c r="B126" s="31" t="s">
        <v>225</v>
      </c>
      <c r="C126" s="31" t="s">
        <v>415</v>
      </c>
      <c r="D126" s="31" t="s">
        <v>416</v>
      </c>
      <c r="E126" s="31" t="s">
        <v>427</v>
      </c>
      <c r="F126" s="31" t="s">
        <v>428</v>
      </c>
      <c r="G126" s="21" t="s">
        <v>402</v>
      </c>
      <c r="H126" s="30">
        <v>43311.0</v>
      </c>
      <c r="I126" s="21">
        <v>89.8</v>
      </c>
      <c r="J126" s="21" t="s">
        <v>174</v>
      </c>
      <c r="K126" s="12">
        <f t="shared" si="503"/>
        <v>40.66666667</v>
      </c>
      <c r="L126" s="21">
        <v>0.087</v>
      </c>
      <c r="M126" s="13">
        <f t="shared" si="504"/>
        <v>0.000485818906</v>
      </c>
      <c r="N126" s="13">
        <f t="shared" si="505"/>
        <v>0.0008355603433</v>
      </c>
      <c r="O126" s="13">
        <f t="shared" si="506"/>
        <v>0.0703403884</v>
      </c>
      <c r="P126" s="21">
        <v>0.183</v>
      </c>
      <c r="Q126" s="13">
        <f t="shared" si="507"/>
        <v>0.3843737071</v>
      </c>
      <c r="R126" s="13">
        <v>0.001150783933</v>
      </c>
      <c r="S126" s="13">
        <f t="shared" si="508"/>
        <v>0.007562507791</v>
      </c>
      <c r="T126" s="13">
        <f t="shared" si="509"/>
        <v>0.114144005</v>
      </c>
      <c r="U126" s="13">
        <f t="shared" si="510"/>
        <v>10.18386929</v>
      </c>
      <c r="V126" s="13">
        <f t="shared" si="511"/>
        <v>0.001510990568</v>
      </c>
      <c r="W126" s="13">
        <f t="shared" si="512"/>
        <v>0.8568940833</v>
      </c>
      <c r="X126" s="12">
        <v>1.566</v>
      </c>
      <c r="Y126" s="13">
        <f t="shared" si="513"/>
        <v>0.5470276927</v>
      </c>
      <c r="Z126" s="13">
        <f t="shared" si="514"/>
        <v>0.05916661315</v>
      </c>
      <c r="AA126" s="13">
        <f t="shared" si="515"/>
        <v>0.009333578947</v>
      </c>
      <c r="AB126" s="13">
        <v>0.009</v>
      </c>
    </row>
    <row r="127" ht="14.25" customHeight="1">
      <c r="B127" s="31" t="s">
        <v>225</v>
      </c>
      <c r="C127" s="31" t="s">
        <v>415</v>
      </c>
      <c r="D127" s="31" t="s">
        <v>416</v>
      </c>
      <c r="E127" s="31" t="s">
        <v>429</v>
      </c>
      <c r="F127" s="31" t="s">
        <v>430</v>
      </c>
      <c r="G127" s="21" t="s">
        <v>402</v>
      </c>
      <c r="H127" s="30">
        <v>43311.0</v>
      </c>
      <c r="I127" s="21">
        <v>260.0</v>
      </c>
      <c r="J127" s="21" t="s">
        <v>174</v>
      </c>
      <c r="K127" s="12">
        <f t="shared" si="503"/>
        <v>40.66666667</v>
      </c>
      <c r="L127" s="21">
        <v>0.087</v>
      </c>
      <c r="M127" s="13">
        <f t="shared" si="504"/>
        <v>0.000485818906</v>
      </c>
      <c r="N127" s="13">
        <f t="shared" si="505"/>
        <v>0.0008355603433</v>
      </c>
      <c r="O127" s="13">
        <f t="shared" si="506"/>
        <v>0.0703403884</v>
      </c>
      <c r="P127" s="21">
        <v>0.183</v>
      </c>
      <c r="Q127" s="13">
        <f t="shared" si="507"/>
        <v>0.3843737071</v>
      </c>
      <c r="R127" s="13">
        <v>0.001150783933</v>
      </c>
      <c r="S127" s="13">
        <f t="shared" si="508"/>
        <v>0.007562507791</v>
      </c>
      <c r="T127" s="13">
        <f t="shared" si="509"/>
        <v>0.114144005</v>
      </c>
      <c r="U127" s="13">
        <f t="shared" si="510"/>
        <v>10.18386929</v>
      </c>
      <c r="V127" s="13">
        <f t="shared" si="511"/>
        <v>0.001510990568</v>
      </c>
      <c r="W127" s="13">
        <f t="shared" si="512"/>
        <v>0.8568940833</v>
      </c>
      <c r="X127" s="12">
        <v>1.566</v>
      </c>
      <c r="Y127" s="13">
        <f t="shared" si="513"/>
        <v>0.5470276927</v>
      </c>
      <c r="Z127" s="13">
        <f t="shared" si="514"/>
        <v>0.05916661315</v>
      </c>
      <c r="AA127" s="13">
        <f t="shared" si="515"/>
        <v>0.009333578947</v>
      </c>
      <c r="AB127" s="13">
        <v>0.009</v>
      </c>
    </row>
    <row r="128" ht="14.25" customHeight="1">
      <c r="B128" s="31" t="s">
        <v>225</v>
      </c>
      <c r="C128" s="31" t="s">
        <v>431</v>
      </c>
      <c r="D128" s="31" t="s">
        <v>432</v>
      </c>
      <c r="E128" s="31" t="s">
        <v>433</v>
      </c>
      <c r="F128" s="31" t="s">
        <v>434</v>
      </c>
      <c r="G128" s="21" t="s">
        <v>435</v>
      </c>
      <c r="H128" s="29">
        <v>42222.0</v>
      </c>
      <c r="I128" s="21">
        <v>592.0</v>
      </c>
      <c r="J128" s="21" t="s">
        <v>130</v>
      </c>
      <c r="K128" s="12">
        <f t="shared" ref="K128:K134" si="516">(0.005+0.057)/0.0012909944487358</f>
        <v>48.02499349</v>
      </c>
      <c r="L128" s="21">
        <v>0.341</v>
      </c>
      <c r="M128" s="13">
        <f t="shared" ref="M128:M134" si="517">429/159390</f>
        <v>0.002691511387</v>
      </c>
      <c r="N128" s="13">
        <f t="shared" ref="N128:N134" si="518">429/85835</f>
        <v>0.004997961205</v>
      </c>
      <c r="O128" s="13">
        <f t="shared" ref="O128:O134" si="519">8988.2/169012</f>
        <v>0.05318083923</v>
      </c>
      <c r="P128" s="13">
        <v>0.125</v>
      </c>
      <c r="Q128" s="13">
        <f t="shared" ref="Q128:Q134" si="520">(8988.2/0.125)/169012</f>
        <v>0.4254467138</v>
      </c>
      <c r="R128" s="13">
        <f t="shared" ref="R128:R134" si="521">96.4/138631</f>
        <v>0.0006953711652</v>
      </c>
      <c r="S128" s="13">
        <f t="shared" ref="S128:S134" si="522">1189/169012</f>
        <v>0.007035003432</v>
      </c>
      <c r="T128" s="13">
        <f t="shared" ref="T128:T134" si="523">42842/169012</f>
        <v>0.2534849596</v>
      </c>
      <c r="U128" s="13">
        <f t="shared" ref="U128:U134" si="524">ln(169012)</f>
        <v>12.037725</v>
      </c>
      <c r="V128" s="13">
        <f t="shared" ref="V128:V134" si="525">18714/169012</f>
        <v>0.1107258656</v>
      </c>
      <c r="W128" s="13">
        <f t="shared" ref="W128:W134" si="526">133914/169012</f>
        <v>0.7923342721</v>
      </c>
      <c r="X128" s="12">
        <v>1.56</v>
      </c>
      <c r="Y128" s="13">
        <f t="shared" ref="Y128:Y134" si="527">85835/169012</f>
        <v>0.507863347</v>
      </c>
      <c r="Z128" s="13">
        <f t="shared" ref="Z128:Z134" si="528">9622/169012</f>
        <v>0.05693086881</v>
      </c>
      <c r="AA128" s="13">
        <f t="shared" ref="AA128:AA134" si="529">170202/2700000</f>
        <v>0.06303777778</v>
      </c>
      <c r="AB128" s="13">
        <v>0.008</v>
      </c>
    </row>
    <row r="129" ht="14.25" customHeight="1">
      <c r="B129" s="31" t="s">
        <v>225</v>
      </c>
      <c r="C129" s="31" t="s">
        <v>431</v>
      </c>
      <c r="D129" s="31" t="s">
        <v>432</v>
      </c>
      <c r="E129" s="31" t="s">
        <v>436</v>
      </c>
      <c r="F129" s="31" t="s">
        <v>437</v>
      </c>
      <c r="G129" s="21" t="s">
        <v>435</v>
      </c>
      <c r="H129" s="29">
        <v>42222.0</v>
      </c>
      <c r="I129" s="21">
        <v>296.0</v>
      </c>
      <c r="J129" s="21" t="s">
        <v>130</v>
      </c>
      <c r="K129" s="12">
        <f t="shared" si="516"/>
        <v>48.02499349</v>
      </c>
      <c r="L129" s="21">
        <v>0.341</v>
      </c>
      <c r="M129" s="13">
        <f t="shared" si="517"/>
        <v>0.002691511387</v>
      </c>
      <c r="N129" s="13">
        <f t="shared" si="518"/>
        <v>0.004997961205</v>
      </c>
      <c r="O129" s="13">
        <f t="shared" si="519"/>
        <v>0.05318083923</v>
      </c>
      <c r="P129" s="13">
        <v>0.125</v>
      </c>
      <c r="Q129" s="13">
        <f t="shared" si="520"/>
        <v>0.4254467138</v>
      </c>
      <c r="R129" s="13">
        <f t="shared" si="521"/>
        <v>0.0006953711652</v>
      </c>
      <c r="S129" s="13">
        <f t="shared" si="522"/>
        <v>0.007035003432</v>
      </c>
      <c r="T129" s="13">
        <f t="shared" si="523"/>
        <v>0.2534849596</v>
      </c>
      <c r="U129" s="13">
        <f t="shared" si="524"/>
        <v>12.037725</v>
      </c>
      <c r="V129" s="13">
        <f t="shared" si="525"/>
        <v>0.1107258656</v>
      </c>
      <c r="W129" s="13">
        <f t="shared" si="526"/>
        <v>0.7923342721</v>
      </c>
      <c r="X129" s="12">
        <v>1.56</v>
      </c>
      <c r="Y129" s="13">
        <f t="shared" si="527"/>
        <v>0.507863347</v>
      </c>
      <c r="Z129" s="13">
        <f t="shared" si="528"/>
        <v>0.05693086881</v>
      </c>
      <c r="AA129" s="13">
        <f t="shared" si="529"/>
        <v>0.06303777778</v>
      </c>
      <c r="AB129" s="13">
        <v>0.008</v>
      </c>
    </row>
    <row r="130" ht="14.25" customHeight="1">
      <c r="B130" s="31" t="s">
        <v>225</v>
      </c>
      <c r="C130" s="31" t="s">
        <v>431</v>
      </c>
      <c r="D130" s="31" t="s">
        <v>432</v>
      </c>
      <c r="E130" s="31" t="s">
        <v>438</v>
      </c>
      <c r="F130" s="31" t="s">
        <v>439</v>
      </c>
      <c r="G130" s="21" t="s">
        <v>435</v>
      </c>
      <c r="H130" s="29">
        <v>42222.0</v>
      </c>
      <c r="I130" s="21">
        <v>300.0</v>
      </c>
      <c r="J130" s="21" t="s">
        <v>130</v>
      </c>
      <c r="K130" s="12">
        <f t="shared" si="516"/>
        <v>48.02499349</v>
      </c>
      <c r="L130" s="21">
        <v>0.341</v>
      </c>
      <c r="M130" s="13">
        <f t="shared" si="517"/>
        <v>0.002691511387</v>
      </c>
      <c r="N130" s="13">
        <f t="shared" si="518"/>
        <v>0.004997961205</v>
      </c>
      <c r="O130" s="13">
        <f t="shared" si="519"/>
        <v>0.05318083923</v>
      </c>
      <c r="P130" s="13">
        <v>0.125</v>
      </c>
      <c r="Q130" s="13">
        <f t="shared" si="520"/>
        <v>0.4254467138</v>
      </c>
      <c r="R130" s="13">
        <f t="shared" si="521"/>
        <v>0.0006953711652</v>
      </c>
      <c r="S130" s="13">
        <f t="shared" si="522"/>
        <v>0.007035003432</v>
      </c>
      <c r="T130" s="13">
        <f t="shared" si="523"/>
        <v>0.2534849596</v>
      </c>
      <c r="U130" s="13">
        <f t="shared" si="524"/>
        <v>12.037725</v>
      </c>
      <c r="V130" s="13">
        <f t="shared" si="525"/>
        <v>0.1107258656</v>
      </c>
      <c r="W130" s="13">
        <f t="shared" si="526"/>
        <v>0.7923342721</v>
      </c>
      <c r="X130" s="12">
        <v>1.56</v>
      </c>
      <c r="Y130" s="13">
        <f t="shared" si="527"/>
        <v>0.507863347</v>
      </c>
      <c r="Z130" s="13">
        <f t="shared" si="528"/>
        <v>0.05693086881</v>
      </c>
      <c r="AA130" s="13">
        <f t="shared" si="529"/>
        <v>0.06303777778</v>
      </c>
      <c r="AB130" s="13">
        <v>0.008</v>
      </c>
    </row>
    <row r="131" ht="14.25" customHeight="1">
      <c r="B131" s="31" t="s">
        <v>225</v>
      </c>
      <c r="C131" s="31" t="s">
        <v>431</v>
      </c>
      <c r="D131" s="31" t="s">
        <v>432</v>
      </c>
      <c r="E131" s="31" t="s">
        <v>440</v>
      </c>
      <c r="F131" s="31" t="s">
        <v>441</v>
      </c>
      <c r="G131" s="21" t="s">
        <v>435</v>
      </c>
      <c r="H131" s="29">
        <v>42222.0</v>
      </c>
      <c r="I131" s="21">
        <v>150.0</v>
      </c>
      <c r="J131" s="21" t="s">
        <v>130</v>
      </c>
      <c r="K131" s="12">
        <f t="shared" si="516"/>
        <v>48.02499349</v>
      </c>
      <c r="L131" s="21">
        <v>0.341</v>
      </c>
      <c r="M131" s="13">
        <f t="shared" si="517"/>
        <v>0.002691511387</v>
      </c>
      <c r="N131" s="13">
        <f t="shared" si="518"/>
        <v>0.004997961205</v>
      </c>
      <c r="O131" s="13">
        <f t="shared" si="519"/>
        <v>0.05318083923</v>
      </c>
      <c r="P131" s="13">
        <v>0.125</v>
      </c>
      <c r="Q131" s="13">
        <f t="shared" si="520"/>
        <v>0.4254467138</v>
      </c>
      <c r="R131" s="13">
        <f t="shared" si="521"/>
        <v>0.0006953711652</v>
      </c>
      <c r="S131" s="13">
        <f t="shared" si="522"/>
        <v>0.007035003432</v>
      </c>
      <c r="T131" s="13">
        <f t="shared" si="523"/>
        <v>0.2534849596</v>
      </c>
      <c r="U131" s="13">
        <f t="shared" si="524"/>
        <v>12.037725</v>
      </c>
      <c r="V131" s="13">
        <f t="shared" si="525"/>
        <v>0.1107258656</v>
      </c>
      <c r="W131" s="13">
        <f t="shared" si="526"/>
        <v>0.7923342721</v>
      </c>
      <c r="X131" s="12">
        <v>1.56</v>
      </c>
      <c r="Y131" s="13">
        <f t="shared" si="527"/>
        <v>0.507863347</v>
      </c>
      <c r="Z131" s="13">
        <f t="shared" si="528"/>
        <v>0.05693086881</v>
      </c>
      <c r="AA131" s="13">
        <f t="shared" si="529"/>
        <v>0.06303777778</v>
      </c>
      <c r="AB131" s="13">
        <v>0.008</v>
      </c>
    </row>
    <row r="132" ht="14.25" customHeight="1">
      <c r="B132" s="31" t="s">
        <v>225</v>
      </c>
      <c r="C132" s="31" t="s">
        <v>431</v>
      </c>
      <c r="D132" s="31" t="s">
        <v>432</v>
      </c>
      <c r="E132" s="31" t="s">
        <v>442</v>
      </c>
      <c r="F132" s="31" t="s">
        <v>443</v>
      </c>
      <c r="G132" s="21" t="s">
        <v>435</v>
      </c>
      <c r="H132" s="29">
        <v>42222.0</v>
      </c>
      <c r="I132" s="21">
        <v>390.0</v>
      </c>
      <c r="J132" s="21" t="s">
        <v>130</v>
      </c>
      <c r="K132" s="12">
        <f t="shared" si="516"/>
        <v>48.02499349</v>
      </c>
      <c r="L132" s="21">
        <v>0.341</v>
      </c>
      <c r="M132" s="13">
        <f t="shared" si="517"/>
        <v>0.002691511387</v>
      </c>
      <c r="N132" s="13">
        <f t="shared" si="518"/>
        <v>0.004997961205</v>
      </c>
      <c r="O132" s="13">
        <f t="shared" si="519"/>
        <v>0.05318083923</v>
      </c>
      <c r="P132" s="13">
        <v>0.125</v>
      </c>
      <c r="Q132" s="13">
        <f t="shared" si="520"/>
        <v>0.4254467138</v>
      </c>
      <c r="R132" s="13">
        <f t="shared" si="521"/>
        <v>0.0006953711652</v>
      </c>
      <c r="S132" s="13">
        <f t="shared" si="522"/>
        <v>0.007035003432</v>
      </c>
      <c r="T132" s="13">
        <f t="shared" si="523"/>
        <v>0.2534849596</v>
      </c>
      <c r="U132" s="13">
        <f t="shared" si="524"/>
        <v>12.037725</v>
      </c>
      <c r="V132" s="13">
        <f t="shared" si="525"/>
        <v>0.1107258656</v>
      </c>
      <c r="W132" s="13">
        <f t="shared" si="526"/>
        <v>0.7923342721</v>
      </c>
      <c r="X132" s="12">
        <v>1.56</v>
      </c>
      <c r="Y132" s="13">
        <f t="shared" si="527"/>
        <v>0.507863347</v>
      </c>
      <c r="Z132" s="13">
        <f t="shared" si="528"/>
        <v>0.05693086881</v>
      </c>
      <c r="AA132" s="13">
        <f t="shared" si="529"/>
        <v>0.06303777778</v>
      </c>
      <c r="AB132" s="13">
        <v>0.008</v>
      </c>
    </row>
    <row r="133" ht="14.25" customHeight="1">
      <c r="B133" s="31" t="s">
        <v>225</v>
      </c>
      <c r="C133" s="31" t="s">
        <v>431</v>
      </c>
      <c r="D133" s="31" t="s">
        <v>432</v>
      </c>
      <c r="E133" s="31" t="s">
        <v>444</v>
      </c>
      <c r="F133" s="31" t="s">
        <v>445</v>
      </c>
      <c r="G133" s="21" t="s">
        <v>435</v>
      </c>
      <c r="H133" s="29">
        <v>42222.0</v>
      </c>
      <c r="I133" s="21">
        <v>270.1</v>
      </c>
      <c r="J133" s="21" t="s">
        <v>130</v>
      </c>
      <c r="K133" s="12">
        <f t="shared" si="516"/>
        <v>48.02499349</v>
      </c>
      <c r="L133" s="21">
        <v>0.341</v>
      </c>
      <c r="M133" s="13">
        <f t="shared" si="517"/>
        <v>0.002691511387</v>
      </c>
      <c r="N133" s="13">
        <f t="shared" si="518"/>
        <v>0.004997961205</v>
      </c>
      <c r="O133" s="13">
        <f t="shared" si="519"/>
        <v>0.05318083923</v>
      </c>
      <c r="P133" s="13">
        <v>0.125</v>
      </c>
      <c r="Q133" s="13">
        <f t="shared" si="520"/>
        <v>0.4254467138</v>
      </c>
      <c r="R133" s="13">
        <f t="shared" si="521"/>
        <v>0.0006953711652</v>
      </c>
      <c r="S133" s="13">
        <f t="shared" si="522"/>
        <v>0.007035003432</v>
      </c>
      <c r="T133" s="13">
        <f t="shared" si="523"/>
        <v>0.2534849596</v>
      </c>
      <c r="U133" s="13">
        <f t="shared" si="524"/>
        <v>12.037725</v>
      </c>
      <c r="V133" s="13">
        <f t="shared" si="525"/>
        <v>0.1107258656</v>
      </c>
      <c r="W133" s="13">
        <f t="shared" si="526"/>
        <v>0.7923342721</v>
      </c>
      <c r="X133" s="12">
        <v>1.56</v>
      </c>
      <c r="Y133" s="13">
        <f t="shared" si="527"/>
        <v>0.507863347</v>
      </c>
      <c r="Z133" s="13">
        <f t="shared" si="528"/>
        <v>0.05693086881</v>
      </c>
      <c r="AA133" s="13">
        <f t="shared" si="529"/>
        <v>0.06303777778</v>
      </c>
      <c r="AB133" s="13">
        <v>0.008</v>
      </c>
    </row>
    <row r="134" ht="14.25" customHeight="1">
      <c r="B134" s="31" t="s">
        <v>225</v>
      </c>
      <c r="C134" s="31" t="s">
        <v>431</v>
      </c>
      <c r="D134" s="31" t="s">
        <v>432</v>
      </c>
      <c r="E134" s="31" t="s">
        <v>446</v>
      </c>
      <c r="F134" s="31" t="s">
        <v>447</v>
      </c>
      <c r="G134" s="21" t="s">
        <v>435</v>
      </c>
      <c r="H134" s="29">
        <v>42222.0</v>
      </c>
      <c r="I134" s="32">
        <v>1004.56</v>
      </c>
      <c r="J134" s="21" t="s">
        <v>130</v>
      </c>
      <c r="K134" s="12">
        <f t="shared" si="516"/>
        <v>48.02499349</v>
      </c>
      <c r="L134" s="21">
        <v>0.341</v>
      </c>
      <c r="M134" s="13">
        <f t="shared" si="517"/>
        <v>0.002691511387</v>
      </c>
      <c r="N134" s="13">
        <f t="shared" si="518"/>
        <v>0.004997961205</v>
      </c>
      <c r="O134" s="13">
        <f t="shared" si="519"/>
        <v>0.05318083923</v>
      </c>
      <c r="P134" s="13">
        <v>0.125</v>
      </c>
      <c r="Q134" s="13">
        <f t="shared" si="520"/>
        <v>0.4254467138</v>
      </c>
      <c r="R134" s="13">
        <f t="shared" si="521"/>
        <v>0.0006953711652</v>
      </c>
      <c r="S134" s="13">
        <f t="shared" si="522"/>
        <v>0.007035003432</v>
      </c>
      <c r="T134" s="13">
        <f t="shared" si="523"/>
        <v>0.2534849596</v>
      </c>
      <c r="U134" s="13">
        <f t="shared" si="524"/>
        <v>12.037725</v>
      </c>
      <c r="V134" s="13">
        <f t="shared" si="525"/>
        <v>0.1107258656</v>
      </c>
      <c r="W134" s="13">
        <f t="shared" si="526"/>
        <v>0.7923342721</v>
      </c>
      <c r="X134" s="12">
        <v>1.56</v>
      </c>
      <c r="Y134" s="13">
        <f t="shared" si="527"/>
        <v>0.507863347</v>
      </c>
      <c r="Z134" s="13">
        <f t="shared" si="528"/>
        <v>0.05693086881</v>
      </c>
      <c r="AA134" s="13">
        <f t="shared" si="529"/>
        <v>0.06303777778</v>
      </c>
      <c r="AB134" s="13">
        <v>0.008</v>
      </c>
    </row>
    <row r="135" ht="14.25" customHeight="1">
      <c r="B135" s="31" t="s">
        <v>225</v>
      </c>
      <c r="C135" s="31" t="s">
        <v>448</v>
      </c>
      <c r="D135" s="31" t="s">
        <v>449</v>
      </c>
      <c r="E135" s="31" t="s">
        <v>450</v>
      </c>
      <c r="F135" s="31" t="s">
        <v>451</v>
      </c>
      <c r="G135" s="21" t="s">
        <v>435</v>
      </c>
      <c r="H135" s="30">
        <v>42670.0</v>
      </c>
      <c r="I135" s="21">
        <v>470.0</v>
      </c>
      <c r="J135" s="21" t="s">
        <v>132</v>
      </c>
      <c r="K135" s="12">
        <f t="shared" ref="K135:K139" si="530">(0.004+0.041)/0.026739483914242</f>
        <v>1.682904582</v>
      </c>
      <c r="L135" s="21">
        <v>0.373</v>
      </c>
      <c r="M135" s="13">
        <f t="shared" ref="M135:M139" si="531">162.1/142760.3</f>
        <v>0.001135469735</v>
      </c>
      <c r="N135" s="13">
        <f t="shared" ref="N135:N139" si="532">162.1/64126.6</f>
        <v>0.002527812172</v>
      </c>
      <c r="O135" s="13">
        <f t="shared" ref="O135:O139" si="533">4616.1/148804.6</f>
        <v>0.03102121843</v>
      </c>
      <c r="P135" s="13">
        <v>0.072</v>
      </c>
      <c r="Q135" s="13">
        <f t="shared" ref="Q135:Q139" si="534">(4616.1/0.072)/148804.6</f>
        <v>0.430850256</v>
      </c>
      <c r="R135" s="13">
        <f t="shared" ref="R135:R139" si="535">140.9/118085.9</f>
        <v>0.001193199188</v>
      </c>
      <c r="S135" s="13">
        <f t="shared" ref="S135:S139" si="536">879.1/148804.6</f>
        <v>0.005907747476</v>
      </c>
      <c r="T135" s="13">
        <f t="shared" ref="T135:T139" si="537">32953.9/148804.6</f>
        <v>0.2214575356</v>
      </c>
      <c r="U135" s="13">
        <f t="shared" ref="U135:U139" si="538">ln(148804.6)</f>
        <v>11.91038931</v>
      </c>
      <c r="V135" s="13">
        <f t="shared" ref="V135:V139" si="539">26511.8/148804.6</f>
        <v>0.1781651911</v>
      </c>
      <c r="W135" s="13">
        <f t="shared" ref="W135:W139" si="540">123412.5/148804.6</f>
        <v>0.8293594418</v>
      </c>
      <c r="X135" s="12">
        <v>1.925</v>
      </c>
      <c r="Y135" s="13">
        <f t="shared" ref="Y135:Y139" si="541">64126.6/148804.6</f>
        <v>0.4309450111</v>
      </c>
      <c r="Z135" s="13">
        <f t="shared" ref="Z135:Z139" si="542">6044.3/148804.6</f>
        <v>0.04061904</v>
      </c>
      <c r="AA135" s="13">
        <f t="shared" ref="AA135:AA139" si="543">153178.5/2650000</f>
        <v>0.05780320755</v>
      </c>
      <c r="AB135" s="13">
        <v>0.013</v>
      </c>
    </row>
    <row r="136" ht="14.25" customHeight="1">
      <c r="B136" s="31" t="s">
        <v>225</v>
      </c>
      <c r="C136" s="31" t="s">
        <v>448</v>
      </c>
      <c r="D136" s="31" t="s">
        <v>449</v>
      </c>
      <c r="E136" s="31" t="s">
        <v>452</v>
      </c>
      <c r="F136" s="31" t="s">
        <v>453</v>
      </c>
      <c r="G136" s="21" t="s">
        <v>435</v>
      </c>
      <c r="H136" s="30">
        <v>42670.0</v>
      </c>
      <c r="I136" s="21">
        <v>400.0</v>
      </c>
      <c r="J136" s="21" t="s">
        <v>132</v>
      </c>
      <c r="K136" s="12">
        <f t="shared" si="530"/>
        <v>1.682904582</v>
      </c>
      <c r="L136" s="21">
        <v>0.373</v>
      </c>
      <c r="M136" s="13">
        <f t="shared" si="531"/>
        <v>0.001135469735</v>
      </c>
      <c r="N136" s="13">
        <f t="shared" si="532"/>
        <v>0.002527812172</v>
      </c>
      <c r="O136" s="13">
        <f t="shared" si="533"/>
        <v>0.03102121843</v>
      </c>
      <c r="P136" s="13">
        <v>0.072</v>
      </c>
      <c r="Q136" s="13">
        <f t="shared" si="534"/>
        <v>0.430850256</v>
      </c>
      <c r="R136" s="13">
        <f t="shared" si="535"/>
        <v>0.001193199188</v>
      </c>
      <c r="S136" s="13">
        <f t="shared" si="536"/>
        <v>0.005907747476</v>
      </c>
      <c r="T136" s="13">
        <f t="shared" si="537"/>
        <v>0.2214575356</v>
      </c>
      <c r="U136" s="13">
        <f t="shared" si="538"/>
        <v>11.91038931</v>
      </c>
      <c r="V136" s="13">
        <f t="shared" si="539"/>
        <v>0.1781651911</v>
      </c>
      <c r="W136" s="13">
        <f t="shared" si="540"/>
        <v>0.8293594418</v>
      </c>
      <c r="X136" s="12">
        <v>1.925</v>
      </c>
      <c r="Y136" s="13">
        <f t="shared" si="541"/>
        <v>0.4309450111</v>
      </c>
      <c r="Z136" s="13">
        <f t="shared" si="542"/>
        <v>0.04061904</v>
      </c>
      <c r="AA136" s="13">
        <f t="shared" si="543"/>
        <v>0.05780320755</v>
      </c>
      <c r="AB136" s="13">
        <v>0.013</v>
      </c>
    </row>
    <row r="137" ht="14.25" customHeight="1">
      <c r="B137" s="31" t="s">
        <v>225</v>
      </c>
      <c r="C137" s="31" t="s">
        <v>448</v>
      </c>
      <c r="D137" s="31" t="s">
        <v>449</v>
      </c>
      <c r="E137" s="31" t="s">
        <v>454</v>
      </c>
      <c r="F137" s="31" t="s">
        <v>455</v>
      </c>
      <c r="G137" s="21" t="s">
        <v>435</v>
      </c>
      <c r="H137" s="30">
        <v>42670.0</v>
      </c>
      <c r="I137" s="21">
        <v>150.0</v>
      </c>
      <c r="J137" s="21" t="s">
        <v>132</v>
      </c>
      <c r="K137" s="12">
        <f t="shared" si="530"/>
        <v>1.682904582</v>
      </c>
      <c r="L137" s="21">
        <v>0.373</v>
      </c>
      <c r="M137" s="13">
        <f t="shared" si="531"/>
        <v>0.001135469735</v>
      </c>
      <c r="N137" s="13">
        <f t="shared" si="532"/>
        <v>0.002527812172</v>
      </c>
      <c r="O137" s="13">
        <f t="shared" si="533"/>
        <v>0.03102121843</v>
      </c>
      <c r="P137" s="13">
        <v>0.072</v>
      </c>
      <c r="Q137" s="13">
        <f t="shared" si="534"/>
        <v>0.430850256</v>
      </c>
      <c r="R137" s="13">
        <f t="shared" si="535"/>
        <v>0.001193199188</v>
      </c>
      <c r="S137" s="13">
        <f t="shared" si="536"/>
        <v>0.005907747476</v>
      </c>
      <c r="T137" s="13">
        <f t="shared" si="537"/>
        <v>0.2214575356</v>
      </c>
      <c r="U137" s="13">
        <f t="shared" si="538"/>
        <v>11.91038931</v>
      </c>
      <c r="V137" s="13">
        <f t="shared" si="539"/>
        <v>0.1781651911</v>
      </c>
      <c r="W137" s="13">
        <f t="shared" si="540"/>
        <v>0.8293594418</v>
      </c>
      <c r="X137" s="12">
        <v>1.925</v>
      </c>
      <c r="Y137" s="13">
        <f t="shared" si="541"/>
        <v>0.4309450111</v>
      </c>
      <c r="Z137" s="13">
        <f t="shared" si="542"/>
        <v>0.04061904</v>
      </c>
      <c r="AA137" s="13">
        <f t="shared" si="543"/>
        <v>0.05780320755</v>
      </c>
      <c r="AB137" s="13">
        <v>0.013</v>
      </c>
    </row>
    <row r="138" ht="14.25" customHeight="1">
      <c r="B138" s="31" t="s">
        <v>225</v>
      </c>
      <c r="C138" s="31" t="s">
        <v>448</v>
      </c>
      <c r="D138" s="31" t="s">
        <v>449</v>
      </c>
      <c r="E138" s="31" t="s">
        <v>456</v>
      </c>
      <c r="F138" s="31" t="s">
        <v>457</v>
      </c>
      <c r="G138" s="21" t="s">
        <v>435</v>
      </c>
      <c r="H138" s="30">
        <v>42670.0</v>
      </c>
      <c r="I138" s="21">
        <v>313.0</v>
      </c>
      <c r="J138" s="21" t="s">
        <v>132</v>
      </c>
      <c r="K138" s="12">
        <f t="shared" si="530"/>
        <v>1.682904582</v>
      </c>
      <c r="L138" s="21">
        <v>0.373</v>
      </c>
      <c r="M138" s="13">
        <f t="shared" si="531"/>
        <v>0.001135469735</v>
      </c>
      <c r="N138" s="13">
        <f t="shared" si="532"/>
        <v>0.002527812172</v>
      </c>
      <c r="O138" s="13">
        <f t="shared" si="533"/>
        <v>0.03102121843</v>
      </c>
      <c r="P138" s="13">
        <v>0.072</v>
      </c>
      <c r="Q138" s="13">
        <f t="shared" si="534"/>
        <v>0.430850256</v>
      </c>
      <c r="R138" s="13">
        <f t="shared" si="535"/>
        <v>0.001193199188</v>
      </c>
      <c r="S138" s="13">
        <f t="shared" si="536"/>
        <v>0.005907747476</v>
      </c>
      <c r="T138" s="13">
        <f t="shared" si="537"/>
        <v>0.2214575356</v>
      </c>
      <c r="U138" s="13">
        <f t="shared" si="538"/>
        <v>11.91038931</v>
      </c>
      <c r="V138" s="13">
        <f t="shared" si="539"/>
        <v>0.1781651911</v>
      </c>
      <c r="W138" s="13">
        <f t="shared" si="540"/>
        <v>0.8293594418</v>
      </c>
      <c r="X138" s="12">
        <v>1.925</v>
      </c>
      <c r="Y138" s="13">
        <f t="shared" si="541"/>
        <v>0.4309450111</v>
      </c>
      <c r="Z138" s="13">
        <f t="shared" si="542"/>
        <v>0.04061904</v>
      </c>
      <c r="AA138" s="13">
        <f t="shared" si="543"/>
        <v>0.05780320755</v>
      </c>
      <c r="AB138" s="13">
        <v>0.013</v>
      </c>
    </row>
    <row r="139" ht="14.25" customHeight="1">
      <c r="B139" s="31" t="s">
        <v>225</v>
      </c>
      <c r="C139" s="31" t="s">
        <v>448</v>
      </c>
      <c r="D139" s="31" t="s">
        <v>449</v>
      </c>
      <c r="E139" s="31" t="s">
        <v>458</v>
      </c>
      <c r="F139" s="31" t="s">
        <v>459</v>
      </c>
      <c r="G139" s="21" t="s">
        <v>435</v>
      </c>
      <c r="H139" s="30">
        <v>42670.0</v>
      </c>
      <c r="I139" s="21">
        <v>406.3</v>
      </c>
      <c r="J139" s="21" t="s">
        <v>132</v>
      </c>
      <c r="K139" s="12">
        <f t="shared" si="530"/>
        <v>1.682904582</v>
      </c>
      <c r="L139" s="21">
        <v>0.373</v>
      </c>
      <c r="M139" s="13">
        <f t="shared" si="531"/>
        <v>0.001135469735</v>
      </c>
      <c r="N139" s="13">
        <f t="shared" si="532"/>
        <v>0.002527812172</v>
      </c>
      <c r="O139" s="13">
        <f t="shared" si="533"/>
        <v>0.03102121843</v>
      </c>
      <c r="P139" s="13">
        <v>0.072</v>
      </c>
      <c r="Q139" s="13">
        <f t="shared" si="534"/>
        <v>0.430850256</v>
      </c>
      <c r="R139" s="13">
        <f t="shared" si="535"/>
        <v>0.001193199188</v>
      </c>
      <c r="S139" s="13">
        <f t="shared" si="536"/>
        <v>0.005907747476</v>
      </c>
      <c r="T139" s="13">
        <f t="shared" si="537"/>
        <v>0.2214575356</v>
      </c>
      <c r="U139" s="13">
        <f t="shared" si="538"/>
        <v>11.91038931</v>
      </c>
      <c r="V139" s="13">
        <f t="shared" si="539"/>
        <v>0.1781651911</v>
      </c>
      <c r="W139" s="13">
        <f t="shared" si="540"/>
        <v>0.8293594418</v>
      </c>
      <c r="X139" s="12">
        <v>1.925</v>
      </c>
      <c r="Y139" s="13">
        <f t="shared" si="541"/>
        <v>0.4309450111</v>
      </c>
      <c r="Z139" s="13">
        <f t="shared" si="542"/>
        <v>0.04061904</v>
      </c>
      <c r="AA139" s="13">
        <f t="shared" si="543"/>
        <v>0.05780320755</v>
      </c>
      <c r="AB139" s="13">
        <v>0.013</v>
      </c>
    </row>
    <row r="140" ht="14.25" customHeight="1">
      <c r="B140" s="31" t="s">
        <v>225</v>
      </c>
      <c r="C140" s="31" t="s">
        <v>460</v>
      </c>
      <c r="D140" s="31" t="s">
        <v>461</v>
      </c>
      <c r="E140" s="31" t="s">
        <v>462</v>
      </c>
      <c r="F140" s="31" t="s">
        <v>463</v>
      </c>
      <c r="G140" s="21" t="s">
        <v>435</v>
      </c>
      <c r="H140" s="30">
        <v>43641.0</v>
      </c>
      <c r="I140" s="21">
        <v>519.4</v>
      </c>
      <c r="J140" s="21" t="s">
        <v>152</v>
      </c>
      <c r="K140" s="12">
        <f t="shared" ref="K140:K145" si="544">(0.003+0.071)/0.00095742710775634</f>
        <v>77.29047924</v>
      </c>
      <c r="L140" s="21">
        <v>0.135</v>
      </c>
      <c r="M140" s="13">
        <f t="shared" ref="M140:M145" si="545">181.833/124286.3</f>
        <v>0.001463017243</v>
      </c>
      <c r="N140" s="13">
        <f t="shared" ref="N140:N145" si="546">181.833/94609</f>
        <v>0.001921941887</v>
      </c>
      <c r="O140" s="13">
        <f t="shared" ref="O140:O145" si="547">8596.8/133875.2</f>
        <v>0.06421503012</v>
      </c>
      <c r="P140" s="21">
        <v>0.148</v>
      </c>
      <c r="Q140" s="13">
        <f t="shared" ref="Q140:Q145" si="548">(8596.8/0.148)/133875.2</f>
        <v>0.4338853386</v>
      </c>
      <c r="R140" s="13">
        <f t="shared" ref="R140:R145" si="549">168.9/95690.3</f>
        <v>0.001765069187</v>
      </c>
      <c r="S140" s="13">
        <f t="shared" ref="S140:S145" si="550">675.8/133875.2</f>
        <v>0.005047984989</v>
      </c>
      <c r="T140" s="13">
        <f t="shared" ref="T140:T145" si="551">23666.3/133875.2</f>
        <v>0.1767788209</v>
      </c>
      <c r="U140" s="13">
        <f t="shared" ref="U140:U145" si="552">ln(133875.2)</f>
        <v>11.8046633</v>
      </c>
      <c r="V140" s="13">
        <f t="shared" ref="V140:V145" si="553">10534/133875.2</f>
        <v>0.07868522325</v>
      </c>
      <c r="W140" s="13">
        <f t="shared" ref="W140:W145" si="554">107834.1/133875.2</f>
        <v>0.8054822701</v>
      </c>
      <c r="X140" s="12">
        <v>1.14</v>
      </c>
      <c r="Y140" s="13">
        <f t="shared" ref="Y140:Y145" si="555">94609/133875.2</f>
        <v>0.7066954895</v>
      </c>
      <c r="Z140" s="13">
        <f t="shared" ref="Z140:Z145" si="556">9588.9/133875.2</f>
        <v>0.0716256633</v>
      </c>
      <c r="AA140" s="13">
        <f t="shared" ref="AA140:AA145" si="557">131538.9/3000000</f>
        <v>0.0438463</v>
      </c>
      <c r="AB140" s="13">
        <v>0.005</v>
      </c>
    </row>
    <row r="141" ht="14.25" customHeight="1">
      <c r="B141" s="31" t="s">
        <v>225</v>
      </c>
      <c r="C141" s="31" t="s">
        <v>460</v>
      </c>
      <c r="D141" s="31" t="s">
        <v>461</v>
      </c>
      <c r="E141" s="31" t="s">
        <v>464</v>
      </c>
      <c r="F141" s="31" t="s">
        <v>465</v>
      </c>
      <c r="G141" s="21" t="s">
        <v>435</v>
      </c>
      <c r="H141" s="30">
        <v>43641.0</v>
      </c>
      <c r="I141" s="21">
        <v>813.0</v>
      </c>
      <c r="J141" s="21" t="s">
        <v>152</v>
      </c>
      <c r="K141" s="12">
        <f t="shared" si="544"/>
        <v>77.29047924</v>
      </c>
      <c r="L141" s="21">
        <v>0.135</v>
      </c>
      <c r="M141" s="13">
        <f t="shared" si="545"/>
        <v>0.001463017243</v>
      </c>
      <c r="N141" s="13">
        <f t="shared" si="546"/>
        <v>0.001921941887</v>
      </c>
      <c r="O141" s="13">
        <f t="shared" si="547"/>
        <v>0.06421503012</v>
      </c>
      <c r="P141" s="21">
        <v>0.148</v>
      </c>
      <c r="Q141" s="13">
        <f t="shared" si="548"/>
        <v>0.4338853386</v>
      </c>
      <c r="R141" s="13">
        <f t="shared" si="549"/>
        <v>0.001765069187</v>
      </c>
      <c r="S141" s="13">
        <f t="shared" si="550"/>
        <v>0.005047984989</v>
      </c>
      <c r="T141" s="13">
        <f t="shared" si="551"/>
        <v>0.1767788209</v>
      </c>
      <c r="U141" s="13">
        <f t="shared" si="552"/>
        <v>11.8046633</v>
      </c>
      <c r="V141" s="13">
        <f t="shared" si="553"/>
        <v>0.07868522325</v>
      </c>
      <c r="W141" s="13">
        <f t="shared" si="554"/>
        <v>0.8054822701</v>
      </c>
      <c r="X141" s="12">
        <v>1.14</v>
      </c>
      <c r="Y141" s="13">
        <f t="shared" si="555"/>
        <v>0.7066954895</v>
      </c>
      <c r="Z141" s="13">
        <f t="shared" si="556"/>
        <v>0.0716256633</v>
      </c>
      <c r="AA141" s="13">
        <f t="shared" si="557"/>
        <v>0.0438463</v>
      </c>
      <c r="AB141" s="13">
        <v>0.005</v>
      </c>
    </row>
    <row r="142" ht="14.25" customHeight="1">
      <c r="B142" s="31" t="s">
        <v>225</v>
      </c>
      <c r="C142" s="31" t="s">
        <v>460</v>
      </c>
      <c r="D142" s="31" t="s">
        <v>461</v>
      </c>
      <c r="E142" s="31" t="s">
        <v>466</v>
      </c>
      <c r="F142" s="31" t="s">
        <v>467</v>
      </c>
      <c r="G142" s="21" t="s">
        <v>435</v>
      </c>
      <c r="H142" s="30">
        <v>43641.0</v>
      </c>
      <c r="I142" s="21">
        <v>225.8</v>
      </c>
      <c r="J142" s="21" t="s">
        <v>152</v>
      </c>
      <c r="K142" s="12">
        <f t="shared" si="544"/>
        <v>77.29047924</v>
      </c>
      <c r="L142" s="21">
        <v>0.135</v>
      </c>
      <c r="M142" s="13">
        <f t="shared" si="545"/>
        <v>0.001463017243</v>
      </c>
      <c r="N142" s="13">
        <f t="shared" si="546"/>
        <v>0.001921941887</v>
      </c>
      <c r="O142" s="13">
        <f t="shared" si="547"/>
        <v>0.06421503012</v>
      </c>
      <c r="P142" s="21">
        <v>0.148</v>
      </c>
      <c r="Q142" s="13">
        <f t="shared" si="548"/>
        <v>0.4338853386</v>
      </c>
      <c r="R142" s="13">
        <f t="shared" si="549"/>
        <v>0.001765069187</v>
      </c>
      <c r="S142" s="13">
        <f t="shared" si="550"/>
        <v>0.005047984989</v>
      </c>
      <c r="T142" s="13">
        <f t="shared" si="551"/>
        <v>0.1767788209</v>
      </c>
      <c r="U142" s="13">
        <f t="shared" si="552"/>
        <v>11.8046633</v>
      </c>
      <c r="V142" s="13">
        <f t="shared" si="553"/>
        <v>0.07868522325</v>
      </c>
      <c r="W142" s="13">
        <f t="shared" si="554"/>
        <v>0.8054822701</v>
      </c>
      <c r="X142" s="12">
        <v>1.14</v>
      </c>
      <c r="Y142" s="13">
        <f t="shared" si="555"/>
        <v>0.7066954895</v>
      </c>
      <c r="Z142" s="13">
        <f t="shared" si="556"/>
        <v>0.0716256633</v>
      </c>
      <c r="AA142" s="13">
        <f t="shared" si="557"/>
        <v>0.0438463</v>
      </c>
      <c r="AB142" s="13">
        <v>0.005</v>
      </c>
    </row>
    <row r="143" ht="14.25" customHeight="1">
      <c r="B143" s="31" t="s">
        <v>225</v>
      </c>
      <c r="C143" s="31" t="s">
        <v>460</v>
      </c>
      <c r="D143" s="31" t="s">
        <v>461</v>
      </c>
      <c r="E143" s="31" t="s">
        <v>468</v>
      </c>
      <c r="F143" s="31" t="s">
        <v>469</v>
      </c>
      <c r="G143" s="21" t="s">
        <v>435</v>
      </c>
      <c r="H143" s="30">
        <v>43641.0</v>
      </c>
      <c r="I143" s="21">
        <v>271.0</v>
      </c>
      <c r="J143" s="21" t="s">
        <v>152</v>
      </c>
      <c r="K143" s="12">
        <f t="shared" si="544"/>
        <v>77.29047924</v>
      </c>
      <c r="L143" s="21">
        <v>0.135</v>
      </c>
      <c r="M143" s="13">
        <f t="shared" si="545"/>
        <v>0.001463017243</v>
      </c>
      <c r="N143" s="13">
        <f t="shared" si="546"/>
        <v>0.001921941887</v>
      </c>
      <c r="O143" s="13">
        <f t="shared" si="547"/>
        <v>0.06421503012</v>
      </c>
      <c r="P143" s="21">
        <v>0.148</v>
      </c>
      <c r="Q143" s="13">
        <f t="shared" si="548"/>
        <v>0.4338853386</v>
      </c>
      <c r="R143" s="13">
        <f t="shared" si="549"/>
        <v>0.001765069187</v>
      </c>
      <c r="S143" s="13">
        <f t="shared" si="550"/>
        <v>0.005047984989</v>
      </c>
      <c r="T143" s="13">
        <f t="shared" si="551"/>
        <v>0.1767788209</v>
      </c>
      <c r="U143" s="13">
        <f t="shared" si="552"/>
        <v>11.8046633</v>
      </c>
      <c r="V143" s="13">
        <f t="shared" si="553"/>
        <v>0.07868522325</v>
      </c>
      <c r="W143" s="13">
        <f t="shared" si="554"/>
        <v>0.8054822701</v>
      </c>
      <c r="X143" s="12">
        <v>1.14</v>
      </c>
      <c r="Y143" s="13">
        <f t="shared" si="555"/>
        <v>0.7066954895</v>
      </c>
      <c r="Z143" s="13">
        <f t="shared" si="556"/>
        <v>0.0716256633</v>
      </c>
      <c r="AA143" s="13">
        <f t="shared" si="557"/>
        <v>0.0438463</v>
      </c>
      <c r="AB143" s="13">
        <v>0.005</v>
      </c>
    </row>
    <row r="144" ht="14.25" customHeight="1">
      <c r="B144" s="31" t="s">
        <v>225</v>
      </c>
      <c r="C144" s="31" t="s">
        <v>460</v>
      </c>
      <c r="D144" s="31" t="s">
        <v>461</v>
      </c>
      <c r="E144" s="31" t="s">
        <v>470</v>
      </c>
      <c r="F144" s="31" t="s">
        <v>471</v>
      </c>
      <c r="G144" s="21" t="s">
        <v>435</v>
      </c>
      <c r="H144" s="30">
        <v>43641.0</v>
      </c>
      <c r="I144" s="21">
        <v>248.5</v>
      </c>
      <c r="J144" s="21" t="s">
        <v>152</v>
      </c>
      <c r="K144" s="12">
        <f t="shared" si="544"/>
        <v>77.29047924</v>
      </c>
      <c r="L144" s="21">
        <v>0.135</v>
      </c>
      <c r="M144" s="13">
        <f t="shared" si="545"/>
        <v>0.001463017243</v>
      </c>
      <c r="N144" s="13">
        <f t="shared" si="546"/>
        <v>0.001921941887</v>
      </c>
      <c r="O144" s="13">
        <f t="shared" si="547"/>
        <v>0.06421503012</v>
      </c>
      <c r="P144" s="21">
        <v>0.148</v>
      </c>
      <c r="Q144" s="13">
        <f t="shared" si="548"/>
        <v>0.4338853386</v>
      </c>
      <c r="R144" s="13">
        <f t="shared" si="549"/>
        <v>0.001765069187</v>
      </c>
      <c r="S144" s="13">
        <f t="shared" si="550"/>
        <v>0.005047984989</v>
      </c>
      <c r="T144" s="13">
        <f t="shared" si="551"/>
        <v>0.1767788209</v>
      </c>
      <c r="U144" s="13">
        <f t="shared" si="552"/>
        <v>11.8046633</v>
      </c>
      <c r="V144" s="13">
        <f t="shared" si="553"/>
        <v>0.07868522325</v>
      </c>
      <c r="W144" s="13">
        <f t="shared" si="554"/>
        <v>0.8054822701</v>
      </c>
      <c r="X144" s="12">
        <v>1.14</v>
      </c>
      <c r="Y144" s="13">
        <f t="shared" si="555"/>
        <v>0.7066954895</v>
      </c>
      <c r="Z144" s="13">
        <f t="shared" si="556"/>
        <v>0.0716256633</v>
      </c>
      <c r="AA144" s="13">
        <f t="shared" si="557"/>
        <v>0.0438463</v>
      </c>
      <c r="AB144" s="13">
        <v>0.005</v>
      </c>
    </row>
    <row r="145" ht="14.25" customHeight="1">
      <c r="B145" s="31" t="s">
        <v>225</v>
      </c>
      <c r="C145" s="31" t="s">
        <v>460</v>
      </c>
      <c r="D145" s="31" t="s">
        <v>461</v>
      </c>
      <c r="E145" s="31" t="s">
        <v>472</v>
      </c>
      <c r="F145" s="31" t="s">
        <v>473</v>
      </c>
      <c r="G145" s="21" t="s">
        <v>435</v>
      </c>
      <c r="H145" s="30">
        <v>43641.0</v>
      </c>
      <c r="I145" s="21">
        <v>180.7</v>
      </c>
      <c r="J145" s="21" t="s">
        <v>152</v>
      </c>
      <c r="K145" s="12">
        <f t="shared" si="544"/>
        <v>77.29047924</v>
      </c>
      <c r="L145" s="21">
        <v>0.135</v>
      </c>
      <c r="M145" s="13">
        <f t="shared" si="545"/>
        <v>0.001463017243</v>
      </c>
      <c r="N145" s="13">
        <f t="shared" si="546"/>
        <v>0.001921941887</v>
      </c>
      <c r="O145" s="13">
        <f t="shared" si="547"/>
        <v>0.06421503012</v>
      </c>
      <c r="P145" s="21">
        <v>0.148</v>
      </c>
      <c r="Q145" s="13">
        <f t="shared" si="548"/>
        <v>0.4338853386</v>
      </c>
      <c r="R145" s="13">
        <f t="shared" si="549"/>
        <v>0.001765069187</v>
      </c>
      <c r="S145" s="13">
        <f t="shared" si="550"/>
        <v>0.005047984989</v>
      </c>
      <c r="T145" s="13">
        <f t="shared" si="551"/>
        <v>0.1767788209</v>
      </c>
      <c r="U145" s="13">
        <f t="shared" si="552"/>
        <v>11.8046633</v>
      </c>
      <c r="V145" s="13">
        <f t="shared" si="553"/>
        <v>0.07868522325</v>
      </c>
      <c r="W145" s="13">
        <f t="shared" si="554"/>
        <v>0.8054822701</v>
      </c>
      <c r="X145" s="12">
        <v>1.14</v>
      </c>
      <c r="Y145" s="13">
        <f t="shared" si="555"/>
        <v>0.7066954895</v>
      </c>
      <c r="Z145" s="13">
        <f t="shared" si="556"/>
        <v>0.0716256633</v>
      </c>
      <c r="AA145" s="13">
        <f t="shared" si="557"/>
        <v>0.0438463</v>
      </c>
      <c r="AB145" s="13">
        <v>0.005</v>
      </c>
    </row>
    <row r="146" ht="14.25" customHeight="1">
      <c r="B146" s="31" t="s">
        <v>225</v>
      </c>
      <c r="C146" s="31" t="s">
        <v>474</v>
      </c>
      <c r="D146" s="31" t="s">
        <v>475</v>
      </c>
      <c r="E146" s="31" t="s">
        <v>476</v>
      </c>
      <c r="F146" s="31" t="s">
        <v>477</v>
      </c>
      <c r="G146" s="21" t="s">
        <v>478</v>
      </c>
      <c r="H146" s="30">
        <v>39871.0</v>
      </c>
      <c r="I146" s="32">
        <v>1559.5</v>
      </c>
      <c r="J146" s="21" t="s">
        <v>479</v>
      </c>
      <c r="K146" s="12">
        <f t="shared" ref="K146:K147" si="558">(0.004+0.09943156637)/0.002872281323269</f>
        <v>36.01024925</v>
      </c>
      <c r="L146" s="21">
        <v>0.046</v>
      </c>
      <c r="M146" s="13">
        <f t="shared" ref="M146:M147" si="559">430.3/109728.5</f>
        <v>0.00392149715</v>
      </c>
      <c r="N146" s="13">
        <f t="shared" ref="N146:N147" si="560">430.3/49623.3</f>
        <v>0.008671329799</v>
      </c>
      <c r="O146" s="13">
        <f t="shared" ref="O146:O147" si="561">6750.4/121843.6</f>
        <v>0.05540217131</v>
      </c>
      <c r="P146" s="13">
        <v>0.078</v>
      </c>
      <c r="Q146" s="13">
        <f t="shared" ref="Q146:Q147" si="562">(6750.4/0.078)/121843.6</f>
        <v>0.7102842475</v>
      </c>
      <c r="R146" s="13">
        <v>0.001479460724</v>
      </c>
      <c r="S146" s="13">
        <f t="shared" ref="S146:S147" si="563">600.8/121843.6</f>
        <v>0.004930911431</v>
      </c>
      <c r="T146" s="13">
        <f t="shared" ref="T146:T147" si="564">10852.6/121843.6</f>
        <v>0.08906992243</v>
      </c>
      <c r="U146" s="13">
        <f t="shared" ref="U146:U147" si="565">ln(121843.6)</f>
        <v>11.71049353</v>
      </c>
      <c r="V146" s="13">
        <f t="shared" ref="V146:V147" si="566">2589.3/121843.6</f>
        <v>0.02125101359</v>
      </c>
      <c r="W146" s="13">
        <f t="shared" ref="W146:W147" si="567">100721.3/121843.6</f>
        <v>0.8266441569</v>
      </c>
      <c r="X146" s="13">
        <v>2.03</v>
      </c>
      <c r="Y146" s="13">
        <f t="shared" ref="Y146:Y147" si="568">49623.3/121843.6</f>
        <v>0.407270468</v>
      </c>
      <c r="Z146" s="13">
        <f t="shared" ref="Z146:Z147" si="569">12115.1/121843.6</f>
        <v>0.09943156637</v>
      </c>
      <c r="AA146" s="13">
        <f t="shared" ref="AA146:AA147" si="570">122479/2561280</f>
        <v>0.04781944965</v>
      </c>
      <c r="AB146" s="13">
        <v>-0.053</v>
      </c>
    </row>
    <row r="147" ht="14.25" customHeight="1">
      <c r="B147" s="31" t="s">
        <v>225</v>
      </c>
      <c r="C147" s="31" t="s">
        <v>474</v>
      </c>
      <c r="D147" s="31" t="s">
        <v>475</v>
      </c>
      <c r="E147" s="31" t="s">
        <v>480</v>
      </c>
      <c r="F147" s="31" t="s">
        <v>481</v>
      </c>
      <c r="G147" s="21" t="s">
        <v>478</v>
      </c>
      <c r="H147" s="30">
        <v>39871.0</v>
      </c>
      <c r="I147" s="21">
        <v>519.85</v>
      </c>
      <c r="J147" s="21" t="s">
        <v>479</v>
      </c>
      <c r="K147" s="12">
        <f t="shared" si="558"/>
        <v>36.01024925</v>
      </c>
      <c r="L147" s="21">
        <v>0.046</v>
      </c>
      <c r="M147" s="13">
        <f t="shared" si="559"/>
        <v>0.00392149715</v>
      </c>
      <c r="N147" s="13">
        <f t="shared" si="560"/>
        <v>0.008671329799</v>
      </c>
      <c r="O147" s="13">
        <f t="shared" si="561"/>
        <v>0.05540217131</v>
      </c>
      <c r="P147" s="13">
        <v>0.078</v>
      </c>
      <c r="Q147" s="13">
        <f t="shared" si="562"/>
        <v>0.7102842475</v>
      </c>
      <c r="R147" s="13">
        <v>0.001479460724</v>
      </c>
      <c r="S147" s="13">
        <f t="shared" si="563"/>
        <v>0.004930911431</v>
      </c>
      <c r="T147" s="13">
        <f t="shared" si="564"/>
        <v>0.08906992243</v>
      </c>
      <c r="U147" s="13">
        <f t="shared" si="565"/>
        <v>11.71049353</v>
      </c>
      <c r="V147" s="13">
        <f t="shared" si="566"/>
        <v>0.02125101359</v>
      </c>
      <c r="W147" s="13">
        <f t="shared" si="567"/>
        <v>0.8266441569</v>
      </c>
      <c r="X147" s="13">
        <v>2.03</v>
      </c>
      <c r="Y147" s="13">
        <f t="shared" si="568"/>
        <v>0.407270468</v>
      </c>
      <c r="Z147" s="13">
        <f t="shared" si="569"/>
        <v>0.09943156637</v>
      </c>
      <c r="AA147" s="13">
        <f t="shared" si="570"/>
        <v>0.04781944965</v>
      </c>
      <c r="AB147" s="13">
        <v>-0.053</v>
      </c>
    </row>
    <row r="148" ht="14.25" customHeight="1">
      <c r="B148" s="31" t="s">
        <v>225</v>
      </c>
      <c r="C148" s="31" t="s">
        <v>482</v>
      </c>
      <c r="D148" s="31" t="s">
        <v>483</v>
      </c>
      <c r="E148" s="31" t="s">
        <v>484</v>
      </c>
      <c r="F148" s="31" t="s">
        <v>485</v>
      </c>
      <c r="G148" s="21" t="s">
        <v>478</v>
      </c>
      <c r="H148" s="30">
        <v>40746.0</v>
      </c>
      <c r="I148" s="32">
        <v>1863.6</v>
      </c>
      <c r="J148" s="21" t="s">
        <v>486</v>
      </c>
      <c r="K148" s="12">
        <f t="shared" ref="K148:K149" si="571">(0.063+0.07579059765)/0.033115957885386</f>
        <v>4.191048863</v>
      </c>
      <c r="L148" s="21">
        <v>0.084</v>
      </c>
      <c r="M148" s="13">
        <f t="shared" ref="M148:M149" si="572">539.3/119965.7</f>
        <v>0.004495451617</v>
      </c>
      <c r="N148" s="13">
        <f t="shared" ref="N148:N149" si="573">539.3/50083</f>
        <v>0.01076812491</v>
      </c>
      <c r="O148" s="13">
        <f t="shared" ref="O148:O149" si="574">8276.3/129803.7</f>
        <v>0.06376012394</v>
      </c>
      <c r="P148" s="13">
        <v>0.091</v>
      </c>
      <c r="Q148" s="13">
        <f t="shared" ref="Q148:Q149" si="575">(8276.3/0.091)/129803.7</f>
        <v>0.7006607026</v>
      </c>
      <c r="R148" s="13">
        <v>0.001479460724</v>
      </c>
      <c r="S148" s="13">
        <f t="shared" ref="S148:S149" si="576">625.8/129803.7</f>
        <v>0.004821126054</v>
      </c>
      <c r="T148" s="13">
        <f t="shared" ref="T148:T149" si="577">16243.5/129803.7</f>
        <v>0.1251389598</v>
      </c>
      <c r="U148" s="13">
        <f t="shared" ref="U148:U149" si="578">ln(129803.7)</f>
        <v>11.77377859</v>
      </c>
      <c r="V148" s="13">
        <f t="shared" ref="V148:V149" si="579">4667.8/129803.7</f>
        <v>0.03596045413</v>
      </c>
      <c r="W148" s="13">
        <f t="shared" ref="W148:W149" si="580">102504.7/129803.7</f>
        <v>0.7896901244</v>
      </c>
      <c r="X148" s="13">
        <v>2.047</v>
      </c>
      <c r="Y148" s="13">
        <f t="shared" ref="Y148:Y149" si="581">50083/129803.7</f>
        <v>0.3858364592</v>
      </c>
      <c r="Z148" s="13">
        <f t="shared" ref="Z148:Z149" si="582">9837.9/129803.7</f>
        <v>0.07579059765</v>
      </c>
      <c r="AA148" s="13">
        <f t="shared" ref="AA148:AA149" si="583">133628.4/2840000</f>
        <v>0.04705225352</v>
      </c>
      <c r="AB148" s="13">
        <v>0.007</v>
      </c>
    </row>
    <row r="149" ht="14.25" customHeight="1">
      <c r="B149" s="31" t="s">
        <v>225</v>
      </c>
      <c r="C149" s="31" t="s">
        <v>482</v>
      </c>
      <c r="D149" s="31" t="s">
        <v>483</v>
      </c>
      <c r="E149" s="31" t="s">
        <v>487</v>
      </c>
      <c r="F149" s="31" t="s">
        <v>488</v>
      </c>
      <c r="G149" s="21" t="s">
        <v>478</v>
      </c>
      <c r="H149" s="30">
        <v>40746.0</v>
      </c>
      <c r="I149" s="21">
        <v>897.3</v>
      </c>
      <c r="J149" s="21" t="s">
        <v>486</v>
      </c>
      <c r="K149" s="12">
        <f t="shared" si="571"/>
        <v>4.191048863</v>
      </c>
      <c r="L149" s="21">
        <v>0.084</v>
      </c>
      <c r="M149" s="13">
        <f t="shared" si="572"/>
        <v>0.004495451617</v>
      </c>
      <c r="N149" s="13">
        <f t="shared" si="573"/>
        <v>0.01076812491</v>
      </c>
      <c r="O149" s="13">
        <f t="shared" si="574"/>
        <v>0.06376012394</v>
      </c>
      <c r="P149" s="13">
        <v>0.091</v>
      </c>
      <c r="Q149" s="13">
        <f t="shared" si="575"/>
        <v>0.7006607026</v>
      </c>
      <c r="R149" s="13">
        <v>0.001479460724</v>
      </c>
      <c r="S149" s="13">
        <f t="shared" si="576"/>
        <v>0.004821126054</v>
      </c>
      <c r="T149" s="13">
        <f t="shared" si="577"/>
        <v>0.1251389598</v>
      </c>
      <c r="U149" s="13">
        <f t="shared" si="578"/>
        <v>11.77377859</v>
      </c>
      <c r="V149" s="13">
        <f t="shared" si="579"/>
        <v>0.03596045413</v>
      </c>
      <c r="W149" s="13">
        <f t="shared" si="580"/>
        <v>0.7896901244</v>
      </c>
      <c r="X149" s="13">
        <v>2.047</v>
      </c>
      <c r="Y149" s="13">
        <f t="shared" si="581"/>
        <v>0.3858364592</v>
      </c>
      <c r="Z149" s="13">
        <f t="shared" si="582"/>
        <v>0.07579059765</v>
      </c>
      <c r="AA149" s="13">
        <f t="shared" si="583"/>
        <v>0.04705225352</v>
      </c>
      <c r="AB149" s="13">
        <v>0.007</v>
      </c>
    </row>
    <row r="150" ht="14.25" customHeight="1">
      <c r="B150" s="31" t="s">
        <v>225</v>
      </c>
      <c r="C150" s="31" t="s">
        <v>489</v>
      </c>
      <c r="D150" s="31" t="s">
        <v>490</v>
      </c>
      <c r="E150" s="31" t="s">
        <v>491</v>
      </c>
      <c r="F150" s="31" t="s">
        <v>492</v>
      </c>
      <c r="G150" s="21" t="s">
        <v>478</v>
      </c>
      <c r="H150" s="30">
        <v>41212.0</v>
      </c>
      <c r="I150" s="21">
        <v>709.8</v>
      </c>
      <c r="J150" s="21" t="s">
        <v>339</v>
      </c>
      <c r="K150" s="12">
        <f t="shared" ref="K150:K151" si="584">(0.001+0.08)/0.0012583057392118</f>
        <v>64.37227255</v>
      </c>
      <c r="L150" s="21">
        <v>0.116</v>
      </c>
      <c r="M150" s="13">
        <f t="shared" ref="M150:M151" si="585">376.05/119847.1</f>
        <v>0.003137748014</v>
      </c>
      <c r="N150" s="13">
        <f t="shared" ref="N150:N151" si="586">376.05/50421.2</f>
        <v>0.007458172356</v>
      </c>
      <c r="O150" s="13">
        <f t="shared" ref="O150:O151" si="587">8163.9/130395.9</f>
        <v>0.06260856361</v>
      </c>
      <c r="P150" s="13">
        <v>0.11</v>
      </c>
      <c r="Q150" s="13">
        <f t="shared" ref="Q150:Q151" si="588">(8163.9/0.11)/130395.9</f>
        <v>0.5691687601</v>
      </c>
      <c r="R150" s="13">
        <v>0.001479460724</v>
      </c>
      <c r="S150" s="13">
        <f t="shared" ref="S150:S151" si="589">488/(130395.9)</f>
        <v>0.003742448957</v>
      </c>
      <c r="T150" s="13">
        <f t="shared" ref="T150:T151" si="590">25038.4/(130395.9)</f>
        <v>0.1920183073</v>
      </c>
      <c r="U150" s="13">
        <f t="shared" ref="U150:U151" si="591">ln(130395.9)</f>
        <v>11.77833049</v>
      </c>
      <c r="V150" s="13">
        <f t="shared" ref="V150:V151" si="592">5533.3/(130395.9)</f>
        <v>0.04243461643</v>
      </c>
      <c r="W150" s="13">
        <f t="shared" ref="W150:W151" si="593">98956.5/(130395.9)</f>
        <v>0.7588927259</v>
      </c>
      <c r="X150" s="12">
        <v>1.963</v>
      </c>
      <c r="Y150" s="13">
        <f t="shared" ref="Y150:Y151" si="594">50421.2/(130395.9)</f>
        <v>0.386677802</v>
      </c>
      <c r="Z150" s="13">
        <f t="shared" ref="Z150:Z151" si="595">10548.7/(130395.9)</f>
        <v>0.08089748221</v>
      </c>
      <c r="AA150" s="13">
        <f t="shared" ref="AA150:AA151" si="596">132433.7/2700000</f>
        <v>0.04904951852</v>
      </c>
      <c r="AB150" s="13">
        <v>-0.03</v>
      </c>
    </row>
    <row r="151" ht="14.25" customHeight="1">
      <c r="B151" s="31" t="s">
        <v>225</v>
      </c>
      <c r="C151" s="31" t="s">
        <v>489</v>
      </c>
      <c r="D151" s="31" t="s">
        <v>490</v>
      </c>
      <c r="E151" s="31" t="s">
        <v>493</v>
      </c>
      <c r="F151" s="31" t="s">
        <v>494</v>
      </c>
      <c r="G151" s="21" t="s">
        <v>478</v>
      </c>
      <c r="H151" s="30">
        <v>41212.0</v>
      </c>
      <c r="I151" s="21">
        <v>307.8</v>
      </c>
      <c r="J151" s="21" t="s">
        <v>339</v>
      </c>
      <c r="K151" s="12">
        <f t="shared" si="584"/>
        <v>64.37227255</v>
      </c>
      <c r="L151" s="21">
        <v>0.116</v>
      </c>
      <c r="M151" s="13">
        <f t="shared" si="585"/>
        <v>0.003137748014</v>
      </c>
      <c r="N151" s="13">
        <f t="shared" si="586"/>
        <v>0.007458172356</v>
      </c>
      <c r="O151" s="13">
        <f t="shared" si="587"/>
        <v>0.06260856361</v>
      </c>
      <c r="P151" s="13">
        <v>0.11</v>
      </c>
      <c r="Q151" s="13">
        <f t="shared" si="588"/>
        <v>0.5691687601</v>
      </c>
      <c r="R151" s="13">
        <v>0.001479460724</v>
      </c>
      <c r="S151" s="13">
        <f t="shared" si="589"/>
        <v>0.003742448957</v>
      </c>
      <c r="T151" s="13">
        <f t="shared" si="590"/>
        <v>0.1920183073</v>
      </c>
      <c r="U151" s="13">
        <f t="shared" si="591"/>
        <v>11.77833049</v>
      </c>
      <c r="V151" s="13">
        <f t="shared" si="592"/>
        <v>0.04243461643</v>
      </c>
      <c r="W151" s="13">
        <f t="shared" si="593"/>
        <v>0.7588927259</v>
      </c>
      <c r="X151" s="12">
        <v>1.963</v>
      </c>
      <c r="Y151" s="13">
        <f t="shared" si="594"/>
        <v>0.386677802</v>
      </c>
      <c r="Z151" s="13">
        <f t="shared" si="595"/>
        <v>0.08089748221</v>
      </c>
      <c r="AA151" s="13">
        <f t="shared" si="596"/>
        <v>0.04904951852</v>
      </c>
      <c r="AB151" s="13">
        <v>-0.03</v>
      </c>
    </row>
    <row r="152" ht="14.25" customHeight="1">
      <c r="B152" s="31" t="s">
        <v>225</v>
      </c>
      <c r="C152" s="31" t="s">
        <v>495</v>
      </c>
      <c r="D152" s="31" t="s">
        <v>496</v>
      </c>
      <c r="E152" s="31" t="s">
        <v>497</v>
      </c>
      <c r="F152" s="31" t="s">
        <v>498</v>
      </c>
      <c r="G152" s="21" t="s">
        <v>499</v>
      </c>
      <c r="H152" s="30">
        <v>44406.0</v>
      </c>
      <c r="I152" s="21">
        <v>980.0</v>
      </c>
      <c r="J152" s="21" t="s">
        <v>220</v>
      </c>
      <c r="K152" s="12">
        <f t="shared" ref="K152:K153" si="597">(0.005+0.05996264475)/0.0012583057392118</f>
        <v>51.62707498</v>
      </c>
      <c r="L152" s="21">
        <v>0.038</v>
      </c>
      <c r="M152" s="13">
        <f t="shared" ref="M152:M153" si="598">4.575/6291.2</f>
        <v>0.0007272062564</v>
      </c>
      <c r="N152" s="13">
        <f t="shared" ref="N152:N153" si="599">4.575/4674.8</f>
        <v>0.0009786514931</v>
      </c>
      <c r="O152" s="13">
        <f t="shared" ref="O152:O153" si="600">388.2/6692.5</f>
        <v>0.05800522973</v>
      </c>
      <c r="P152" s="21">
        <v>0.153</v>
      </c>
      <c r="Q152" s="13">
        <f t="shared" ref="Q152:Q153" si="601">(388.2/0.153)/6692.5</f>
        <v>0.3791191486</v>
      </c>
      <c r="R152" s="13">
        <v>9.004176405E-4</v>
      </c>
      <c r="S152" s="13">
        <f t="shared" ref="S152:S153" si="602">31.8/6692.5</f>
        <v>0.004751587598</v>
      </c>
      <c r="T152" s="13">
        <f t="shared" ref="T152:T153" si="603">869.3/6692.5</f>
        <v>0.1298916698</v>
      </c>
      <c r="U152" s="13">
        <f t="shared" ref="U152:U153" si="604">ln(6692.5)</f>
        <v>8.808742775</v>
      </c>
      <c r="V152" s="13">
        <f t="shared" ref="V152:V153" si="605">14.6/6692.5</f>
        <v>0.002181546507</v>
      </c>
      <c r="W152" s="13">
        <f t="shared" ref="W152:W153" si="606">5219.8/6692.5</f>
        <v>0.7799477027</v>
      </c>
      <c r="X152" s="13">
        <v>1.117</v>
      </c>
      <c r="Y152" s="13">
        <f t="shared" ref="Y152:Y153" si="607">4674.8/6692.5</f>
        <v>0.6985132611</v>
      </c>
      <c r="Z152" s="13">
        <f t="shared" ref="Z152:Z153" si="608">401.3/6692.5</f>
        <v>0.05996264475</v>
      </c>
      <c r="AA152" s="13">
        <f t="shared" ref="AA152:AA153" si="609">6692.5/3278050</f>
        <v>0.002041610104</v>
      </c>
      <c r="AB152" s="13">
        <v>0.067</v>
      </c>
    </row>
    <row r="153" ht="14.25" customHeight="1">
      <c r="B153" s="31" t="s">
        <v>225</v>
      </c>
      <c r="C153" s="31" t="s">
        <v>495</v>
      </c>
      <c r="D153" s="31" t="s">
        <v>496</v>
      </c>
      <c r="E153" s="31" t="s">
        <v>500</v>
      </c>
      <c r="F153" s="31" t="s">
        <v>501</v>
      </c>
      <c r="G153" s="21" t="s">
        <v>499</v>
      </c>
      <c r="H153" s="30">
        <v>44406.0</v>
      </c>
      <c r="I153" s="21">
        <v>420.0</v>
      </c>
      <c r="J153" s="21" t="s">
        <v>220</v>
      </c>
      <c r="K153" s="12">
        <f t="shared" si="597"/>
        <v>51.62707498</v>
      </c>
      <c r="L153" s="21">
        <v>0.038</v>
      </c>
      <c r="M153" s="13">
        <f t="shared" si="598"/>
        <v>0.0007272062564</v>
      </c>
      <c r="N153" s="13">
        <f t="shared" si="599"/>
        <v>0.0009786514931</v>
      </c>
      <c r="O153" s="13">
        <f t="shared" si="600"/>
        <v>0.05800522973</v>
      </c>
      <c r="P153" s="21">
        <v>0.153</v>
      </c>
      <c r="Q153" s="13">
        <f t="shared" si="601"/>
        <v>0.3791191486</v>
      </c>
      <c r="R153" s="13">
        <v>9.004176405E-4</v>
      </c>
      <c r="S153" s="13">
        <f t="shared" si="602"/>
        <v>0.004751587598</v>
      </c>
      <c r="T153" s="13">
        <f t="shared" si="603"/>
        <v>0.1298916698</v>
      </c>
      <c r="U153" s="13">
        <f t="shared" si="604"/>
        <v>8.808742775</v>
      </c>
      <c r="V153" s="13">
        <f t="shared" si="605"/>
        <v>0.002181546507</v>
      </c>
      <c r="W153" s="13">
        <f t="shared" si="606"/>
        <v>0.7799477027</v>
      </c>
      <c r="X153" s="13">
        <v>1.117</v>
      </c>
      <c r="Y153" s="13">
        <f t="shared" si="607"/>
        <v>0.6985132611</v>
      </c>
      <c r="Z153" s="13">
        <f t="shared" si="608"/>
        <v>0.05996264475</v>
      </c>
      <c r="AA153" s="13">
        <f t="shared" si="609"/>
        <v>0.002041610104</v>
      </c>
      <c r="AB153" s="13">
        <v>0.067</v>
      </c>
    </row>
    <row r="154" ht="14.25" customHeight="1">
      <c r="B154" s="31" t="s">
        <v>225</v>
      </c>
      <c r="C154" s="31" t="s">
        <v>502</v>
      </c>
      <c r="D154" s="31" t="s">
        <v>503</v>
      </c>
      <c r="E154" s="31" t="s">
        <v>504</v>
      </c>
      <c r="F154" s="31" t="s">
        <v>505</v>
      </c>
      <c r="G154" s="21" t="s">
        <v>499</v>
      </c>
      <c r="H154" s="30">
        <v>43665.0</v>
      </c>
      <c r="I154" s="21">
        <v>542.2</v>
      </c>
      <c r="J154" s="21" t="s">
        <v>506</v>
      </c>
      <c r="K154" s="12">
        <f t="shared" ref="K154:K155" si="610">(0.005+0.0674605491)/0.0015275252316519</f>
        <v>47.43656445</v>
      </c>
      <c r="L154" s="21">
        <v>0.069</v>
      </c>
      <c r="M154" s="13">
        <f t="shared" ref="M154:M155" si="611">5.6/4792.6</f>
        <v>0.001168468055</v>
      </c>
      <c r="N154" s="13">
        <f t="shared" ref="N154:N155" si="612">5.6/3570.8</f>
        <v>0.001568276017</v>
      </c>
      <c r="O154" s="13">
        <f t="shared" ref="O154:O155" si="613">367.5/5139.3</f>
        <v>0.07150779289</v>
      </c>
      <c r="P154" s="21">
        <v>0.144</v>
      </c>
      <c r="Q154" s="13">
        <f t="shared" ref="Q154:Q155" si="614">(367.5/0.144)/5139.3</f>
        <v>0.4965818951</v>
      </c>
      <c r="R154" s="13">
        <v>9.004176405E-4</v>
      </c>
      <c r="S154" s="13">
        <f t="shared" ref="S154:S155" si="615">19/5139.3</f>
        <v>0.003697001537</v>
      </c>
      <c r="T154" s="13">
        <f t="shared" ref="T154:T155" si="616">674/5139.3</f>
        <v>0.1311462651</v>
      </c>
      <c r="U154" s="13">
        <f t="shared" ref="U154:U155" si="617">ln(5139.3)</f>
        <v>8.544672162</v>
      </c>
      <c r="V154" s="13">
        <f t="shared" ref="V154:V155" si="618">12.1/5139.3</f>
        <v>0.002354406242</v>
      </c>
      <c r="W154" s="13">
        <f t="shared" ref="W154:W155" si="619">4412.3/5139.3</f>
        <v>0.8585410464</v>
      </c>
      <c r="X154" s="13">
        <v>1.236</v>
      </c>
      <c r="Y154" s="13">
        <f t="shared" ref="Y154:Y155" si="620">3570.8/5139.3</f>
        <v>0.6948027942</v>
      </c>
      <c r="Z154" s="13">
        <f t="shared" ref="Z154:Z155" si="621">346.7/5139.3</f>
        <v>0.0674605491</v>
      </c>
      <c r="AA154" s="13">
        <f t="shared" ref="AA154:AA155" si="622">5139.3/3080000</f>
        <v>0.001668603896</v>
      </c>
      <c r="AB154" s="13">
        <v>0.005</v>
      </c>
    </row>
    <row r="155" ht="14.25" customHeight="1">
      <c r="B155" s="31" t="s">
        <v>225</v>
      </c>
      <c r="C155" s="31" t="s">
        <v>502</v>
      </c>
      <c r="D155" s="31" t="s">
        <v>503</v>
      </c>
      <c r="E155" s="31" t="s">
        <v>507</v>
      </c>
      <c r="F155" s="31" t="s">
        <v>508</v>
      </c>
      <c r="G155" s="21" t="s">
        <v>499</v>
      </c>
      <c r="H155" s="30">
        <v>43665.0</v>
      </c>
      <c r="I155" s="21">
        <v>318.3</v>
      </c>
      <c r="J155" s="21" t="s">
        <v>506</v>
      </c>
      <c r="K155" s="12">
        <f t="shared" si="610"/>
        <v>47.43656445</v>
      </c>
      <c r="L155" s="21">
        <v>0.069</v>
      </c>
      <c r="M155" s="13">
        <f t="shared" si="611"/>
        <v>0.001168468055</v>
      </c>
      <c r="N155" s="13">
        <f t="shared" si="612"/>
        <v>0.001568276017</v>
      </c>
      <c r="O155" s="13">
        <f t="shared" si="613"/>
        <v>0.07150779289</v>
      </c>
      <c r="P155" s="21">
        <v>0.144</v>
      </c>
      <c r="Q155" s="13">
        <f t="shared" si="614"/>
        <v>0.4965818951</v>
      </c>
      <c r="R155" s="13">
        <v>9.004176405E-4</v>
      </c>
      <c r="S155" s="13">
        <f t="shared" si="615"/>
        <v>0.003697001537</v>
      </c>
      <c r="T155" s="13">
        <f t="shared" si="616"/>
        <v>0.1311462651</v>
      </c>
      <c r="U155" s="13">
        <f t="shared" si="617"/>
        <v>8.544672162</v>
      </c>
      <c r="V155" s="13">
        <f t="shared" si="618"/>
        <v>0.002354406242</v>
      </c>
      <c r="W155" s="13">
        <f t="shared" si="619"/>
        <v>0.8585410464</v>
      </c>
      <c r="X155" s="13">
        <v>1.236</v>
      </c>
      <c r="Y155" s="13">
        <f t="shared" si="620"/>
        <v>0.6948027942</v>
      </c>
      <c r="Z155" s="13">
        <f t="shared" si="621"/>
        <v>0.0674605491</v>
      </c>
      <c r="AA155" s="13">
        <f t="shared" si="622"/>
        <v>0.001668603896</v>
      </c>
      <c r="AB155" s="13">
        <v>0.005</v>
      </c>
    </row>
    <row r="156" ht="14.25" customHeight="1">
      <c r="B156" s="31" t="s">
        <v>225</v>
      </c>
      <c r="C156" s="31" t="s">
        <v>509</v>
      </c>
      <c r="D156" s="31" t="s">
        <v>510</v>
      </c>
      <c r="E156" s="31" t="s">
        <v>511</v>
      </c>
      <c r="F156" s="31" t="s">
        <v>512</v>
      </c>
      <c r="G156" s="21" t="s">
        <v>513</v>
      </c>
      <c r="H156" s="30">
        <v>41117.0</v>
      </c>
      <c r="I156" s="21">
        <v>443.0</v>
      </c>
      <c r="J156" s="21" t="s">
        <v>49</v>
      </c>
      <c r="K156" s="28">
        <f t="shared" ref="K156:K157" si="623">(0.003+0.104)/0.001</f>
        <v>107</v>
      </c>
      <c r="L156" s="21">
        <v>0.091</v>
      </c>
      <c r="M156" s="13">
        <f t="shared" ref="M156:M157" si="624">17.1/5328.4</f>
        <v>0.003209218527</v>
      </c>
      <c r="N156" s="13">
        <f t="shared" ref="N156:N157" si="625">17.1/2750.3        </f>
        <v>0.006217503545</v>
      </c>
      <c r="O156" s="13">
        <f t="shared" ref="O156:O157" si="626">487.6/5947.4</f>
        <v>0.08198540539</v>
      </c>
      <c r="P156" s="21">
        <v>0.107</v>
      </c>
      <c r="Q156" s="13">
        <f t="shared" ref="Q156:Q157" si="627">(487.6/0.107)/5947.4</f>
        <v>0.7662187419</v>
      </c>
      <c r="R156" s="13">
        <v>0.002007329426</v>
      </c>
      <c r="S156" s="13">
        <f t="shared" ref="S156:S157" si="628">49.7/5947.4</f>
        <v>0.008356592797</v>
      </c>
      <c r="T156" s="13">
        <f t="shared" ref="T156:T157" si="629">622.1/5947.4</f>
        <v>0.1046003296</v>
      </c>
      <c r="U156" s="13">
        <f t="shared" ref="U156:U157" si="630">ln(5947.4)</f>
        <v>8.690709428</v>
      </c>
      <c r="V156" s="13">
        <f t="shared" ref="V156:V157" si="631">104.2/5947.4</f>
        <v>0.01752026095</v>
      </c>
      <c r="W156" s="13">
        <f t="shared" ref="W156:W157" si="632">5152.3/5947.4</f>
        <v>0.8663113293</v>
      </c>
      <c r="X156" s="12">
        <v>1.873</v>
      </c>
      <c r="Y156" s="13">
        <f t="shared" ref="Y156:Y157" si="633">2750.3/5947.4</f>
        <v>0.4624373676</v>
      </c>
      <c r="Z156" s="13">
        <f t="shared" ref="Z156:Z157" si="634">619.1/5947.4</f>
        <v>0.1040959075</v>
      </c>
      <c r="AA156" s="13">
        <f t="shared" ref="AA156:AA157" si="635">5947.4/2700000</f>
        <v>0.002202740741</v>
      </c>
      <c r="AB156" s="13">
        <v>-0.03</v>
      </c>
    </row>
    <row r="157" ht="14.25" customHeight="1">
      <c r="B157" s="31" t="s">
        <v>225</v>
      </c>
      <c r="C157" s="31" t="s">
        <v>509</v>
      </c>
      <c r="D157" s="31" t="s">
        <v>510</v>
      </c>
      <c r="E157" s="31" t="s">
        <v>514</v>
      </c>
      <c r="F157" s="31" t="s">
        <v>515</v>
      </c>
      <c r="G157" s="21" t="s">
        <v>513</v>
      </c>
      <c r="H157" s="30">
        <v>41117.0</v>
      </c>
      <c r="I157" s="21">
        <v>170.4</v>
      </c>
      <c r="J157" s="21" t="s">
        <v>49</v>
      </c>
      <c r="K157" s="28">
        <f t="shared" si="623"/>
        <v>107</v>
      </c>
      <c r="L157" s="21">
        <v>0.091</v>
      </c>
      <c r="M157" s="13">
        <f t="shared" si="624"/>
        <v>0.003209218527</v>
      </c>
      <c r="N157" s="13">
        <f t="shared" si="625"/>
        <v>0.006217503545</v>
      </c>
      <c r="O157" s="13">
        <f t="shared" si="626"/>
        <v>0.08198540539</v>
      </c>
      <c r="P157" s="21">
        <v>0.107</v>
      </c>
      <c r="Q157" s="13">
        <f t="shared" si="627"/>
        <v>0.7662187419</v>
      </c>
      <c r="R157" s="13">
        <v>0.002007329426</v>
      </c>
      <c r="S157" s="13">
        <f t="shared" si="628"/>
        <v>0.008356592797</v>
      </c>
      <c r="T157" s="13">
        <f t="shared" si="629"/>
        <v>0.1046003296</v>
      </c>
      <c r="U157" s="13">
        <f t="shared" si="630"/>
        <v>8.690709428</v>
      </c>
      <c r="V157" s="13">
        <f t="shared" si="631"/>
        <v>0.01752026095</v>
      </c>
      <c r="W157" s="13">
        <f t="shared" si="632"/>
        <v>0.8663113293</v>
      </c>
      <c r="X157" s="12">
        <v>1.873</v>
      </c>
      <c r="Y157" s="13">
        <f t="shared" si="633"/>
        <v>0.4624373676</v>
      </c>
      <c r="Z157" s="13">
        <f t="shared" si="634"/>
        <v>0.1040959075</v>
      </c>
      <c r="AA157" s="13">
        <f t="shared" si="635"/>
        <v>0.002202740741</v>
      </c>
      <c r="AB157" s="13">
        <v>-0.03</v>
      </c>
    </row>
    <row r="158" ht="14.25" customHeight="1">
      <c r="B158" s="31" t="s">
        <v>225</v>
      </c>
      <c r="C158" s="31" t="s">
        <v>516</v>
      </c>
      <c r="D158" s="31" t="s">
        <v>517</v>
      </c>
      <c r="E158" s="31" t="s">
        <v>518</v>
      </c>
      <c r="F158" s="31" t="s">
        <v>519</v>
      </c>
      <c r="G158" s="21" t="s">
        <v>513</v>
      </c>
      <c r="H158" s="30">
        <v>42660.0</v>
      </c>
      <c r="I158" s="21">
        <v>100.0</v>
      </c>
      <c r="J158" s="21" t="s">
        <v>132</v>
      </c>
      <c r="K158" s="12">
        <f t="shared" ref="K158:K161" si="636">(0.002+0.09223795083)/0.0031091263510296</f>
        <v>30.3101065</v>
      </c>
      <c r="L158" s="21">
        <v>0.079</v>
      </c>
      <c r="M158" s="13">
        <f t="shared" ref="M158:M161" si="637">7.2/8650.6</f>
        <v>0.0008323122096</v>
      </c>
      <c r="N158" s="13">
        <f t="shared" ref="N158:N161" si="638">7.2/5946.9</f>
        <v>0.001210714826</v>
      </c>
      <c r="O158" s="13">
        <v>0.0764</v>
      </c>
      <c r="P158" s="13">
        <v>0.11</v>
      </c>
      <c r="Q158" s="13">
        <v>0.69655</v>
      </c>
      <c r="R158" s="13">
        <v>0.002007329426</v>
      </c>
      <c r="S158" s="13">
        <f t="shared" ref="S158:S161" si="639">59.9/9529.7</f>
        <v>0.006285612349</v>
      </c>
      <c r="T158" s="13">
        <f t="shared" ref="T158:T161" si="640">1921.2/9529.7</f>
        <v>0.2016013096</v>
      </c>
      <c r="U158" s="13">
        <f t="shared" ref="U158:U161" si="641">ln(9529.7)</f>
        <v>9.162168517</v>
      </c>
      <c r="V158" s="13">
        <f t="shared" ref="V158:V161" si="642">11.8/9529.7</f>
        <v>0.001238234152</v>
      </c>
      <c r="W158" s="13">
        <f t="shared" ref="W158:W161" si="643">6875.5/9529.7</f>
        <v>0.7214812638</v>
      </c>
      <c r="X158" s="12">
        <v>1.156</v>
      </c>
      <c r="Y158" s="13">
        <f t="shared" ref="Y158:Y161" si="644">5946.9/9529.7</f>
        <v>0.6240385322</v>
      </c>
      <c r="Z158" s="13">
        <f t="shared" ref="Z158:Z161" si="645">879/9529.7</f>
        <v>0.09223795083</v>
      </c>
      <c r="AA158" s="13">
        <f t="shared" ref="AA158:AA161" si="646">9316.1/2650000</f>
        <v>0.003515509434</v>
      </c>
      <c r="AB158" s="13">
        <v>0.013</v>
      </c>
    </row>
    <row r="159" ht="14.25" customHeight="1">
      <c r="B159" s="31" t="s">
        <v>225</v>
      </c>
      <c r="C159" s="31" t="s">
        <v>516</v>
      </c>
      <c r="D159" s="31" t="s">
        <v>517</v>
      </c>
      <c r="E159" s="31" t="s">
        <v>520</v>
      </c>
      <c r="F159" s="31" t="s">
        <v>521</v>
      </c>
      <c r="G159" s="21" t="s">
        <v>513</v>
      </c>
      <c r="H159" s="30">
        <v>42660.0</v>
      </c>
      <c r="I159" s="21">
        <v>257.4</v>
      </c>
      <c r="J159" s="21" t="s">
        <v>132</v>
      </c>
      <c r="K159" s="12">
        <f t="shared" si="636"/>
        <v>30.3101065</v>
      </c>
      <c r="L159" s="21">
        <v>0.079</v>
      </c>
      <c r="M159" s="13">
        <f t="shared" si="637"/>
        <v>0.0008323122096</v>
      </c>
      <c r="N159" s="13">
        <f t="shared" si="638"/>
        <v>0.001210714826</v>
      </c>
      <c r="O159" s="13">
        <v>0.0764</v>
      </c>
      <c r="P159" s="13">
        <v>0.11</v>
      </c>
      <c r="Q159" s="13">
        <v>0.69655</v>
      </c>
      <c r="R159" s="13">
        <v>0.002007329426</v>
      </c>
      <c r="S159" s="13">
        <f t="shared" si="639"/>
        <v>0.006285612349</v>
      </c>
      <c r="T159" s="13">
        <f t="shared" si="640"/>
        <v>0.2016013096</v>
      </c>
      <c r="U159" s="13">
        <f t="shared" si="641"/>
        <v>9.162168517</v>
      </c>
      <c r="V159" s="13">
        <f t="shared" si="642"/>
        <v>0.001238234152</v>
      </c>
      <c r="W159" s="13">
        <f t="shared" si="643"/>
        <v>0.7214812638</v>
      </c>
      <c r="X159" s="12">
        <v>1.156</v>
      </c>
      <c r="Y159" s="13">
        <f t="shared" si="644"/>
        <v>0.6240385322</v>
      </c>
      <c r="Z159" s="13">
        <f t="shared" si="645"/>
        <v>0.09223795083</v>
      </c>
      <c r="AA159" s="13">
        <f t="shared" si="646"/>
        <v>0.003515509434</v>
      </c>
      <c r="AB159" s="13">
        <v>0.013</v>
      </c>
    </row>
    <row r="160" ht="14.25" customHeight="1">
      <c r="B160" s="31" t="s">
        <v>225</v>
      </c>
      <c r="C160" s="31" t="s">
        <v>516</v>
      </c>
      <c r="D160" s="31" t="s">
        <v>517</v>
      </c>
      <c r="E160" s="31" t="s">
        <v>522</v>
      </c>
      <c r="F160" s="31" t="s">
        <v>523</v>
      </c>
      <c r="G160" s="21" t="s">
        <v>513</v>
      </c>
      <c r="H160" s="30">
        <v>42660.0</v>
      </c>
      <c r="I160" s="21">
        <v>59.6</v>
      </c>
      <c r="J160" s="21" t="s">
        <v>132</v>
      </c>
      <c r="K160" s="12">
        <f t="shared" si="636"/>
        <v>30.3101065</v>
      </c>
      <c r="L160" s="21">
        <v>0.079</v>
      </c>
      <c r="M160" s="13">
        <f t="shared" si="637"/>
        <v>0.0008323122096</v>
      </c>
      <c r="N160" s="13">
        <f t="shared" si="638"/>
        <v>0.001210714826</v>
      </c>
      <c r="O160" s="13">
        <v>0.0764</v>
      </c>
      <c r="P160" s="13">
        <v>0.11</v>
      </c>
      <c r="Q160" s="13">
        <v>0.69655</v>
      </c>
      <c r="R160" s="13">
        <v>0.002007329426</v>
      </c>
      <c r="S160" s="13">
        <f t="shared" si="639"/>
        <v>0.006285612349</v>
      </c>
      <c r="T160" s="13">
        <f t="shared" si="640"/>
        <v>0.2016013096</v>
      </c>
      <c r="U160" s="13">
        <f t="shared" si="641"/>
        <v>9.162168517</v>
      </c>
      <c r="V160" s="13">
        <f t="shared" si="642"/>
        <v>0.001238234152</v>
      </c>
      <c r="W160" s="13">
        <f t="shared" si="643"/>
        <v>0.7214812638</v>
      </c>
      <c r="X160" s="12">
        <v>1.156</v>
      </c>
      <c r="Y160" s="13">
        <f t="shared" si="644"/>
        <v>0.6240385322</v>
      </c>
      <c r="Z160" s="13">
        <f t="shared" si="645"/>
        <v>0.09223795083</v>
      </c>
      <c r="AA160" s="13">
        <f t="shared" si="646"/>
        <v>0.003515509434</v>
      </c>
      <c r="AB160" s="13">
        <v>0.013</v>
      </c>
    </row>
    <row r="161" ht="14.25" customHeight="1">
      <c r="B161" s="31" t="s">
        <v>225</v>
      </c>
      <c r="C161" s="31" t="s">
        <v>516</v>
      </c>
      <c r="D161" s="31" t="s">
        <v>517</v>
      </c>
      <c r="E161" s="31" t="s">
        <v>524</v>
      </c>
      <c r="F161" s="31" t="s">
        <v>525</v>
      </c>
      <c r="G161" s="21" t="s">
        <v>513</v>
      </c>
      <c r="H161" s="30">
        <v>42660.0</v>
      </c>
      <c r="I161" s="21">
        <v>124.545</v>
      </c>
      <c r="J161" s="21" t="s">
        <v>132</v>
      </c>
      <c r="K161" s="12">
        <f t="shared" si="636"/>
        <v>30.3101065</v>
      </c>
      <c r="L161" s="21">
        <v>0.079</v>
      </c>
      <c r="M161" s="13">
        <f t="shared" si="637"/>
        <v>0.0008323122096</v>
      </c>
      <c r="N161" s="13">
        <f t="shared" si="638"/>
        <v>0.001210714826</v>
      </c>
      <c r="O161" s="13">
        <v>0.0764</v>
      </c>
      <c r="P161" s="13">
        <v>0.11</v>
      </c>
      <c r="Q161" s="13">
        <v>0.69655</v>
      </c>
      <c r="R161" s="13">
        <v>0.002007329426</v>
      </c>
      <c r="S161" s="13">
        <f t="shared" si="639"/>
        <v>0.006285612349</v>
      </c>
      <c r="T161" s="13">
        <f t="shared" si="640"/>
        <v>0.2016013096</v>
      </c>
      <c r="U161" s="13">
        <f t="shared" si="641"/>
        <v>9.162168517</v>
      </c>
      <c r="V161" s="13">
        <f t="shared" si="642"/>
        <v>0.001238234152</v>
      </c>
      <c r="W161" s="13">
        <f t="shared" si="643"/>
        <v>0.7214812638</v>
      </c>
      <c r="X161" s="12">
        <v>1.156</v>
      </c>
      <c r="Y161" s="13">
        <f t="shared" si="644"/>
        <v>0.6240385322</v>
      </c>
      <c r="Z161" s="13">
        <f t="shared" si="645"/>
        <v>0.09223795083</v>
      </c>
      <c r="AA161" s="13">
        <f t="shared" si="646"/>
        <v>0.003515509434</v>
      </c>
      <c r="AB161" s="13">
        <v>0.013</v>
      </c>
    </row>
    <row r="162" ht="14.25" customHeight="1">
      <c r="B162" s="31" t="s">
        <v>225</v>
      </c>
      <c r="C162" s="31" t="s">
        <v>526</v>
      </c>
      <c r="D162" s="31" t="s">
        <v>527</v>
      </c>
      <c r="E162" s="31" t="s">
        <v>528</v>
      </c>
      <c r="F162" s="31" t="s">
        <v>529</v>
      </c>
      <c r="G162" s="21" t="s">
        <v>513</v>
      </c>
      <c r="H162" s="29">
        <v>43255.0</v>
      </c>
      <c r="I162" s="21">
        <v>141.0</v>
      </c>
      <c r="J162" s="21" t="s">
        <v>530</v>
      </c>
      <c r="K162" s="28">
        <f t="shared" ref="K162:K165" si="647">(0.004+0.082)/0.0005</f>
        <v>172</v>
      </c>
      <c r="L162" s="21">
        <v>0.079</v>
      </c>
      <c r="M162" s="13">
        <f t="shared" ref="M162:M165" si="648">7.25/9440.4</f>
        <v>0.0007679759332</v>
      </c>
      <c r="N162" s="13">
        <f t="shared" ref="N162:N165" si="649">7.25/6778.4</f>
        <v>0.001069573941</v>
      </c>
      <c r="O162" s="13">
        <f t="shared" ref="O162:O165" si="650">727.9/10275.6       </f>
        <v>0.07083771264</v>
      </c>
      <c r="P162" s="13">
        <v>0.113</v>
      </c>
      <c r="Q162" s="13">
        <f t="shared" ref="Q162:Q165" si="651">(727.9/0.113)/10275.6       </f>
        <v>0.6268824127</v>
      </c>
      <c r="R162" s="13">
        <v>0.002007329426</v>
      </c>
      <c r="S162" s="13">
        <f t="shared" ref="S162:S165" si="652">83.4/10275.6</f>
        <v>0.008116314376</v>
      </c>
      <c r="T162" s="13">
        <f t="shared" ref="T162:T165" si="653">1159.4/10275.6</f>
        <v>0.1128303943</v>
      </c>
      <c r="U162" s="13">
        <f t="shared" ref="U162:U165" si="654">ln(10275.6)</f>
        <v>9.237527432</v>
      </c>
      <c r="V162" s="13">
        <f t="shared" ref="V162:V165" si="655">233.8/10275.6</f>
        <v>0.02275292927</v>
      </c>
      <c r="W162" s="13">
        <f t="shared" ref="W162:W165" si="656">8409.4/10275.6</f>
        <v>0.8183853011</v>
      </c>
      <c r="X162" s="12">
        <v>1.241</v>
      </c>
      <c r="Y162" s="13">
        <f t="shared" ref="Y162:Y165" si="657">6778.4/10275.6</f>
        <v>0.6596597766</v>
      </c>
      <c r="Z162" s="13">
        <f t="shared" ref="Z162:Z165" si="658">835.2/10275.6</f>
        <v>0.08127992526</v>
      </c>
      <c r="AA162" s="13">
        <f t="shared" ref="AA162:AA165" si="659">9898.9/2700000</f>
        <v>0.003666259259</v>
      </c>
      <c r="AB162" s="13">
        <v>0.009</v>
      </c>
    </row>
    <row r="163" ht="14.25" customHeight="1">
      <c r="B163" s="31" t="s">
        <v>225</v>
      </c>
      <c r="C163" s="31" t="s">
        <v>526</v>
      </c>
      <c r="D163" s="31" t="s">
        <v>527</v>
      </c>
      <c r="E163" s="31" t="s">
        <v>531</v>
      </c>
      <c r="F163" s="31" t="s">
        <v>532</v>
      </c>
      <c r="G163" s="21" t="s">
        <v>513</v>
      </c>
      <c r="H163" s="29">
        <v>43255.0</v>
      </c>
      <c r="I163" s="21">
        <v>352.0</v>
      </c>
      <c r="J163" s="21" t="s">
        <v>530</v>
      </c>
      <c r="K163" s="28">
        <f t="shared" si="647"/>
        <v>172</v>
      </c>
      <c r="L163" s="21">
        <v>0.079</v>
      </c>
      <c r="M163" s="13">
        <f t="shared" si="648"/>
        <v>0.0007679759332</v>
      </c>
      <c r="N163" s="13">
        <f t="shared" si="649"/>
        <v>0.001069573941</v>
      </c>
      <c r="O163" s="13">
        <f t="shared" si="650"/>
        <v>0.07083771264</v>
      </c>
      <c r="P163" s="13">
        <v>0.113</v>
      </c>
      <c r="Q163" s="13">
        <f t="shared" si="651"/>
        <v>0.6268824127</v>
      </c>
      <c r="R163" s="13">
        <v>0.002007329426</v>
      </c>
      <c r="S163" s="13">
        <f t="shared" si="652"/>
        <v>0.008116314376</v>
      </c>
      <c r="T163" s="13">
        <f t="shared" si="653"/>
        <v>0.1128303943</v>
      </c>
      <c r="U163" s="13">
        <f t="shared" si="654"/>
        <v>9.237527432</v>
      </c>
      <c r="V163" s="13">
        <f t="shared" si="655"/>
        <v>0.02275292927</v>
      </c>
      <c r="W163" s="13">
        <f t="shared" si="656"/>
        <v>0.8183853011</v>
      </c>
      <c r="X163" s="12">
        <v>1.241</v>
      </c>
      <c r="Y163" s="13">
        <f t="shared" si="657"/>
        <v>0.6596597766</v>
      </c>
      <c r="Z163" s="13">
        <f t="shared" si="658"/>
        <v>0.08127992526</v>
      </c>
      <c r="AA163" s="13">
        <f t="shared" si="659"/>
        <v>0.003666259259</v>
      </c>
      <c r="AB163" s="13">
        <v>0.009</v>
      </c>
    </row>
    <row r="164" ht="14.25" customHeight="1">
      <c r="B164" s="31" t="s">
        <v>225</v>
      </c>
      <c r="C164" s="31" t="s">
        <v>526</v>
      </c>
      <c r="D164" s="31" t="s">
        <v>527</v>
      </c>
      <c r="E164" s="31" t="s">
        <v>533</v>
      </c>
      <c r="F164" s="31" t="s">
        <v>534</v>
      </c>
      <c r="G164" s="21" t="s">
        <v>513</v>
      </c>
      <c r="H164" s="29">
        <v>43255.0</v>
      </c>
      <c r="I164" s="21">
        <v>150.0</v>
      </c>
      <c r="J164" s="21" t="s">
        <v>530</v>
      </c>
      <c r="K164" s="28">
        <f t="shared" si="647"/>
        <v>172</v>
      </c>
      <c r="L164" s="21">
        <v>0.079</v>
      </c>
      <c r="M164" s="13">
        <f t="shared" si="648"/>
        <v>0.0007679759332</v>
      </c>
      <c r="N164" s="13">
        <f t="shared" si="649"/>
        <v>0.001069573941</v>
      </c>
      <c r="O164" s="13">
        <f t="shared" si="650"/>
        <v>0.07083771264</v>
      </c>
      <c r="P164" s="13">
        <v>0.113</v>
      </c>
      <c r="Q164" s="13">
        <f t="shared" si="651"/>
        <v>0.6268824127</v>
      </c>
      <c r="R164" s="13">
        <v>0.002007329426</v>
      </c>
      <c r="S164" s="13">
        <f t="shared" si="652"/>
        <v>0.008116314376</v>
      </c>
      <c r="T164" s="13">
        <f t="shared" si="653"/>
        <v>0.1128303943</v>
      </c>
      <c r="U164" s="13">
        <f t="shared" si="654"/>
        <v>9.237527432</v>
      </c>
      <c r="V164" s="13">
        <f t="shared" si="655"/>
        <v>0.02275292927</v>
      </c>
      <c r="W164" s="13">
        <f t="shared" si="656"/>
        <v>0.8183853011</v>
      </c>
      <c r="X164" s="12">
        <v>1.241</v>
      </c>
      <c r="Y164" s="13">
        <f t="shared" si="657"/>
        <v>0.6596597766</v>
      </c>
      <c r="Z164" s="13">
        <f t="shared" si="658"/>
        <v>0.08127992526</v>
      </c>
      <c r="AA164" s="13">
        <f t="shared" si="659"/>
        <v>0.003666259259</v>
      </c>
      <c r="AB164" s="13">
        <v>0.009</v>
      </c>
    </row>
    <row r="165" ht="14.25" customHeight="1">
      <c r="B165" s="31" t="s">
        <v>225</v>
      </c>
      <c r="C165" s="31" t="s">
        <v>526</v>
      </c>
      <c r="D165" s="31" t="s">
        <v>527</v>
      </c>
      <c r="E165" s="31" t="s">
        <v>535</v>
      </c>
      <c r="F165" s="31" t="s">
        <v>536</v>
      </c>
      <c r="G165" s="21" t="s">
        <v>513</v>
      </c>
      <c r="H165" s="29">
        <v>43255.0</v>
      </c>
      <c r="I165" s="21">
        <v>121.32</v>
      </c>
      <c r="J165" s="21" t="s">
        <v>530</v>
      </c>
      <c r="K165" s="28">
        <f t="shared" si="647"/>
        <v>172</v>
      </c>
      <c r="L165" s="21">
        <v>0.079</v>
      </c>
      <c r="M165" s="13">
        <f t="shared" si="648"/>
        <v>0.0007679759332</v>
      </c>
      <c r="N165" s="13">
        <f t="shared" si="649"/>
        <v>0.001069573941</v>
      </c>
      <c r="O165" s="13">
        <f t="shared" si="650"/>
        <v>0.07083771264</v>
      </c>
      <c r="P165" s="13">
        <v>0.113</v>
      </c>
      <c r="Q165" s="13">
        <f t="shared" si="651"/>
        <v>0.6268824127</v>
      </c>
      <c r="R165" s="13">
        <v>0.002007329426</v>
      </c>
      <c r="S165" s="13">
        <f t="shared" si="652"/>
        <v>0.008116314376</v>
      </c>
      <c r="T165" s="13">
        <f t="shared" si="653"/>
        <v>0.1128303943</v>
      </c>
      <c r="U165" s="13">
        <f t="shared" si="654"/>
        <v>9.237527432</v>
      </c>
      <c r="V165" s="13">
        <f t="shared" si="655"/>
        <v>0.02275292927</v>
      </c>
      <c r="W165" s="13">
        <f t="shared" si="656"/>
        <v>0.8183853011</v>
      </c>
      <c r="X165" s="12">
        <v>1.241</v>
      </c>
      <c r="Y165" s="13">
        <f t="shared" si="657"/>
        <v>0.6596597766</v>
      </c>
      <c r="Z165" s="13">
        <f t="shared" si="658"/>
        <v>0.08127992526</v>
      </c>
      <c r="AA165" s="13">
        <f t="shared" si="659"/>
        <v>0.003666259259</v>
      </c>
      <c r="AB165" s="13">
        <v>0.009</v>
      </c>
    </row>
    <row r="166" ht="14.25" customHeight="1">
      <c r="B166" s="31" t="s">
        <v>537</v>
      </c>
      <c r="C166" s="31" t="s">
        <v>538</v>
      </c>
      <c r="D166" s="31" t="s">
        <v>539</v>
      </c>
      <c r="E166" s="31" t="s">
        <v>540</v>
      </c>
      <c r="F166" s="31" t="s">
        <v>541</v>
      </c>
      <c r="G166" s="21" t="s">
        <v>200</v>
      </c>
      <c r="H166" s="30">
        <v>42214.0</v>
      </c>
      <c r="I166" s="27">
        <v>1830.0</v>
      </c>
      <c r="J166" s="21" t="s">
        <v>130</v>
      </c>
      <c r="K166" s="28">
        <f>(0.004+0.068)/0.001</f>
        <v>72</v>
      </c>
      <c r="L166" s="21">
        <v>0.044</v>
      </c>
      <c r="M166" s="13">
        <f>537/277979</f>
        <v>0.001931800604</v>
      </c>
      <c r="N166" s="13">
        <f>537/123657</f>
        <v>0.004342657512</v>
      </c>
      <c r="O166" s="13">
        <f>19564/298745</f>
        <v>0.06548728849</v>
      </c>
      <c r="P166" s="13">
        <v>0.251</v>
      </c>
      <c r="Q166" s="13">
        <f>(19564/0.251)/298745</f>
        <v>0.2609055318</v>
      </c>
      <c r="R166" s="13">
        <v>8.38115802E-4</v>
      </c>
      <c r="S166" s="13">
        <f>530/298745</f>
        <v>0.001774088269</v>
      </c>
      <c r="T166" s="13">
        <f>148913/298745</f>
        <v>0.4984618989</v>
      </c>
      <c r="U166" s="13">
        <f>ln(298745)</f>
        <v>12.60734565</v>
      </c>
      <c r="V166" s="13">
        <f>99470/298745</f>
        <v>0.3329595474</v>
      </c>
      <c r="W166" s="13">
        <f>123193/298745</f>
        <v>0.4123684078</v>
      </c>
      <c r="X166" s="12">
        <v>0.996</v>
      </c>
      <c r="Y166" s="13">
        <f>123657/298745</f>
        <v>0.4139215719</v>
      </c>
      <c r="Z166" s="13">
        <f>20766/298745</f>
        <v>0.06951078679</v>
      </c>
      <c r="AA166" s="13">
        <f>308046/2700000</f>
        <v>0.1140911111</v>
      </c>
      <c r="AB166" s="13">
        <v>0.008</v>
      </c>
    </row>
    <row r="167" ht="14.25" customHeight="1">
      <c r="B167" s="31" t="s">
        <v>542</v>
      </c>
      <c r="C167" s="31" t="s">
        <v>543</v>
      </c>
      <c r="D167" s="31" t="s">
        <v>544</v>
      </c>
      <c r="E167" s="31" t="s">
        <v>545</v>
      </c>
      <c r="F167" s="31" t="s">
        <v>546</v>
      </c>
      <c r="G167" s="21" t="s">
        <v>547</v>
      </c>
      <c r="H167" s="29">
        <v>44473.0</v>
      </c>
      <c r="I167" s="21">
        <v>82.5</v>
      </c>
      <c r="J167" s="21" t="s">
        <v>112</v>
      </c>
      <c r="K167" s="28">
        <f t="shared" ref="K167:K169" si="660">(0.005+0.068)/0.001</f>
        <v>73</v>
      </c>
      <c r="L167" s="21">
        <v>0.018</v>
      </c>
      <c r="M167" s="13">
        <f t="shared" ref="M167:M169" si="661">1304.5/620925</f>
        <v>0.002100897854</v>
      </c>
      <c r="N167" s="13">
        <f t="shared" ref="N167:N169" si="662">1304.5/456016</f>
        <v>0.002860645241</v>
      </c>
      <c r="O167" s="13">
        <f t="shared" ref="O167:O169" si="663">42736/666844</f>
        <v>0.06408695287</v>
      </c>
      <c r="P167" s="13">
        <v>0.17</v>
      </c>
      <c r="Q167" s="13">
        <f t="shared" ref="Q167:Q169" si="664">(42736/0.17)/666844</f>
        <v>0.3769820757</v>
      </c>
      <c r="R167" s="13">
        <f t="shared" ref="R167:R169" si="665">220/458314</f>
        <v>0.0004800202481</v>
      </c>
      <c r="S167" s="13">
        <f t="shared" ref="S167:S169" si="666">144757/666844</f>
        <v>0.2170777573</v>
      </c>
      <c r="T167" s="13">
        <f t="shared" ref="T167:T169" si="667">58130/666844</f>
        <v>0.0871718123</v>
      </c>
      <c r="U167" s="13">
        <f t="shared" ref="U167:U169" si="668">ln(666844)</f>
        <v>13.41031141</v>
      </c>
      <c r="V167" s="13">
        <f t="shared" ref="V167:V169" si="669">30352/666844</f>
        <v>0.04551589277</v>
      </c>
      <c r="W167" s="13">
        <f t="shared" ref="W167:W169" si="670">458314/666844</f>
        <v>0.6872881813</v>
      </c>
      <c r="X167" s="12">
        <v>1.005</v>
      </c>
      <c r="Y167" s="13">
        <f t="shared" ref="Y167:Y169" si="671">456016/666844</f>
        <v>0.683842098</v>
      </c>
      <c r="Z167" s="13">
        <f t="shared" ref="Z167:Z169" si="672">45919/666844</f>
        <v>0.06886018319</v>
      </c>
      <c r="AA167" s="13">
        <f t="shared" ref="AA167:AA169" si="673">639575/2424697</f>
        <v>0.2637752263</v>
      </c>
      <c r="AB167" s="13">
        <v>0.049</v>
      </c>
    </row>
    <row r="168" ht="14.25" customHeight="1">
      <c r="B168" s="31" t="s">
        <v>542</v>
      </c>
      <c r="C168" s="31" t="s">
        <v>543</v>
      </c>
      <c r="D168" s="31" t="s">
        <v>544</v>
      </c>
      <c r="E168" s="31" t="s">
        <v>548</v>
      </c>
      <c r="F168" s="31" t="s">
        <v>549</v>
      </c>
      <c r="G168" s="21" t="s">
        <v>547</v>
      </c>
      <c r="H168" s="29">
        <v>44473.0</v>
      </c>
      <c r="I168" s="32">
        <v>4166.1</v>
      </c>
      <c r="J168" s="21" t="s">
        <v>112</v>
      </c>
      <c r="K168" s="28">
        <f t="shared" si="660"/>
        <v>73</v>
      </c>
      <c r="L168" s="21">
        <v>0.018</v>
      </c>
      <c r="M168" s="13">
        <f t="shared" si="661"/>
        <v>0.002100897854</v>
      </c>
      <c r="N168" s="13">
        <f t="shared" si="662"/>
        <v>0.002860645241</v>
      </c>
      <c r="O168" s="13">
        <f t="shared" si="663"/>
        <v>0.06408695287</v>
      </c>
      <c r="P168" s="13">
        <v>0.17</v>
      </c>
      <c r="Q168" s="13">
        <f t="shared" si="664"/>
        <v>0.3769820757</v>
      </c>
      <c r="R168" s="13">
        <f t="shared" si="665"/>
        <v>0.0004800202481</v>
      </c>
      <c r="S168" s="13">
        <f t="shared" si="666"/>
        <v>0.2170777573</v>
      </c>
      <c r="T168" s="13">
        <f t="shared" si="667"/>
        <v>0.0871718123</v>
      </c>
      <c r="U168" s="13">
        <f t="shared" si="668"/>
        <v>13.41031141</v>
      </c>
      <c r="V168" s="13">
        <f t="shared" si="669"/>
        <v>0.04551589277</v>
      </c>
      <c r="W168" s="13">
        <f t="shared" si="670"/>
        <v>0.6872881813</v>
      </c>
      <c r="X168" s="12">
        <v>1.005</v>
      </c>
      <c r="Y168" s="13">
        <f t="shared" si="671"/>
        <v>0.683842098</v>
      </c>
      <c r="Z168" s="13">
        <f t="shared" si="672"/>
        <v>0.06886018319</v>
      </c>
      <c r="AA168" s="13">
        <f t="shared" si="673"/>
        <v>0.2637752263</v>
      </c>
      <c r="AB168" s="13">
        <v>0.049</v>
      </c>
    </row>
    <row r="169" ht="14.25" customHeight="1">
      <c r="B169" s="31" t="s">
        <v>542</v>
      </c>
      <c r="C169" s="31" t="s">
        <v>543</v>
      </c>
      <c r="D169" s="31" t="s">
        <v>544</v>
      </c>
      <c r="E169" s="31" t="s">
        <v>550</v>
      </c>
      <c r="F169" s="31" t="s">
        <v>551</v>
      </c>
      <c r="G169" s="21" t="s">
        <v>547</v>
      </c>
      <c r="H169" s="29">
        <v>44473.0</v>
      </c>
      <c r="I169" s="32">
        <v>12333.3</v>
      </c>
      <c r="J169" s="21" t="s">
        <v>112</v>
      </c>
      <c r="K169" s="28">
        <f t="shared" si="660"/>
        <v>73</v>
      </c>
      <c r="L169" s="21">
        <v>0.018</v>
      </c>
      <c r="M169" s="13">
        <f t="shared" si="661"/>
        <v>0.002100897854</v>
      </c>
      <c r="N169" s="13">
        <f t="shared" si="662"/>
        <v>0.002860645241</v>
      </c>
      <c r="O169" s="13">
        <f t="shared" si="663"/>
        <v>0.06408695287</v>
      </c>
      <c r="P169" s="13">
        <v>0.17</v>
      </c>
      <c r="Q169" s="13">
        <f t="shared" si="664"/>
        <v>0.3769820757</v>
      </c>
      <c r="R169" s="13">
        <f t="shared" si="665"/>
        <v>0.0004800202481</v>
      </c>
      <c r="S169" s="13">
        <f t="shared" si="666"/>
        <v>0.2170777573</v>
      </c>
      <c r="T169" s="13">
        <f t="shared" si="667"/>
        <v>0.0871718123</v>
      </c>
      <c r="U169" s="13">
        <f t="shared" si="668"/>
        <v>13.41031141</v>
      </c>
      <c r="V169" s="13">
        <f t="shared" si="669"/>
        <v>0.04551589277</v>
      </c>
      <c r="W169" s="13">
        <f t="shared" si="670"/>
        <v>0.6872881813</v>
      </c>
      <c r="X169" s="12">
        <v>1.005</v>
      </c>
      <c r="Y169" s="13">
        <f t="shared" si="671"/>
        <v>0.683842098</v>
      </c>
      <c r="Z169" s="13">
        <f t="shared" si="672"/>
        <v>0.06886018319</v>
      </c>
      <c r="AA169" s="13">
        <f t="shared" si="673"/>
        <v>0.2637752263</v>
      </c>
      <c r="AB169" s="13">
        <v>0.049</v>
      </c>
    </row>
    <row r="170" ht="14.25" customHeight="1">
      <c r="B170" s="31" t="s">
        <v>542</v>
      </c>
      <c r="C170" s="31" t="s">
        <v>552</v>
      </c>
      <c r="D170" s="31" t="s">
        <v>553</v>
      </c>
      <c r="E170" s="31" t="s">
        <v>554</v>
      </c>
      <c r="F170" s="31" t="s">
        <v>555</v>
      </c>
      <c r="G170" s="21" t="s">
        <v>556</v>
      </c>
      <c r="H170" s="29">
        <v>44166.0</v>
      </c>
      <c r="I170" s="32">
        <v>4696.5</v>
      </c>
      <c r="J170" s="21" t="s">
        <v>166</v>
      </c>
      <c r="K170" s="28">
        <f t="shared" ref="K170:K174" si="674">(0.004+0.055)/0.0005</f>
        <v>118</v>
      </c>
      <c r="L170" s="12">
        <v>0.02</v>
      </c>
      <c r="M170" s="13">
        <f t="shared" ref="M170:M174" si="675">1841/924888</f>
        <v>0.001990511284</v>
      </c>
      <c r="N170" s="13">
        <f t="shared" ref="N170:N174" si="676">1841/713328</f>
        <v>0.002580860418</v>
      </c>
      <c r="O170" s="13">
        <f t="shared" ref="O170:O174" si="677">53968/980870</f>
        <v>0.05502054299</v>
      </c>
      <c r="P170" s="13">
        <v>0.174</v>
      </c>
      <c r="Q170" s="13">
        <f t="shared" ref="Q170:Q174" si="678">(53968/0.174)/980870</f>
        <v>0.3162100172</v>
      </c>
      <c r="R170" s="13">
        <v>6.946134031E-4</v>
      </c>
      <c r="S170" s="13">
        <f t="shared" ref="S170:S174" si="679">112703/980870</f>
        <v>0.1149010572</v>
      </c>
      <c r="T170" s="13">
        <f t="shared" ref="T170:T174" si="680">205735/980870</f>
        <v>0.2097474691</v>
      </c>
      <c r="U170" s="13">
        <f t="shared" ref="U170:U174" si="681">ln(980870)</f>
        <v>13.79619521</v>
      </c>
      <c r="V170" s="13">
        <f t="shared" ref="V170:V174" si="682">52895/980870</f>
        <v>0.05392661617</v>
      </c>
      <c r="W170" s="13">
        <f t="shared" ref="W170:W174" si="683">654521/980870</f>
        <v>0.6672861847</v>
      </c>
      <c r="X170" s="12">
        <v>0.918</v>
      </c>
      <c r="Y170" s="13">
        <f t="shared" ref="Y170:Y174" si="684">713328/980870</f>
        <v>0.7272401032</v>
      </c>
      <c r="Z170" s="13">
        <f t="shared" ref="Z170:Z174" si="685">55982/980870</f>
        <v>0.05707382222</v>
      </c>
      <c r="AA170" s="13">
        <f t="shared" ref="AA170:AA174" si="686">937379/2344483</f>
        <v>0.3998233299</v>
      </c>
      <c r="AB170" s="13">
        <v>-0.039</v>
      </c>
    </row>
    <row r="171" ht="14.25" customHeight="1">
      <c r="B171" s="31" t="s">
        <v>542</v>
      </c>
      <c r="C171" s="31" t="s">
        <v>552</v>
      </c>
      <c r="D171" s="31" t="s">
        <v>553</v>
      </c>
      <c r="E171" s="31" t="s">
        <v>557</v>
      </c>
      <c r="F171" s="31" t="s">
        <v>558</v>
      </c>
      <c r="G171" s="21" t="s">
        <v>556</v>
      </c>
      <c r="H171" s="29">
        <v>44166.0</v>
      </c>
      <c r="I171" s="21">
        <v>939.3</v>
      </c>
      <c r="J171" s="21" t="s">
        <v>166</v>
      </c>
      <c r="K171" s="28">
        <f t="shared" si="674"/>
        <v>118</v>
      </c>
      <c r="L171" s="12">
        <v>0.02</v>
      </c>
      <c r="M171" s="13">
        <f t="shared" si="675"/>
        <v>0.001990511284</v>
      </c>
      <c r="N171" s="13">
        <f t="shared" si="676"/>
        <v>0.002580860418</v>
      </c>
      <c r="O171" s="13">
        <f t="shared" si="677"/>
        <v>0.05502054299</v>
      </c>
      <c r="P171" s="13">
        <v>0.174</v>
      </c>
      <c r="Q171" s="13">
        <f t="shared" si="678"/>
        <v>0.3162100172</v>
      </c>
      <c r="R171" s="13">
        <v>6.946134031E-4</v>
      </c>
      <c r="S171" s="13">
        <f t="shared" si="679"/>
        <v>0.1149010572</v>
      </c>
      <c r="T171" s="13">
        <f t="shared" si="680"/>
        <v>0.2097474691</v>
      </c>
      <c r="U171" s="13">
        <f t="shared" si="681"/>
        <v>13.79619521</v>
      </c>
      <c r="V171" s="13">
        <f t="shared" si="682"/>
        <v>0.05392661617</v>
      </c>
      <c r="W171" s="13">
        <f t="shared" si="683"/>
        <v>0.6672861847</v>
      </c>
      <c r="X171" s="12">
        <v>0.918</v>
      </c>
      <c r="Y171" s="13">
        <f t="shared" si="684"/>
        <v>0.7272401032</v>
      </c>
      <c r="Z171" s="13">
        <f t="shared" si="685"/>
        <v>0.05707382222</v>
      </c>
      <c r="AA171" s="13">
        <f t="shared" si="686"/>
        <v>0.3998233299</v>
      </c>
      <c r="AB171" s="13">
        <v>-0.039</v>
      </c>
    </row>
    <row r="172" ht="14.25" customHeight="1">
      <c r="B172" s="31" t="s">
        <v>542</v>
      </c>
      <c r="C172" s="31" t="s">
        <v>552</v>
      </c>
      <c r="D172" s="31" t="s">
        <v>553</v>
      </c>
      <c r="E172" s="31" t="s">
        <v>559</v>
      </c>
      <c r="F172" s="31" t="s">
        <v>560</v>
      </c>
      <c r="G172" s="21" t="s">
        <v>556</v>
      </c>
      <c r="H172" s="29">
        <v>44166.0</v>
      </c>
      <c r="I172" s="32">
        <v>3569.3</v>
      </c>
      <c r="J172" s="21" t="s">
        <v>166</v>
      </c>
      <c r="K172" s="28">
        <f t="shared" si="674"/>
        <v>118</v>
      </c>
      <c r="L172" s="12">
        <v>0.02</v>
      </c>
      <c r="M172" s="13">
        <f t="shared" si="675"/>
        <v>0.001990511284</v>
      </c>
      <c r="N172" s="13">
        <f t="shared" si="676"/>
        <v>0.002580860418</v>
      </c>
      <c r="O172" s="13">
        <f t="shared" si="677"/>
        <v>0.05502054299</v>
      </c>
      <c r="P172" s="13">
        <v>0.174</v>
      </c>
      <c r="Q172" s="13">
        <f t="shared" si="678"/>
        <v>0.3162100172</v>
      </c>
      <c r="R172" s="13">
        <v>6.946134031E-4</v>
      </c>
      <c r="S172" s="13">
        <f t="shared" si="679"/>
        <v>0.1149010572</v>
      </c>
      <c r="T172" s="13">
        <f t="shared" si="680"/>
        <v>0.2097474691</v>
      </c>
      <c r="U172" s="13">
        <f t="shared" si="681"/>
        <v>13.79619521</v>
      </c>
      <c r="V172" s="13">
        <f t="shared" si="682"/>
        <v>0.05392661617</v>
      </c>
      <c r="W172" s="13">
        <f t="shared" si="683"/>
        <v>0.6672861847</v>
      </c>
      <c r="X172" s="12">
        <v>0.918</v>
      </c>
      <c r="Y172" s="13">
        <f t="shared" si="684"/>
        <v>0.7272401032</v>
      </c>
      <c r="Z172" s="13">
        <f t="shared" si="685"/>
        <v>0.05707382222</v>
      </c>
      <c r="AA172" s="13">
        <f t="shared" si="686"/>
        <v>0.3998233299</v>
      </c>
      <c r="AB172" s="13">
        <v>-0.039</v>
      </c>
    </row>
    <row r="173" ht="14.25" customHeight="1">
      <c r="B173" s="31" t="s">
        <v>542</v>
      </c>
      <c r="C173" s="31" t="s">
        <v>552</v>
      </c>
      <c r="D173" s="31" t="s">
        <v>553</v>
      </c>
      <c r="E173" s="31" t="s">
        <v>561</v>
      </c>
      <c r="F173" s="31" t="s">
        <v>562</v>
      </c>
      <c r="G173" s="21" t="s">
        <v>556</v>
      </c>
      <c r="H173" s="29">
        <v>44166.0</v>
      </c>
      <c r="I173" s="21">
        <v>939.2</v>
      </c>
      <c r="J173" s="21" t="s">
        <v>166</v>
      </c>
      <c r="K173" s="28">
        <f t="shared" si="674"/>
        <v>118</v>
      </c>
      <c r="L173" s="12">
        <v>0.02</v>
      </c>
      <c r="M173" s="13">
        <f t="shared" si="675"/>
        <v>0.001990511284</v>
      </c>
      <c r="N173" s="13">
        <f t="shared" si="676"/>
        <v>0.002580860418</v>
      </c>
      <c r="O173" s="13">
        <f t="shared" si="677"/>
        <v>0.05502054299</v>
      </c>
      <c r="P173" s="13">
        <v>0.174</v>
      </c>
      <c r="Q173" s="13">
        <f t="shared" si="678"/>
        <v>0.3162100172</v>
      </c>
      <c r="R173" s="13">
        <v>6.946134031E-4</v>
      </c>
      <c r="S173" s="13">
        <f t="shared" si="679"/>
        <v>0.1149010572</v>
      </c>
      <c r="T173" s="13">
        <f t="shared" si="680"/>
        <v>0.2097474691</v>
      </c>
      <c r="U173" s="13">
        <f t="shared" si="681"/>
        <v>13.79619521</v>
      </c>
      <c r="V173" s="13">
        <f t="shared" si="682"/>
        <v>0.05392661617</v>
      </c>
      <c r="W173" s="13">
        <f t="shared" si="683"/>
        <v>0.6672861847</v>
      </c>
      <c r="X173" s="12">
        <v>0.918</v>
      </c>
      <c r="Y173" s="13">
        <f t="shared" si="684"/>
        <v>0.7272401032</v>
      </c>
      <c r="Z173" s="13">
        <f t="shared" si="685"/>
        <v>0.05707382222</v>
      </c>
      <c r="AA173" s="13">
        <f t="shared" si="686"/>
        <v>0.3998233299</v>
      </c>
      <c r="AB173" s="13">
        <v>-0.039</v>
      </c>
    </row>
    <row r="174" ht="14.25" customHeight="1">
      <c r="B174" s="31" t="s">
        <v>542</v>
      </c>
      <c r="C174" s="31" t="s">
        <v>552</v>
      </c>
      <c r="D174" s="31" t="s">
        <v>553</v>
      </c>
      <c r="E174" s="31" t="s">
        <v>563</v>
      </c>
      <c r="F174" s="31" t="s">
        <v>564</v>
      </c>
      <c r="G174" s="21" t="s">
        <v>556</v>
      </c>
      <c r="H174" s="29">
        <v>44166.0</v>
      </c>
      <c r="I174" s="21">
        <v>751.4</v>
      </c>
      <c r="J174" s="21" t="s">
        <v>166</v>
      </c>
      <c r="K174" s="28">
        <f t="shared" si="674"/>
        <v>118</v>
      </c>
      <c r="L174" s="12">
        <v>0.02</v>
      </c>
      <c r="M174" s="13">
        <f t="shared" si="675"/>
        <v>0.001990511284</v>
      </c>
      <c r="N174" s="13">
        <f t="shared" si="676"/>
        <v>0.002580860418</v>
      </c>
      <c r="O174" s="13">
        <f t="shared" si="677"/>
        <v>0.05502054299</v>
      </c>
      <c r="P174" s="13">
        <v>0.174</v>
      </c>
      <c r="Q174" s="13">
        <f t="shared" si="678"/>
        <v>0.3162100172</v>
      </c>
      <c r="R174" s="13">
        <v>6.946134031E-4</v>
      </c>
      <c r="S174" s="13">
        <f t="shared" si="679"/>
        <v>0.1149010572</v>
      </c>
      <c r="T174" s="13">
        <f t="shared" si="680"/>
        <v>0.2097474691</v>
      </c>
      <c r="U174" s="13">
        <f t="shared" si="681"/>
        <v>13.79619521</v>
      </c>
      <c r="V174" s="13">
        <f t="shared" si="682"/>
        <v>0.05392661617</v>
      </c>
      <c r="W174" s="13">
        <f t="shared" si="683"/>
        <v>0.6672861847</v>
      </c>
      <c r="X174" s="12">
        <v>0.918</v>
      </c>
      <c r="Y174" s="13">
        <f t="shared" si="684"/>
        <v>0.7272401032</v>
      </c>
      <c r="Z174" s="13">
        <f t="shared" si="685"/>
        <v>0.05707382222</v>
      </c>
      <c r="AA174" s="13">
        <f t="shared" si="686"/>
        <v>0.3998233299</v>
      </c>
      <c r="AB174" s="13">
        <v>-0.039</v>
      </c>
    </row>
    <row r="175" ht="14.25" customHeight="1">
      <c r="B175" s="31" t="s">
        <v>542</v>
      </c>
      <c r="C175" s="31" t="s">
        <v>552</v>
      </c>
      <c r="D175" s="31" t="s">
        <v>553</v>
      </c>
      <c r="E175" s="31" t="s">
        <v>565</v>
      </c>
      <c r="F175" s="31" t="s">
        <v>566</v>
      </c>
      <c r="G175" s="21" t="s">
        <v>556</v>
      </c>
      <c r="H175" s="30">
        <v>44547.0</v>
      </c>
      <c r="I175" s="21">
        <v>500.0</v>
      </c>
      <c r="J175" s="21" t="s">
        <v>112</v>
      </c>
      <c r="K175" s="12">
        <f t="shared" ref="K175:K179" si="687">(0.003+0.048)/0.0012583057392118</f>
        <v>40.53069013</v>
      </c>
      <c r="L175" s="21">
        <v>0.018</v>
      </c>
      <c r="M175" s="13">
        <f t="shared" ref="M175:M179" si="688">2471.5/973875</f>
        <v>0.002537800026</v>
      </c>
      <c r="N175" s="13">
        <f t="shared" ref="N175:N179" si="689">2471.5/775938</f>
        <v>0.003185177166</v>
      </c>
      <c r="O175" s="13">
        <f t="shared" ref="O175:O179" si="690">51720/1020099</f>
        <v>0.05070096138</v>
      </c>
      <c r="P175" s="13">
        <v>0.165</v>
      </c>
      <c r="Q175" s="13">
        <f t="shared" ref="Q175:Q179" si="691">(51720/0.165)/1020099</f>
        <v>0.3072785538</v>
      </c>
      <c r="R175" s="13">
        <v>6.946134031E-4</v>
      </c>
      <c r="S175" s="13">
        <f t="shared" ref="S175:S179" si="692">126030/1020099</f>
        <v>0.1235468322</v>
      </c>
      <c r="T175" s="13">
        <f t="shared" ref="T175:T179" si="693">224107/1020099</f>
        <v>0.2196914221</v>
      </c>
      <c r="U175" s="13">
        <f t="shared" ref="U175:U179" si="694">ln(1020099)</f>
        <v>13.83541024</v>
      </c>
      <c r="V175" s="13">
        <f t="shared" ref="V175:V179" si="695">64239/1020099</f>
        <v>0.06297329965</v>
      </c>
      <c r="W175" s="13">
        <f t="shared" ref="W175:W179" si="696">661000/1020099</f>
        <v>0.6479763239</v>
      </c>
      <c r="X175" s="12">
        <v>0.852</v>
      </c>
      <c r="Y175" s="13">
        <f t="shared" ref="Y175:Y179" si="697">775938/1020099</f>
        <v>0.7606497016</v>
      </c>
      <c r="Z175" s="13">
        <f t="shared" ref="Z175:Z179" si="698">46224/1020099</f>
        <v>0.04531324901</v>
      </c>
      <c r="AA175" s="13">
        <f t="shared" ref="AA175:AA179" si="699">951317/2424697</f>
        <v>0.392344693</v>
      </c>
      <c r="AB175" s="13">
        <v>0.049</v>
      </c>
    </row>
    <row r="176" ht="14.25" customHeight="1">
      <c r="B176" s="31" t="s">
        <v>542</v>
      </c>
      <c r="C176" s="31" t="s">
        <v>552</v>
      </c>
      <c r="D176" s="31" t="s">
        <v>553</v>
      </c>
      <c r="E176" s="31" t="s">
        <v>567</v>
      </c>
      <c r="F176" s="31" t="s">
        <v>568</v>
      </c>
      <c r="G176" s="21" t="s">
        <v>556</v>
      </c>
      <c r="H176" s="30">
        <v>44547.0</v>
      </c>
      <c r="I176" s="32">
        <v>4800.0</v>
      </c>
      <c r="J176" s="21" t="s">
        <v>112</v>
      </c>
      <c r="K176" s="12">
        <f t="shared" si="687"/>
        <v>40.53069013</v>
      </c>
      <c r="L176" s="21">
        <v>0.018</v>
      </c>
      <c r="M176" s="13">
        <f t="shared" si="688"/>
        <v>0.002537800026</v>
      </c>
      <c r="N176" s="13">
        <f t="shared" si="689"/>
        <v>0.003185177166</v>
      </c>
      <c r="O176" s="13">
        <f t="shared" si="690"/>
        <v>0.05070096138</v>
      </c>
      <c r="P176" s="13">
        <v>0.165</v>
      </c>
      <c r="Q176" s="13">
        <f t="shared" si="691"/>
        <v>0.3072785538</v>
      </c>
      <c r="R176" s="13">
        <v>6.946134031E-4</v>
      </c>
      <c r="S176" s="13">
        <f t="shared" si="692"/>
        <v>0.1235468322</v>
      </c>
      <c r="T176" s="13">
        <f t="shared" si="693"/>
        <v>0.2196914221</v>
      </c>
      <c r="U176" s="13">
        <f t="shared" si="694"/>
        <v>13.83541024</v>
      </c>
      <c r="V176" s="13">
        <f t="shared" si="695"/>
        <v>0.06297329965</v>
      </c>
      <c r="W176" s="13">
        <f t="shared" si="696"/>
        <v>0.6479763239</v>
      </c>
      <c r="X176" s="12">
        <v>0.852</v>
      </c>
      <c r="Y176" s="13">
        <f t="shared" si="697"/>
        <v>0.7606497016</v>
      </c>
      <c r="Z176" s="13">
        <f t="shared" si="698"/>
        <v>0.04531324901</v>
      </c>
      <c r="AA176" s="13">
        <f t="shared" si="699"/>
        <v>0.392344693</v>
      </c>
      <c r="AB176" s="13">
        <v>0.049</v>
      </c>
    </row>
    <row r="177" ht="14.25" customHeight="1">
      <c r="B177" s="31" t="s">
        <v>542</v>
      </c>
      <c r="C177" s="31" t="s">
        <v>552</v>
      </c>
      <c r="D177" s="31" t="s">
        <v>553</v>
      </c>
      <c r="E177" s="31" t="s">
        <v>569</v>
      </c>
      <c r="F177" s="31" t="s">
        <v>570</v>
      </c>
      <c r="G177" s="21" t="s">
        <v>556</v>
      </c>
      <c r="H177" s="30">
        <v>44547.0</v>
      </c>
      <c r="I177" s="32">
        <v>1188.8</v>
      </c>
      <c r="J177" s="21" t="s">
        <v>112</v>
      </c>
      <c r="K177" s="12">
        <f t="shared" si="687"/>
        <v>40.53069013</v>
      </c>
      <c r="L177" s="21">
        <v>0.018</v>
      </c>
      <c r="M177" s="13">
        <f t="shared" si="688"/>
        <v>0.002537800026</v>
      </c>
      <c r="N177" s="13">
        <f t="shared" si="689"/>
        <v>0.003185177166</v>
      </c>
      <c r="O177" s="13">
        <f t="shared" si="690"/>
        <v>0.05070096138</v>
      </c>
      <c r="P177" s="13">
        <v>0.165</v>
      </c>
      <c r="Q177" s="13">
        <f t="shared" si="691"/>
        <v>0.3072785538</v>
      </c>
      <c r="R177" s="13">
        <v>6.946134031E-4</v>
      </c>
      <c r="S177" s="13">
        <f t="shared" si="692"/>
        <v>0.1235468322</v>
      </c>
      <c r="T177" s="13">
        <f t="shared" si="693"/>
        <v>0.2196914221</v>
      </c>
      <c r="U177" s="13">
        <f t="shared" si="694"/>
        <v>13.83541024</v>
      </c>
      <c r="V177" s="13">
        <f t="shared" si="695"/>
        <v>0.06297329965</v>
      </c>
      <c r="W177" s="13">
        <f t="shared" si="696"/>
        <v>0.6479763239</v>
      </c>
      <c r="X177" s="12">
        <v>0.852</v>
      </c>
      <c r="Y177" s="13">
        <f t="shared" si="697"/>
        <v>0.7606497016</v>
      </c>
      <c r="Z177" s="13">
        <f t="shared" si="698"/>
        <v>0.04531324901</v>
      </c>
      <c r="AA177" s="13">
        <f t="shared" si="699"/>
        <v>0.392344693</v>
      </c>
      <c r="AB177" s="13">
        <v>0.049</v>
      </c>
    </row>
    <row r="178" ht="14.25" customHeight="1">
      <c r="B178" s="31" t="s">
        <v>542</v>
      </c>
      <c r="C178" s="31" t="s">
        <v>552</v>
      </c>
      <c r="D178" s="31" t="s">
        <v>553</v>
      </c>
      <c r="E178" s="31" t="s">
        <v>571</v>
      </c>
      <c r="F178" s="31" t="s">
        <v>572</v>
      </c>
      <c r="G178" s="21" t="s">
        <v>556</v>
      </c>
      <c r="H178" s="30">
        <v>44547.0</v>
      </c>
      <c r="I178" s="21">
        <v>43.115</v>
      </c>
      <c r="J178" s="21" t="s">
        <v>112</v>
      </c>
      <c r="K178" s="12">
        <f t="shared" si="687"/>
        <v>40.53069013</v>
      </c>
      <c r="L178" s="21">
        <v>0.018</v>
      </c>
      <c r="M178" s="13">
        <f t="shared" si="688"/>
        <v>0.002537800026</v>
      </c>
      <c r="N178" s="13">
        <f t="shared" si="689"/>
        <v>0.003185177166</v>
      </c>
      <c r="O178" s="13">
        <f t="shared" si="690"/>
        <v>0.05070096138</v>
      </c>
      <c r="P178" s="13">
        <v>0.165</v>
      </c>
      <c r="Q178" s="13">
        <f t="shared" si="691"/>
        <v>0.3072785538</v>
      </c>
      <c r="R178" s="13">
        <v>6.946134031E-4</v>
      </c>
      <c r="S178" s="13">
        <f t="shared" si="692"/>
        <v>0.1235468322</v>
      </c>
      <c r="T178" s="13">
        <f t="shared" si="693"/>
        <v>0.2196914221</v>
      </c>
      <c r="U178" s="13">
        <f t="shared" si="694"/>
        <v>13.83541024</v>
      </c>
      <c r="V178" s="13">
        <f t="shared" si="695"/>
        <v>0.06297329965</v>
      </c>
      <c r="W178" s="13">
        <f t="shared" si="696"/>
        <v>0.6479763239</v>
      </c>
      <c r="X178" s="12">
        <v>0.852</v>
      </c>
      <c r="Y178" s="13">
        <f t="shared" si="697"/>
        <v>0.7606497016</v>
      </c>
      <c r="Z178" s="13">
        <f t="shared" si="698"/>
        <v>0.04531324901</v>
      </c>
      <c r="AA178" s="13">
        <f t="shared" si="699"/>
        <v>0.392344693</v>
      </c>
      <c r="AB178" s="13">
        <v>0.049</v>
      </c>
    </row>
    <row r="179" ht="14.25" customHeight="1">
      <c r="B179" s="31" t="s">
        <v>542</v>
      </c>
      <c r="C179" s="31" t="s">
        <v>552</v>
      </c>
      <c r="D179" s="31" t="s">
        <v>553</v>
      </c>
      <c r="E179" s="31" t="s">
        <v>573</v>
      </c>
      <c r="F179" s="31" t="s">
        <v>574</v>
      </c>
      <c r="G179" s="21" t="s">
        <v>556</v>
      </c>
      <c r="H179" s="30">
        <v>44547.0</v>
      </c>
      <c r="I179" s="32">
        <v>2134.2</v>
      </c>
      <c r="J179" s="21" t="s">
        <v>112</v>
      </c>
      <c r="K179" s="12">
        <f t="shared" si="687"/>
        <v>40.53069013</v>
      </c>
      <c r="L179" s="21">
        <v>0.018</v>
      </c>
      <c r="M179" s="13">
        <f t="shared" si="688"/>
        <v>0.002537800026</v>
      </c>
      <c r="N179" s="13">
        <f t="shared" si="689"/>
        <v>0.003185177166</v>
      </c>
      <c r="O179" s="13">
        <f t="shared" si="690"/>
        <v>0.05070096138</v>
      </c>
      <c r="P179" s="13">
        <v>0.165</v>
      </c>
      <c r="Q179" s="13">
        <f t="shared" si="691"/>
        <v>0.3072785538</v>
      </c>
      <c r="R179" s="13">
        <v>6.946134031E-4</v>
      </c>
      <c r="S179" s="13">
        <f t="shared" si="692"/>
        <v>0.1235468322</v>
      </c>
      <c r="T179" s="13">
        <f t="shared" si="693"/>
        <v>0.2196914221</v>
      </c>
      <c r="U179" s="13">
        <f t="shared" si="694"/>
        <v>13.83541024</v>
      </c>
      <c r="V179" s="13">
        <f t="shared" si="695"/>
        <v>0.06297329965</v>
      </c>
      <c r="W179" s="13">
        <f t="shared" si="696"/>
        <v>0.6479763239</v>
      </c>
      <c r="X179" s="12">
        <v>0.852</v>
      </c>
      <c r="Y179" s="13">
        <f t="shared" si="697"/>
        <v>0.7606497016</v>
      </c>
      <c r="Z179" s="13">
        <f t="shared" si="698"/>
        <v>0.04531324901</v>
      </c>
      <c r="AA179" s="13">
        <f t="shared" si="699"/>
        <v>0.392344693</v>
      </c>
      <c r="AB179" s="13">
        <v>0.049</v>
      </c>
    </row>
    <row r="180" ht="14.25" customHeight="1">
      <c r="B180" s="31" t="s">
        <v>575</v>
      </c>
      <c r="C180" s="31" t="s">
        <v>576</v>
      </c>
      <c r="D180" s="31" t="s">
        <v>577</v>
      </c>
      <c r="E180" s="31" t="s">
        <v>578</v>
      </c>
      <c r="F180" s="31" t="s">
        <v>579</v>
      </c>
      <c r="G180" s="21" t="s">
        <v>580</v>
      </c>
      <c r="H180" s="30">
        <v>42696.0</v>
      </c>
      <c r="I180" s="21">
        <v>385.6</v>
      </c>
      <c r="J180" s="21" t="s">
        <v>132</v>
      </c>
      <c r="K180" s="12">
        <f t="shared" ref="K180:K185" si="700">(0.01+0.09875282648)/0.013203534880226</f>
        <v>8.236644767</v>
      </c>
      <c r="L180" s="21">
        <v>0.174</v>
      </c>
      <c r="M180" s="13">
        <f t="shared" ref="M180:M185" si="701">151.3/46075</f>
        <v>0.003283776451</v>
      </c>
      <c r="N180" s="13">
        <f t="shared" ref="N180:N185" si="702">151.3/35186.4</f>
        <v>0.004299956801</v>
      </c>
      <c r="O180" s="13">
        <f t="shared" ref="O180:O185" si="703">3620/51123.6</f>
        <v>0.07080878498</v>
      </c>
      <c r="P180" s="21">
        <v>0.108</v>
      </c>
      <c r="Q180" s="13">
        <f t="shared" ref="Q180:Q185" si="704">(3620/0.108)/51123.6</f>
        <v>0.655636898</v>
      </c>
      <c r="R180" s="13">
        <f t="shared" ref="R180:R185" si="705">293.325/34238.6</f>
        <v>0.008567085103</v>
      </c>
      <c r="S180" s="13">
        <f t="shared" ref="S180:S185" si="706">734.3/51123.6</f>
        <v>0.01436322951</v>
      </c>
      <c r="T180" s="13">
        <f t="shared" ref="T180:T185" si="707">13211.6/51123.6</f>
        <v>0.2584246806</v>
      </c>
      <c r="U180" s="13">
        <f t="shared" ref="U180:U185" si="708">ln(51123.6)</f>
        <v>10.84200151</v>
      </c>
      <c r="V180" s="13">
        <f t="shared" ref="V180:V185" si="709">865.4/51123.6</f>
        <v>0.01692760291</v>
      </c>
      <c r="W180" s="13">
        <f t="shared" ref="W180:W185" si="710">34238.6/51123.6</f>
        <v>0.6697220071</v>
      </c>
      <c r="X180" s="12">
        <v>0.973</v>
      </c>
      <c r="Y180" s="13">
        <f t="shared" ref="Y180:Y185" si="711">35186.4/51123.6</f>
        <v>0.68826139</v>
      </c>
      <c r="Z180" s="13">
        <f t="shared" ref="Z180:Z185" si="712">5048.6/51123.6</f>
        <v>0.09875282648</v>
      </c>
      <c r="AA180" s="13">
        <f t="shared" ref="AA180:AA185" si="713">52332.7/390000</f>
        <v>0.1341864103</v>
      </c>
      <c r="AB180" s="13">
        <v>0.02</v>
      </c>
    </row>
    <row r="181" ht="14.25" customHeight="1">
      <c r="B181" s="31" t="s">
        <v>575</v>
      </c>
      <c r="C181" s="31" t="s">
        <v>576</v>
      </c>
      <c r="D181" s="31" t="s">
        <v>577</v>
      </c>
      <c r="E181" s="31" t="s">
        <v>581</v>
      </c>
      <c r="F181" s="31" t="s">
        <v>582</v>
      </c>
      <c r="G181" s="21" t="s">
        <v>580</v>
      </c>
      <c r="H181" s="30">
        <v>42696.0</v>
      </c>
      <c r="I181" s="21">
        <v>62.7</v>
      </c>
      <c r="J181" s="21" t="s">
        <v>132</v>
      </c>
      <c r="K181" s="12">
        <f t="shared" si="700"/>
        <v>8.236644767</v>
      </c>
      <c r="L181" s="21">
        <v>0.174</v>
      </c>
      <c r="M181" s="13">
        <f t="shared" si="701"/>
        <v>0.003283776451</v>
      </c>
      <c r="N181" s="13">
        <f t="shared" si="702"/>
        <v>0.004299956801</v>
      </c>
      <c r="O181" s="13">
        <f t="shared" si="703"/>
        <v>0.07080878498</v>
      </c>
      <c r="P181" s="21">
        <v>0.108</v>
      </c>
      <c r="Q181" s="13">
        <f t="shared" si="704"/>
        <v>0.655636898</v>
      </c>
      <c r="R181" s="13">
        <f t="shared" si="705"/>
        <v>0.008567085103</v>
      </c>
      <c r="S181" s="13">
        <f t="shared" si="706"/>
        <v>0.01436322951</v>
      </c>
      <c r="T181" s="13">
        <f t="shared" si="707"/>
        <v>0.2584246806</v>
      </c>
      <c r="U181" s="13">
        <f t="shared" si="708"/>
        <v>10.84200151</v>
      </c>
      <c r="V181" s="13">
        <f t="shared" si="709"/>
        <v>0.01692760291</v>
      </c>
      <c r="W181" s="13">
        <f t="shared" si="710"/>
        <v>0.6697220071</v>
      </c>
      <c r="X181" s="12">
        <v>0.973</v>
      </c>
      <c r="Y181" s="13">
        <f t="shared" si="711"/>
        <v>0.68826139</v>
      </c>
      <c r="Z181" s="13">
        <f t="shared" si="712"/>
        <v>0.09875282648</v>
      </c>
      <c r="AA181" s="13">
        <f t="shared" si="713"/>
        <v>0.1341864103</v>
      </c>
      <c r="AB181" s="13">
        <v>0.02</v>
      </c>
    </row>
    <row r="182" ht="14.25" customHeight="1">
      <c r="B182" s="31" t="s">
        <v>575</v>
      </c>
      <c r="C182" s="31" t="s">
        <v>576</v>
      </c>
      <c r="D182" s="31" t="s">
        <v>577</v>
      </c>
      <c r="E182" s="31" t="s">
        <v>583</v>
      </c>
      <c r="F182" s="31" t="s">
        <v>584</v>
      </c>
      <c r="G182" s="21" t="s">
        <v>580</v>
      </c>
      <c r="H182" s="30">
        <v>42696.0</v>
      </c>
      <c r="I182" s="21">
        <v>62.7</v>
      </c>
      <c r="J182" s="21" t="s">
        <v>132</v>
      </c>
      <c r="K182" s="12">
        <f t="shared" si="700"/>
        <v>8.236644767</v>
      </c>
      <c r="L182" s="21">
        <v>0.174</v>
      </c>
      <c r="M182" s="13">
        <f t="shared" si="701"/>
        <v>0.003283776451</v>
      </c>
      <c r="N182" s="13">
        <f t="shared" si="702"/>
        <v>0.004299956801</v>
      </c>
      <c r="O182" s="13">
        <f t="shared" si="703"/>
        <v>0.07080878498</v>
      </c>
      <c r="P182" s="21">
        <v>0.108</v>
      </c>
      <c r="Q182" s="13">
        <f t="shared" si="704"/>
        <v>0.655636898</v>
      </c>
      <c r="R182" s="13">
        <f t="shared" si="705"/>
        <v>0.008567085103</v>
      </c>
      <c r="S182" s="13">
        <f t="shared" si="706"/>
        <v>0.01436322951</v>
      </c>
      <c r="T182" s="13">
        <f t="shared" si="707"/>
        <v>0.2584246806</v>
      </c>
      <c r="U182" s="13">
        <f t="shared" si="708"/>
        <v>10.84200151</v>
      </c>
      <c r="V182" s="13">
        <f t="shared" si="709"/>
        <v>0.01692760291</v>
      </c>
      <c r="W182" s="13">
        <f t="shared" si="710"/>
        <v>0.6697220071</v>
      </c>
      <c r="X182" s="12">
        <v>0.973</v>
      </c>
      <c r="Y182" s="13">
        <f t="shared" si="711"/>
        <v>0.68826139</v>
      </c>
      <c r="Z182" s="13">
        <f t="shared" si="712"/>
        <v>0.09875282648</v>
      </c>
      <c r="AA182" s="13">
        <f t="shared" si="713"/>
        <v>0.1341864103</v>
      </c>
      <c r="AB182" s="13">
        <v>0.02</v>
      </c>
    </row>
    <row r="183" ht="14.25" customHeight="1">
      <c r="B183" s="31" t="s">
        <v>575</v>
      </c>
      <c r="C183" s="31" t="s">
        <v>576</v>
      </c>
      <c r="D183" s="31" t="s">
        <v>577</v>
      </c>
      <c r="E183" s="31" t="s">
        <v>585</v>
      </c>
      <c r="F183" s="31" t="s">
        <v>111</v>
      </c>
      <c r="G183" s="21" t="s">
        <v>580</v>
      </c>
      <c r="H183" s="30">
        <v>42696.0</v>
      </c>
      <c r="I183" s="21">
        <v>116.0</v>
      </c>
      <c r="J183" s="21" t="s">
        <v>132</v>
      </c>
      <c r="K183" s="12">
        <f t="shared" si="700"/>
        <v>8.236644767</v>
      </c>
      <c r="L183" s="21">
        <v>0.174</v>
      </c>
      <c r="M183" s="13">
        <f t="shared" si="701"/>
        <v>0.003283776451</v>
      </c>
      <c r="N183" s="13">
        <f t="shared" si="702"/>
        <v>0.004299956801</v>
      </c>
      <c r="O183" s="13">
        <f t="shared" si="703"/>
        <v>0.07080878498</v>
      </c>
      <c r="P183" s="21">
        <v>0.108</v>
      </c>
      <c r="Q183" s="13">
        <f t="shared" si="704"/>
        <v>0.655636898</v>
      </c>
      <c r="R183" s="13">
        <f t="shared" si="705"/>
        <v>0.008567085103</v>
      </c>
      <c r="S183" s="13">
        <f t="shared" si="706"/>
        <v>0.01436322951</v>
      </c>
      <c r="T183" s="13">
        <f t="shared" si="707"/>
        <v>0.2584246806</v>
      </c>
      <c r="U183" s="13">
        <f t="shared" si="708"/>
        <v>10.84200151</v>
      </c>
      <c r="V183" s="13">
        <f t="shared" si="709"/>
        <v>0.01692760291</v>
      </c>
      <c r="W183" s="13">
        <f t="shared" si="710"/>
        <v>0.6697220071</v>
      </c>
      <c r="X183" s="12">
        <v>0.973</v>
      </c>
      <c r="Y183" s="13">
        <f t="shared" si="711"/>
        <v>0.68826139</v>
      </c>
      <c r="Z183" s="13">
        <f t="shared" si="712"/>
        <v>0.09875282648</v>
      </c>
      <c r="AA183" s="13">
        <f t="shared" si="713"/>
        <v>0.1341864103</v>
      </c>
      <c r="AB183" s="13">
        <v>0.02</v>
      </c>
    </row>
    <row r="184" ht="14.25" customHeight="1">
      <c r="B184" s="31" t="s">
        <v>575</v>
      </c>
      <c r="C184" s="31" t="s">
        <v>576</v>
      </c>
      <c r="D184" s="31" t="s">
        <v>577</v>
      </c>
      <c r="E184" s="31" t="s">
        <v>586</v>
      </c>
      <c r="F184" s="31" t="s">
        <v>111</v>
      </c>
      <c r="G184" s="21" t="s">
        <v>580</v>
      </c>
      <c r="H184" s="30">
        <v>42696.0</v>
      </c>
      <c r="I184" s="21">
        <v>9.5</v>
      </c>
      <c r="J184" s="21" t="s">
        <v>132</v>
      </c>
      <c r="K184" s="12">
        <f t="shared" si="700"/>
        <v>8.236644767</v>
      </c>
      <c r="L184" s="21">
        <v>0.174</v>
      </c>
      <c r="M184" s="13">
        <f t="shared" si="701"/>
        <v>0.003283776451</v>
      </c>
      <c r="N184" s="13">
        <f t="shared" si="702"/>
        <v>0.004299956801</v>
      </c>
      <c r="O184" s="13">
        <f t="shared" si="703"/>
        <v>0.07080878498</v>
      </c>
      <c r="P184" s="21">
        <v>0.108</v>
      </c>
      <c r="Q184" s="13">
        <f t="shared" si="704"/>
        <v>0.655636898</v>
      </c>
      <c r="R184" s="13">
        <f t="shared" si="705"/>
        <v>0.008567085103</v>
      </c>
      <c r="S184" s="13">
        <f t="shared" si="706"/>
        <v>0.01436322951</v>
      </c>
      <c r="T184" s="13">
        <f t="shared" si="707"/>
        <v>0.2584246806</v>
      </c>
      <c r="U184" s="13">
        <f t="shared" si="708"/>
        <v>10.84200151</v>
      </c>
      <c r="V184" s="13">
        <f t="shared" si="709"/>
        <v>0.01692760291</v>
      </c>
      <c r="W184" s="13">
        <f t="shared" si="710"/>
        <v>0.6697220071</v>
      </c>
      <c r="X184" s="12">
        <v>0.973</v>
      </c>
      <c r="Y184" s="13">
        <f t="shared" si="711"/>
        <v>0.68826139</v>
      </c>
      <c r="Z184" s="13">
        <f t="shared" si="712"/>
        <v>0.09875282648</v>
      </c>
      <c r="AA184" s="13">
        <f t="shared" si="713"/>
        <v>0.1341864103</v>
      </c>
      <c r="AB184" s="13">
        <v>0.02</v>
      </c>
    </row>
    <row r="185" ht="14.25" customHeight="1">
      <c r="B185" s="31" t="s">
        <v>575</v>
      </c>
      <c r="C185" s="31" t="s">
        <v>576</v>
      </c>
      <c r="D185" s="31" t="s">
        <v>577</v>
      </c>
      <c r="E185" s="31" t="s">
        <v>587</v>
      </c>
      <c r="F185" s="31" t="s">
        <v>111</v>
      </c>
      <c r="G185" s="21" t="s">
        <v>580</v>
      </c>
      <c r="H185" s="30">
        <v>42696.0</v>
      </c>
      <c r="I185" s="38">
        <v>88.77094987</v>
      </c>
      <c r="J185" s="21" t="s">
        <v>132</v>
      </c>
      <c r="K185" s="12">
        <f t="shared" si="700"/>
        <v>8.236644767</v>
      </c>
      <c r="L185" s="21">
        <v>0.174</v>
      </c>
      <c r="M185" s="13">
        <f t="shared" si="701"/>
        <v>0.003283776451</v>
      </c>
      <c r="N185" s="13">
        <f t="shared" si="702"/>
        <v>0.004299956801</v>
      </c>
      <c r="O185" s="13">
        <f t="shared" si="703"/>
        <v>0.07080878498</v>
      </c>
      <c r="P185" s="21">
        <v>0.108</v>
      </c>
      <c r="Q185" s="13">
        <f t="shared" si="704"/>
        <v>0.655636898</v>
      </c>
      <c r="R185" s="13">
        <f t="shared" si="705"/>
        <v>0.008567085103</v>
      </c>
      <c r="S185" s="13">
        <f t="shared" si="706"/>
        <v>0.01436322951</v>
      </c>
      <c r="T185" s="13">
        <f t="shared" si="707"/>
        <v>0.2584246806</v>
      </c>
      <c r="U185" s="13">
        <f t="shared" si="708"/>
        <v>10.84200151</v>
      </c>
      <c r="V185" s="13">
        <f t="shared" si="709"/>
        <v>0.01692760291</v>
      </c>
      <c r="W185" s="13">
        <f t="shared" si="710"/>
        <v>0.6697220071</v>
      </c>
      <c r="X185" s="12">
        <v>0.973</v>
      </c>
      <c r="Y185" s="13">
        <f t="shared" si="711"/>
        <v>0.68826139</v>
      </c>
      <c r="Z185" s="13">
        <f t="shared" si="712"/>
        <v>0.09875282648</v>
      </c>
      <c r="AA185" s="13">
        <f t="shared" si="713"/>
        <v>0.1341864103</v>
      </c>
      <c r="AB185" s="13">
        <v>0.02</v>
      </c>
    </row>
    <row r="186" ht="14.25" customHeight="1">
      <c r="B186" s="31" t="s">
        <v>575</v>
      </c>
      <c r="C186" s="31" t="s">
        <v>588</v>
      </c>
      <c r="D186" s="31" t="s">
        <v>589</v>
      </c>
      <c r="E186" s="31" t="s">
        <v>590</v>
      </c>
      <c r="F186" s="31" t="s">
        <v>591</v>
      </c>
      <c r="G186" s="21" t="s">
        <v>592</v>
      </c>
      <c r="H186" s="30">
        <v>40351.0</v>
      </c>
      <c r="I186" s="21">
        <v>577.5</v>
      </c>
      <c r="J186" s="21" t="s">
        <v>593</v>
      </c>
      <c r="K186" s="12">
        <f t="shared" ref="K186:K190" si="714">(0.003+0.052)/0.00081649658092773</f>
        <v>67.36096793</v>
      </c>
      <c r="L186" s="21">
        <v>0.038</v>
      </c>
      <c r="M186" s="13">
        <f t="shared" ref="M186:M190" si="715">131.1/17307.5</f>
        <v>0.007574750831</v>
      </c>
      <c r="N186" s="13">
        <f t="shared" ref="N186:N190" si="716">131.1/12435.2</f>
        <v>0.01054265311</v>
      </c>
      <c r="O186" s="13">
        <f t="shared" ref="O186:O190" si="717">939.7/18203</f>
        <v>0.05162335879</v>
      </c>
      <c r="P186" s="13">
        <v>0.091</v>
      </c>
      <c r="Q186" s="13">
        <f t="shared" ref="Q186:Q190" si="718">(939.7/0.091)/18203</f>
        <v>0.567289657</v>
      </c>
      <c r="R186" s="13">
        <f t="shared" ref="R186:R190" si="719">21.275/15215.3</f>
        <v>0.00139826359</v>
      </c>
      <c r="S186" s="13">
        <f t="shared" ref="S186:S190" si="720">170/18203</f>
        <v>0.009339119925</v>
      </c>
      <c r="T186" s="13">
        <f t="shared" ref="T186:T190" si="721">2923.7/18203</f>
        <v>0.1606163819</v>
      </c>
      <c r="U186" s="13">
        <f t="shared" ref="U186:U190" si="722">ln(18203)</f>
        <v>9.809341695</v>
      </c>
      <c r="V186" s="13">
        <f t="shared" ref="V186:V190" si="723">137.6/18203</f>
        <v>0.00755919354</v>
      </c>
      <c r="W186" s="13">
        <f t="shared" ref="W186:W190" si="724">15215.3/18203</f>
        <v>0.8358677141</v>
      </c>
      <c r="X186" s="12">
        <v>1.224</v>
      </c>
      <c r="Y186" s="13">
        <f t="shared" ref="Y186:Y190" si="725">12435.2/18203</f>
        <v>0.6831401417</v>
      </c>
      <c r="Z186" s="13">
        <f t="shared" ref="Z186:Z190" si="726">895.4/18203</f>
        <v>0.04918969401</v>
      </c>
      <c r="AA186" s="13">
        <f t="shared" ref="AA186:AA190" si="727">17668.7/520000</f>
        <v>0.03397826923</v>
      </c>
      <c r="AB186" s="13">
        <v>0.017</v>
      </c>
    </row>
    <row r="187" ht="14.25" customHeight="1">
      <c r="B187" s="31" t="s">
        <v>575</v>
      </c>
      <c r="C187" s="31" t="s">
        <v>588</v>
      </c>
      <c r="D187" s="31" t="s">
        <v>589</v>
      </c>
      <c r="E187" s="31" t="s">
        <v>594</v>
      </c>
      <c r="F187" s="31" t="s">
        <v>595</v>
      </c>
      <c r="G187" s="21" t="s">
        <v>592</v>
      </c>
      <c r="H187" s="30">
        <v>40351.0</v>
      </c>
      <c r="I187" s="21">
        <v>472.5</v>
      </c>
      <c r="J187" s="21" t="s">
        <v>593</v>
      </c>
      <c r="K187" s="12">
        <f t="shared" si="714"/>
        <v>67.36096793</v>
      </c>
      <c r="L187" s="21">
        <v>0.038</v>
      </c>
      <c r="M187" s="13">
        <f t="shared" si="715"/>
        <v>0.007574750831</v>
      </c>
      <c r="N187" s="13">
        <f t="shared" si="716"/>
        <v>0.01054265311</v>
      </c>
      <c r="O187" s="13">
        <f t="shared" si="717"/>
        <v>0.05162335879</v>
      </c>
      <c r="P187" s="13">
        <v>0.091</v>
      </c>
      <c r="Q187" s="13">
        <f t="shared" si="718"/>
        <v>0.567289657</v>
      </c>
      <c r="R187" s="13">
        <f t="shared" si="719"/>
        <v>0.00139826359</v>
      </c>
      <c r="S187" s="13">
        <f t="shared" si="720"/>
        <v>0.009339119925</v>
      </c>
      <c r="T187" s="13">
        <f t="shared" si="721"/>
        <v>0.1606163819</v>
      </c>
      <c r="U187" s="13">
        <f t="shared" si="722"/>
        <v>9.809341695</v>
      </c>
      <c r="V187" s="13">
        <f t="shared" si="723"/>
        <v>0.00755919354</v>
      </c>
      <c r="W187" s="13">
        <f t="shared" si="724"/>
        <v>0.8358677141</v>
      </c>
      <c r="X187" s="12">
        <v>1.224</v>
      </c>
      <c r="Y187" s="13">
        <f t="shared" si="725"/>
        <v>0.6831401417</v>
      </c>
      <c r="Z187" s="13">
        <f t="shared" si="726"/>
        <v>0.04918969401</v>
      </c>
      <c r="AA187" s="13">
        <f t="shared" si="727"/>
        <v>0.03397826923</v>
      </c>
      <c r="AB187" s="13">
        <v>0.017</v>
      </c>
    </row>
    <row r="188" ht="14.25" customHeight="1">
      <c r="B188" s="31" t="s">
        <v>575</v>
      </c>
      <c r="C188" s="31" t="s">
        <v>588</v>
      </c>
      <c r="D188" s="31" t="s">
        <v>589</v>
      </c>
      <c r="E188" s="31" t="s">
        <v>596</v>
      </c>
      <c r="F188" s="31" t="s">
        <v>597</v>
      </c>
      <c r="G188" s="21" t="s">
        <v>592</v>
      </c>
      <c r="H188" s="30">
        <v>40351.0</v>
      </c>
      <c r="I188" s="21">
        <v>117.0</v>
      </c>
      <c r="J188" s="21" t="s">
        <v>593</v>
      </c>
      <c r="K188" s="12">
        <f t="shared" si="714"/>
        <v>67.36096793</v>
      </c>
      <c r="L188" s="21">
        <v>0.038</v>
      </c>
      <c r="M188" s="13">
        <f t="shared" si="715"/>
        <v>0.007574750831</v>
      </c>
      <c r="N188" s="13">
        <f t="shared" si="716"/>
        <v>0.01054265311</v>
      </c>
      <c r="O188" s="13">
        <f t="shared" si="717"/>
        <v>0.05162335879</v>
      </c>
      <c r="P188" s="13">
        <v>0.091</v>
      </c>
      <c r="Q188" s="13">
        <f t="shared" si="718"/>
        <v>0.567289657</v>
      </c>
      <c r="R188" s="13">
        <f t="shared" si="719"/>
        <v>0.00139826359</v>
      </c>
      <c r="S188" s="13">
        <f t="shared" si="720"/>
        <v>0.009339119925</v>
      </c>
      <c r="T188" s="13">
        <f t="shared" si="721"/>
        <v>0.1606163819</v>
      </c>
      <c r="U188" s="13">
        <f t="shared" si="722"/>
        <v>9.809341695</v>
      </c>
      <c r="V188" s="13">
        <f t="shared" si="723"/>
        <v>0.00755919354</v>
      </c>
      <c r="W188" s="13">
        <f t="shared" si="724"/>
        <v>0.8358677141</v>
      </c>
      <c r="X188" s="12">
        <v>1.224</v>
      </c>
      <c r="Y188" s="13">
        <f t="shared" si="725"/>
        <v>0.6831401417</v>
      </c>
      <c r="Z188" s="13">
        <f t="shared" si="726"/>
        <v>0.04918969401</v>
      </c>
      <c r="AA188" s="13">
        <f t="shared" si="727"/>
        <v>0.03397826923</v>
      </c>
      <c r="AB188" s="13">
        <v>0.017</v>
      </c>
    </row>
    <row r="189" ht="14.25" customHeight="1">
      <c r="B189" s="31" t="s">
        <v>575</v>
      </c>
      <c r="C189" s="31" t="s">
        <v>588</v>
      </c>
      <c r="D189" s="31" t="s">
        <v>589</v>
      </c>
      <c r="E189" s="31" t="s">
        <v>598</v>
      </c>
      <c r="F189" s="31" t="s">
        <v>599</v>
      </c>
      <c r="G189" s="21" t="s">
        <v>592</v>
      </c>
      <c r="H189" s="30">
        <v>40351.0</v>
      </c>
      <c r="I189" s="21">
        <v>7.294</v>
      </c>
      <c r="J189" s="21" t="s">
        <v>593</v>
      </c>
      <c r="K189" s="12">
        <f t="shared" si="714"/>
        <v>67.36096793</v>
      </c>
      <c r="L189" s="21">
        <v>0.038</v>
      </c>
      <c r="M189" s="13">
        <f t="shared" si="715"/>
        <v>0.007574750831</v>
      </c>
      <c r="N189" s="13">
        <f t="shared" si="716"/>
        <v>0.01054265311</v>
      </c>
      <c r="O189" s="13">
        <f t="shared" si="717"/>
        <v>0.05162335879</v>
      </c>
      <c r="P189" s="13">
        <v>0.091</v>
      </c>
      <c r="Q189" s="13">
        <f t="shared" si="718"/>
        <v>0.567289657</v>
      </c>
      <c r="R189" s="13">
        <f t="shared" si="719"/>
        <v>0.00139826359</v>
      </c>
      <c r="S189" s="13">
        <f t="shared" si="720"/>
        <v>0.009339119925</v>
      </c>
      <c r="T189" s="13">
        <f t="shared" si="721"/>
        <v>0.1606163819</v>
      </c>
      <c r="U189" s="13">
        <f t="shared" si="722"/>
        <v>9.809341695</v>
      </c>
      <c r="V189" s="13">
        <f t="shared" si="723"/>
        <v>0.00755919354</v>
      </c>
      <c r="W189" s="13">
        <f t="shared" si="724"/>
        <v>0.8358677141</v>
      </c>
      <c r="X189" s="12">
        <v>1.224</v>
      </c>
      <c r="Y189" s="13">
        <f t="shared" si="725"/>
        <v>0.6831401417</v>
      </c>
      <c r="Z189" s="13">
        <f t="shared" si="726"/>
        <v>0.04918969401</v>
      </c>
      <c r="AA189" s="13">
        <f t="shared" si="727"/>
        <v>0.03397826923</v>
      </c>
      <c r="AB189" s="13">
        <v>0.017</v>
      </c>
    </row>
    <row r="190" ht="14.25" customHeight="1">
      <c r="B190" s="31" t="s">
        <v>575</v>
      </c>
      <c r="C190" s="31" t="s">
        <v>588</v>
      </c>
      <c r="D190" s="31" t="s">
        <v>589</v>
      </c>
      <c r="E190" s="31" t="s">
        <v>600</v>
      </c>
      <c r="F190" s="31" t="s">
        <v>601</v>
      </c>
      <c r="G190" s="21" t="s">
        <v>592</v>
      </c>
      <c r="H190" s="30">
        <v>40351.0</v>
      </c>
      <c r="I190" s="21">
        <v>31.5</v>
      </c>
      <c r="J190" s="21" t="s">
        <v>593</v>
      </c>
      <c r="K190" s="12">
        <f t="shared" si="714"/>
        <v>67.36096793</v>
      </c>
      <c r="L190" s="21">
        <v>0.038</v>
      </c>
      <c r="M190" s="13">
        <f t="shared" si="715"/>
        <v>0.007574750831</v>
      </c>
      <c r="N190" s="13">
        <f t="shared" si="716"/>
        <v>0.01054265311</v>
      </c>
      <c r="O190" s="13">
        <f t="shared" si="717"/>
        <v>0.05162335879</v>
      </c>
      <c r="P190" s="13">
        <v>0.091</v>
      </c>
      <c r="Q190" s="13">
        <f t="shared" si="718"/>
        <v>0.567289657</v>
      </c>
      <c r="R190" s="13">
        <f t="shared" si="719"/>
        <v>0.00139826359</v>
      </c>
      <c r="S190" s="13">
        <f t="shared" si="720"/>
        <v>0.009339119925</v>
      </c>
      <c r="T190" s="13">
        <f t="shared" si="721"/>
        <v>0.1606163819</v>
      </c>
      <c r="U190" s="13">
        <f t="shared" si="722"/>
        <v>9.809341695</v>
      </c>
      <c r="V190" s="13">
        <f t="shared" si="723"/>
        <v>0.00755919354</v>
      </c>
      <c r="W190" s="13">
        <f t="shared" si="724"/>
        <v>0.8358677141</v>
      </c>
      <c r="X190" s="12">
        <v>1.224</v>
      </c>
      <c r="Y190" s="13">
        <f t="shared" si="725"/>
        <v>0.6831401417</v>
      </c>
      <c r="Z190" s="13">
        <f t="shared" si="726"/>
        <v>0.04918969401</v>
      </c>
      <c r="AA190" s="13">
        <f t="shared" si="727"/>
        <v>0.03397826923</v>
      </c>
      <c r="AB190" s="13">
        <v>0.017</v>
      </c>
    </row>
    <row r="191" ht="14.25" customHeight="1">
      <c r="B191" s="31" t="s">
        <v>575</v>
      </c>
      <c r="C191" s="31" t="s">
        <v>602</v>
      </c>
      <c r="D191" s="31" t="s">
        <v>603</v>
      </c>
      <c r="E191" s="31" t="s">
        <v>604</v>
      </c>
      <c r="F191" s="31" t="s">
        <v>605</v>
      </c>
      <c r="G191" s="21" t="s">
        <v>592</v>
      </c>
      <c r="H191" s="30">
        <v>42068.0</v>
      </c>
      <c r="I191" s="21">
        <v>16.2</v>
      </c>
      <c r="J191" s="21" t="s">
        <v>122</v>
      </c>
      <c r="K191" s="12">
        <f t="shared" ref="K191:K195" si="728">(0.007+0.067)/0.016640813281407</f>
        <v>4.446898042</v>
      </c>
      <c r="L191" s="21">
        <v>0.085</v>
      </c>
      <c r="M191" s="13">
        <f t="shared" ref="M191:M195" si="729">94.9/20656.5</f>
        <v>0.004594195532</v>
      </c>
      <c r="N191" s="13">
        <f t="shared" ref="N191:N195" si="730">94.9/18091.2</f>
        <v>0.005245644291</v>
      </c>
      <c r="O191" s="13">
        <f t="shared" ref="O191:O195" si="731">1435.8/22146.8</f>
        <v>0.06483103654</v>
      </c>
      <c r="P191" s="13">
        <v>0.095</v>
      </c>
      <c r="Q191" s="13">
        <f t="shared" ref="Q191:Q195" si="732">(1435.8/0.095)/22146.8</f>
        <v>0.6824319636</v>
      </c>
      <c r="R191" s="13">
        <f t="shared" ref="R191:R195" si="733">93.1/16592.1</f>
        <v>0.00561110408</v>
      </c>
      <c r="S191" s="13">
        <f t="shared" ref="S191:S195" si="734">408.8/22146.8</f>
        <v>0.01845864865</v>
      </c>
      <c r="T191" s="13">
        <f t="shared" ref="T191:T195" si="735">4066.5/22146.8</f>
        <v>0.1836156917</v>
      </c>
      <c r="U191" s="13">
        <f t="shared" ref="U191:U195" si="736">ln(22146.8)</f>
        <v>10.0054483</v>
      </c>
      <c r="V191" s="13">
        <f t="shared" ref="V191:V195" si="737">79.4/22146.8</f>
        <v>0.00358516806</v>
      </c>
      <c r="W191" s="13">
        <f t="shared" ref="W191:W195" si="738">16592.1/22146.8</f>
        <v>0.7491872415</v>
      </c>
      <c r="X191" s="12">
        <v>0.917</v>
      </c>
      <c r="Y191" s="13">
        <f t="shared" ref="Y191:Y195" si="739">18091.2/22146.8</f>
        <v>0.8168764788</v>
      </c>
      <c r="Z191" s="13">
        <f t="shared" ref="Z191:Z195" si="740">1490.3/22146.8</f>
        <v>0.06729188867</v>
      </c>
      <c r="AA191" s="13">
        <f t="shared" ref="AA191:AA195" si="741">22214.6/410000</f>
        <v>0.05418195122</v>
      </c>
      <c r="AB191" s="13">
        <v>0.018</v>
      </c>
    </row>
    <row r="192" ht="14.25" customHeight="1">
      <c r="B192" s="31" t="s">
        <v>575</v>
      </c>
      <c r="C192" s="31" t="s">
        <v>602</v>
      </c>
      <c r="D192" s="31" t="s">
        <v>603</v>
      </c>
      <c r="E192" s="31" t="s">
        <v>606</v>
      </c>
      <c r="F192" s="31" t="s">
        <v>607</v>
      </c>
      <c r="G192" s="21" t="s">
        <v>592</v>
      </c>
      <c r="H192" s="30">
        <v>42068.0</v>
      </c>
      <c r="I192" s="21">
        <v>545.9</v>
      </c>
      <c r="J192" s="21" t="s">
        <v>122</v>
      </c>
      <c r="K192" s="12">
        <f t="shared" si="728"/>
        <v>4.446898042</v>
      </c>
      <c r="L192" s="21">
        <v>0.085</v>
      </c>
      <c r="M192" s="13">
        <f t="shared" si="729"/>
        <v>0.004594195532</v>
      </c>
      <c r="N192" s="13">
        <f t="shared" si="730"/>
        <v>0.005245644291</v>
      </c>
      <c r="O192" s="13">
        <f t="shared" si="731"/>
        <v>0.06483103654</v>
      </c>
      <c r="P192" s="13">
        <v>0.095</v>
      </c>
      <c r="Q192" s="13">
        <f t="shared" si="732"/>
        <v>0.6824319636</v>
      </c>
      <c r="R192" s="13">
        <f t="shared" si="733"/>
        <v>0.00561110408</v>
      </c>
      <c r="S192" s="13">
        <f t="shared" si="734"/>
        <v>0.01845864865</v>
      </c>
      <c r="T192" s="13">
        <f t="shared" si="735"/>
        <v>0.1836156917</v>
      </c>
      <c r="U192" s="13">
        <f t="shared" si="736"/>
        <v>10.0054483</v>
      </c>
      <c r="V192" s="13">
        <f t="shared" si="737"/>
        <v>0.00358516806</v>
      </c>
      <c r="W192" s="13">
        <f t="shared" si="738"/>
        <v>0.7491872415</v>
      </c>
      <c r="X192" s="12">
        <v>0.917</v>
      </c>
      <c r="Y192" s="13">
        <f t="shared" si="739"/>
        <v>0.8168764788</v>
      </c>
      <c r="Z192" s="13">
        <f t="shared" si="740"/>
        <v>0.06729188867</v>
      </c>
      <c r="AA192" s="13">
        <f t="shared" si="741"/>
        <v>0.05418195122</v>
      </c>
      <c r="AB192" s="13">
        <v>0.018</v>
      </c>
    </row>
    <row r="193" ht="14.25" customHeight="1">
      <c r="B193" s="31" t="s">
        <v>575</v>
      </c>
      <c r="C193" s="31" t="s">
        <v>602</v>
      </c>
      <c r="D193" s="31" t="s">
        <v>603</v>
      </c>
      <c r="E193" s="31" t="s">
        <v>608</v>
      </c>
      <c r="F193" s="31" t="s">
        <v>609</v>
      </c>
      <c r="G193" s="21" t="s">
        <v>592</v>
      </c>
      <c r="H193" s="30">
        <v>42068.0</v>
      </c>
      <c r="I193" s="21">
        <v>76.4</v>
      </c>
      <c r="J193" s="21" t="s">
        <v>122</v>
      </c>
      <c r="K193" s="12">
        <f t="shared" si="728"/>
        <v>4.446898042</v>
      </c>
      <c r="L193" s="21">
        <v>0.085</v>
      </c>
      <c r="M193" s="13">
        <f t="shared" si="729"/>
        <v>0.004594195532</v>
      </c>
      <c r="N193" s="13">
        <f t="shared" si="730"/>
        <v>0.005245644291</v>
      </c>
      <c r="O193" s="13">
        <f t="shared" si="731"/>
        <v>0.06483103654</v>
      </c>
      <c r="P193" s="13">
        <v>0.095</v>
      </c>
      <c r="Q193" s="13">
        <f t="shared" si="732"/>
        <v>0.6824319636</v>
      </c>
      <c r="R193" s="13">
        <f t="shared" si="733"/>
        <v>0.00561110408</v>
      </c>
      <c r="S193" s="13">
        <f t="shared" si="734"/>
        <v>0.01845864865</v>
      </c>
      <c r="T193" s="13">
        <f t="shared" si="735"/>
        <v>0.1836156917</v>
      </c>
      <c r="U193" s="13">
        <f t="shared" si="736"/>
        <v>10.0054483</v>
      </c>
      <c r="V193" s="13">
        <f t="shared" si="737"/>
        <v>0.00358516806</v>
      </c>
      <c r="W193" s="13">
        <f t="shared" si="738"/>
        <v>0.7491872415</v>
      </c>
      <c r="X193" s="12">
        <v>0.917</v>
      </c>
      <c r="Y193" s="13">
        <f t="shared" si="739"/>
        <v>0.8168764788</v>
      </c>
      <c r="Z193" s="13">
        <f t="shared" si="740"/>
        <v>0.06729188867</v>
      </c>
      <c r="AA193" s="13">
        <f t="shared" si="741"/>
        <v>0.05418195122</v>
      </c>
      <c r="AB193" s="13">
        <v>0.018</v>
      </c>
    </row>
    <row r="194" ht="14.25" customHeight="1">
      <c r="B194" s="31" t="s">
        <v>575</v>
      </c>
      <c r="C194" s="31" t="s">
        <v>602</v>
      </c>
      <c r="D194" s="31" t="s">
        <v>603</v>
      </c>
      <c r="E194" s="31" t="s">
        <v>610</v>
      </c>
      <c r="F194" s="31" t="s">
        <v>611</v>
      </c>
      <c r="G194" s="21" t="s">
        <v>592</v>
      </c>
      <c r="H194" s="30">
        <v>42068.0</v>
      </c>
      <c r="I194" s="21">
        <v>87.3</v>
      </c>
      <c r="J194" s="21" t="s">
        <v>122</v>
      </c>
      <c r="K194" s="12">
        <f t="shared" si="728"/>
        <v>4.446898042</v>
      </c>
      <c r="L194" s="21">
        <v>0.085</v>
      </c>
      <c r="M194" s="13">
        <f t="shared" si="729"/>
        <v>0.004594195532</v>
      </c>
      <c r="N194" s="13">
        <f t="shared" si="730"/>
        <v>0.005245644291</v>
      </c>
      <c r="O194" s="13">
        <f t="shared" si="731"/>
        <v>0.06483103654</v>
      </c>
      <c r="P194" s="13">
        <v>0.095</v>
      </c>
      <c r="Q194" s="13">
        <f t="shared" si="732"/>
        <v>0.6824319636</v>
      </c>
      <c r="R194" s="13">
        <f t="shared" si="733"/>
        <v>0.00561110408</v>
      </c>
      <c r="S194" s="13">
        <f t="shared" si="734"/>
        <v>0.01845864865</v>
      </c>
      <c r="T194" s="13">
        <f t="shared" si="735"/>
        <v>0.1836156917</v>
      </c>
      <c r="U194" s="13">
        <f t="shared" si="736"/>
        <v>10.0054483</v>
      </c>
      <c r="V194" s="13">
        <f t="shared" si="737"/>
        <v>0.00358516806</v>
      </c>
      <c r="W194" s="13">
        <f t="shared" si="738"/>
        <v>0.7491872415</v>
      </c>
      <c r="X194" s="12">
        <v>0.917</v>
      </c>
      <c r="Y194" s="13">
        <f t="shared" si="739"/>
        <v>0.8168764788</v>
      </c>
      <c r="Z194" s="13">
        <f t="shared" si="740"/>
        <v>0.06729188867</v>
      </c>
      <c r="AA194" s="13">
        <f t="shared" si="741"/>
        <v>0.05418195122</v>
      </c>
      <c r="AB194" s="13">
        <v>0.018</v>
      </c>
    </row>
    <row r="195" ht="14.25" customHeight="1">
      <c r="B195" s="31" t="s">
        <v>575</v>
      </c>
      <c r="C195" s="31" t="s">
        <v>602</v>
      </c>
      <c r="D195" s="31" t="s">
        <v>603</v>
      </c>
      <c r="E195" s="31" t="s">
        <v>612</v>
      </c>
      <c r="F195" s="31" t="s">
        <v>613</v>
      </c>
      <c r="G195" s="21" t="s">
        <v>592</v>
      </c>
      <c r="H195" s="30">
        <v>42068.0</v>
      </c>
      <c r="I195" s="21">
        <v>398.5</v>
      </c>
      <c r="J195" s="21" t="s">
        <v>122</v>
      </c>
      <c r="K195" s="12">
        <f t="shared" si="728"/>
        <v>4.446898042</v>
      </c>
      <c r="L195" s="21">
        <v>0.085</v>
      </c>
      <c r="M195" s="13">
        <f t="shared" si="729"/>
        <v>0.004594195532</v>
      </c>
      <c r="N195" s="13">
        <f t="shared" si="730"/>
        <v>0.005245644291</v>
      </c>
      <c r="O195" s="13">
        <f t="shared" si="731"/>
        <v>0.06483103654</v>
      </c>
      <c r="P195" s="13">
        <v>0.095</v>
      </c>
      <c r="Q195" s="13">
        <f t="shared" si="732"/>
        <v>0.6824319636</v>
      </c>
      <c r="R195" s="13">
        <f t="shared" si="733"/>
        <v>0.00561110408</v>
      </c>
      <c r="S195" s="13">
        <f t="shared" si="734"/>
        <v>0.01845864865</v>
      </c>
      <c r="T195" s="13">
        <f t="shared" si="735"/>
        <v>0.1836156917</v>
      </c>
      <c r="U195" s="13">
        <f t="shared" si="736"/>
        <v>10.0054483</v>
      </c>
      <c r="V195" s="13">
        <f t="shared" si="737"/>
        <v>0.00358516806</v>
      </c>
      <c r="W195" s="13">
        <f t="shared" si="738"/>
        <v>0.7491872415</v>
      </c>
      <c r="X195" s="12">
        <v>0.917</v>
      </c>
      <c r="Y195" s="13">
        <f t="shared" si="739"/>
        <v>0.8168764788</v>
      </c>
      <c r="Z195" s="13">
        <f t="shared" si="740"/>
        <v>0.06729188867</v>
      </c>
      <c r="AA195" s="13">
        <f t="shared" si="741"/>
        <v>0.05418195122</v>
      </c>
      <c r="AB195" s="13">
        <v>0.018</v>
      </c>
    </row>
    <row r="196" ht="14.25" customHeight="1">
      <c r="B196" s="31" t="s">
        <v>575</v>
      </c>
      <c r="C196" s="31" t="s">
        <v>614</v>
      </c>
      <c r="D196" s="31" t="s">
        <v>615</v>
      </c>
      <c r="E196" s="31" t="s">
        <v>616</v>
      </c>
      <c r="F196" s="31" t="s">
        <v>617</v>
      </c>
      <c r="G196" s="21" t="s">
        <v>618</v>
      </c>
      <c r="H196" s="30">
        <v>40585.0</v>
      </c>
      <c r="I196" s="32">
        <v>1819.4</v>
      </c>
      <c r="J196" s="21" t="s">
        <v>311</v>
      </c>
      <c r="K196" s="28">
        <f t="shared" ref="K196:K199" si="742">(0.005+0.04)/0.0005</f>
        <v>90</v>
      </c>
      <c r="L196" s="21">
        <v>0.024</v>
      </c>
      <c r="M196" s="13">
        <f t="shared" ref="M196:M199" si="743">357.2/41637.2</f>
        <v>0.008578866975</v>
      </c>
      <c r="N196" s="13">
        <f t="shared" ref="N196:N199" si="744">357.2/24209.2</f>
        <v>0.01475472135</v>
      </c>
      <c r="O196" s="13">
        <f t="shared" ref="O196:O199" si="745">2527.4/43224.8</f>
        <v>0.05847106291</v>
      </c>
      <c r="P196" s="13">
        <v>0.096</v>
      </c>
      <c r="Q196" s="13">
        <f t="shared" ref="Q196:Q199" si="746">(2527.4/0.096)/43224.8</f>
        <v>0.609073572</v>
      </c>
      <c r="R196" s="13">
        <f t="shared" ref="R196:R199" si="747">0.2/30695.7</f>
        <v>0.000006515570585</v>
      </c>
      <c r="S196" s="13">
        <f t="shared" ref="S196:S199" si="748">1343/43224.8</f>
        <v>0.03107012641</v>
      </c>
      <c r="T196" s="13">
        <f t="shared" ref="T196:T199" si="749">10628.9/43224.8</f>
        <v>0.2458981881</v>
      </c>
      <c r="U196" s="13">
        <f t="shared" ref="U196:U199" si="750">ln(43224.8)</f>
        <v>10.67416968</v>
      </c>
      <c r="V196" s="13">
        <f t="shared" ref="V196:V199" si="751">821.9/43224.8</f>
        <v>0.0190145472</v>
      </c>
      <c r="W196" s="13">
        <f t="shared" ref="W196:W199" si="752">29631.4/43224.8</f>
        <v>0.6855184986</v>
      </c>
      <c r="X196" s="13">
        <v>1.224</v>
      </c>
      <c r="Y196" s="13">
        <f t="shared" ref="Y196:Y199" si="753">24209.2/43224.8</f>
        <v>0.5600766227</v>
      </c>
      <c r="Z196" s="13">
        <f t="shared" ref="Z196:Z199" si="754">1587.5/43224.8</f>
        <v>0.0367266014</v>
      </c>
      <c r="AA196" s="13">
        <f t="shared" ref="AA196:AA199" si="755">44152.8/515000</f>
        <v>0.08573359223</v>
      </c>
      <c r="AB196" s="13">
        <v>-0.017</v>
      </c>
    </row>
    <row r="197" ht="14.25" customHeight="1">
      <c r="B197" s="31" t="s">
        <v>575</v>
      </c>
      <c r="C197" s="31" t="s">
        <v>614</v>
      </c>
      <c r="D197" s="31" t="s">
        <v>615</v>
      </c>
      <c r="E197" s="31" t="s">
        <v>619</v>
      </c>
      <c r="F197" s="31" t="s">
        <v>620</v>
      </c>
      <c r="G197" s="21" t="s">
        <v>618</v>
      </c>
      <c r="H197" s="30">
        <v>40585.0</v>
      </c>
      <c r="I197" s="32">
        <v>1317.5</v>
      </c>
      <c r="J197" s="21" t="s">
        <v>311</v>
      </c>
      <c r="K197" s="28">
        <f t="shared" si="742"/>
        <v>90</v>
      </c>
      <c r="L197" s="21">
        <v>0.024</v>
      </c>
      <c r="M197" s="13">
        <f t="shared" si="743"/>
        <v>0.008578866975</v>
      </c>
      <c r="N197" s="13">
        <f t="shared" si="744"/>
        <v>0.01475472135</v>
      </c>
      <c r="O197" s="13">
        <f t="shared" si="745"/>
        <v>0.05847106291</v>
      </c>
      <c r="P197" s="13">
        <v>0.096</v>
      </c>
      <c r="Q197" s="13">
        <f t="shared" si="746"/>
        <v>0.609073572</v>
      </c>
      <c r="R197" s="13">
        <f t="shared" si="747"/>
        <v>0.000006515570585</v>
      </c>
      <c r="S197" s="13">
        <f t="shared" si="748"/>
        <v>0.03107012641</v>
      </c>
      <c r="T197" s="13">
        <f t="shared" si="749"/>
        <v>0.2458981881</v>
      </c>
      <c r="U197" s="13">
        <f t="shared" si="750"/>
        <v>10.67416968</v>
      </c>
      <c r="V197" s="13">
        <f t="shared" si="751"/>
        <v>0.0190145472</v>
      </c>
      <c r="W197" s="13">
        <f t="shared" si="752"/>
        <v>0.6855184986</v>
      </c>
      <c r="X197" s="13">
        <v>1.224</v>
      </c>
      <c r="Y197" s="13">
        <f t="shared" si="753"/>
        <v>0.5600766227</v>
      </c>
      <c r="Z197" s="13">
        <f t="shared" si="754"/>
        <v>0.0367266014</v>
      </c>
      <c r="AA197" s="13">
        <f t="shared" si="755"/>
        <v>0.08573359223</v>
      </c>
      <c r="AB197" s="13">
        <v>-0.017</v>
      </c>
    </row>
    <row r="198" ht="14.25" customHeight="1">
      <c r="B198" s="31" t="s">
        <v>575</v>
      </c>
      <c r="C198" s="31" t="s">
        <v>614</v>
      </c>
      <c r="D198" s="31" t="s">
        <v>615</v>
      </c>
      <c r="E198" s="31" t="s">
        <v>621</v>
      </c>
      <c r="F198" s="31" t="s">
        <v>622</v>
      </c>
      <c r="G198" s="21" t="s">
        <v>618</v>
      </c>
      <c r="H198" s="30">
        <v>40585.0</v>
      </c>
      <c r="I198" s="21">
        <v>52.5</v>
      </c>
      <c r="J198" s="21" t="s">
        <v>311</v>
      </c>
      <c r="K198" s="28">
        <f t="shared" si="742"/>
        <v>90</v>
      </c>
      <c r="L198" s="21">
        <v>0.024</v>
      </c>
      <c r="M198" s="13">
        <f t="shared" si="743"/>
        <v>0.008578866975</v>
      </c>
      <c r="N198" s="13">
        <f t="shared" si="744"/>
        <v>0.01475472135</v>
      </c>
      <c r="O198" s="13">
        <f t="shared" si="745"/>
        <v>0.05847106291</v>
      </c>
      <c r="P198" s="13">
        <v>0.096</v>
      </c>
      <c r="Q198" s="13">
        <f t="shared" si="746"/>
        <v>0.609073572</v>
      </c>
      <c r="R198" s="13">
        <f t="shared" si="747"/>
        <v>0.000006515570585</v>
      </c>
      <c r="S198" s="13">
        <f t="shared" si="748"/>
        <v>0.03107012641</v>
      </c>
      <c r="T198" s="13">
        <f t="shared" si="749"/>
        <v>0.2458981881</v>
      </c>
      <c r="U198" s="13">
        <f t="shared" si="750"/>
        <v>10.67416968</v>
      </c>
      <c r="V198" s="13">
        <f t="shared" si="751"/>
        <v>0.0190145472</v>
      </c>
      <c r="W198" s="13">
        <f t="shared" si="752"/>
        <v>0.6855184986</v>
      </c>
      <c r="X198" s="13">
        <v>1.224</v>
      </c>
      <c r="Y198" s="13">
        <f t="shared" si="753"/>
        <v>0.5600766227</v>
      </c>
      <c r="Z198" s="13">
        <f t="shared" si="754"/>
        <v>0.0367266014</v>
      </c>
      <c r="AA198" s="13">
        <f t="shared" si="755"/>
        <v>0.08573359223</v>
      </c>
      <c r="AB198" s="13">
        <v>-0.017</v>
      </c>
    </row>
    <row r="199" ht="14.25" customHeight="1">
      <c r="B199" s="31" t="s">
        <v>575</v>
      </c>
      <c r="C199" s="31" t="s">
        <v>614</v>
      </c>
      <c r="D199" s="31" t="s">
        <v>615</v>
      </c>
      <c r="E199" s="31" t="s">
        <v>623</v>
      </c>
      <c r="F199" s="31" t="s">
        <v>624</v>
      </c>
      <c r="G199" s="21" t="s">
        <v>618</v>
      </c>
      <c r="H199" s="30">
        <v>40585.0</v>
      </c>
      <c r="I199" s="21">
        <v>363.1</v>
      </c>
      <c r="J199" s="21" t="s">
        <v>311</v>
      </c>
      <c r="K199" s="28">
        <f t="shared" si="742"/>
        <v>90</v>
      </c>
      <c r="L199" s="21">
        <v>0.024</v>
      </c>
      <c r="M199" s="13">
        <f t="shared" si="743"/>
        <v>0.008578866975</v>
      </c>
      <c r="N199" s="13">
        <f t="shared" si="744"/>
        <v>0.01475472135</v>
      </c>
      <c r="O199" s="13">
        <f t="shared" si="745"/>
        <v>0.05847106291</v>
      </c>
      <c r="P199" s="13">
        <v>0.096</v>
      </c>
      <c r="Q199" s="13">
        <f t="shared" si="746"/>
        <v>0.609073572</v>
      </c>
      <c r="R199" s="13">
        <f t="shared" si="747"/>
        <v>0.000006515570585</v>
      </c>
      <c r="S199" s="13">
        <f t="shared" si="748"/>
        <v>0.03107012641</v>
      </c>
      <c r="T199" s="13">
        <f t="shared" si="749"/>
        <v>0.2458981881</v>
      </c>
      <c r="U199" s="13">
        <f t="shared" si="750"/>
        <v>10.67416968</v>
      </c>
      <c r="V199" s="13">
        <f t="shared" si="751"/>
        <v>0.0190145472</v>
      </c>
      <c r="W199" s="13">
        <f t="shared" si="752"/>
        <v>0.6855184986</v>
      </c>
      <c r="X199" s="13">
        <v>1.224</v>
      </c>
      <c r="Y199" s="13">
        <f t="shared" si="753"/>
        <v>0.5600766227</v>
      </c>
      <c r="Z199" s="13">
        <f t="shared" si="754"/>
        <v>0.0367266014</v>
      </c>
      <c r="AA199" s="13">
        <f t="shared" si="755"/>
        <v>0.08573359223</v>
      </c>
      <c r="AB199" s="13">
        <v>-0.017</v>
      </c>
    </row>
    <row r="200" ht="14.25" customHeight="1">
      <c r="B200" s="31" t="s">
        <v>575</v>
      </c>
      <c r="C200" s="31" t="s">
        <v>625</v>
      </c>
      <c r="D200" s="31" t="s">
        <v>626</v>
      </c>
      <c r="E200" s="31" t="s">
        <v>627</v>
      </c>
      <c r="F200" s="31" t="s">
        <v>628</v>
      </c>
      <c r="G200" s="21" t="s">
        <v>629</v>
      </c>
      <c r="H200" s="30">
        <v>43644.0</v>
      </c>
      <c r="I200" s="21">
        <v>181.3</v>
      </c>
      <c r="J200" s="21" t="s">
        <v>152</v>
      </c>
      <c r="K200" s="12">
        <f>(0.0095+0.069)/0.00018929694486001</f>
        <v>414.6923769</v>
      </c>
      <c r="L200" s="21">
        <v>0.044</v>
      </c>
      <c r="M200" s="13">
        <f>88.4/48670.5</f>
        <v>0.001816295292</v>
      </c>
      <c r="N200" s="13">
        <f>88.4/39377</f>
        <v>0.002244965335</v>
      </c>
      <c r="O200" s="13">
        <f>2858/52305.3</f>
        <v>0.0546407343</v>
      </c>
      <c r="P200" s="13">
        <v>0.153</v>
      </c>
      <c r="Q200" s="13">
        <f>(2858/0.153)/52305.3</f>
        <v>0.3571289824</v>
      </c>
      <c r="R200" s="13">
        <f>46.95/36971.7</f>
        <v>0.001269890213</v>
      </c>
      <c r="S200" s="13">
        <f>693.8/52305.3</f>
        <v>0.01326443018</v>
      </c>
      <c r="T200" s="13">
        <f>10565.9/52305.3</f>
        <v>0.2020043858</v>
      </c>
      <c r="U200" s="13">
        <f>ln(52305.3)</f>
        <v>10.86485298</v>
      </c>
      <c r="V200" s="13">
        <f>1142.2/52305.3</f>
        <v>0.0218371752</v>
      </c>
      <c r="W200" s="13">
        <f>36971.7/52305.3</f>
        <v>0.7068442395</v>
      </c>
      <c r="X200" s="13">
        <v>0.939</v>
      </c>
      <c r="Y200" s="13">
        <f>39377/52305.3</f>
        <v>0.7528300191</v>
      </c>
      <c r="Z200" s="13">
        <f>3634.8/52305.3</f>
        <v>0.06949200177</v>
      </c>
      <c r="AA200" s="13">
        <f>52904.8/390000</f>
        <v>0.1356533333</v>
      </c>
      <c r="AB200" s="13">
        <v>0.027</v>
      </c>
    </row>
    <row r="201" ht="14.25" customHeight="1">
      <c r="B201" s="31" t="s">
        <v>630</v>
      </c>
      <c r="C201" s="31" t="s">
        <v>631</v>
      </c>
      <c r="D201" s="31" t="s">
        <v>632</v>
      </c>
      <c r="E201" s="31" t="s">
        <v>633</v>
      </c>
      <c r="F201" s="31" t="s">
        <v>634</v>
      </c>
      <c r="G201" s="21" t="s">
        <v>635</v>
      </c>
      <c r="H201" s="30">
        <v>41635.0</v>
      </c>
      <c r="I201" s="21">
        <v>451.5</v>
      </c>
      <c r="J201" s="21" t="s">
        <v>189</v>
      </c>
      <c r="K201" s="12">
        <f t="shared" ref="K201:K202" si="756">(0.003+0.046)/0.00081649658092773</f>
        <v>60.0124987</v>
      </c>
      <c r="L201" s="21">
        <v>0.141</v>
      </c>
      <c r="M201" s="13">
        <f t="shared" ref="M201:M202" si="757">508/246270</f>
        <v>0.002062776627</v>
      </c>
      <c r="N201" s="13">
        <f t="shared" ref="N201:N202" si="758">508/187808</f>
        <v>0.002704890101</v>
      </c>
      <c r="O201" s="13">
        <f t="shared" ref="O201:O202" si="759">10911.9/251425.4      
</f>
        <v>0.04340014971</v>
      </c>
      <c r="P201" s="13">
        <v>0.118</v>
      </c>
      <c r="Q201" s="13">
        <f t="shared" ref="Q201:Q202" si="760">(10911.9/0.118)/251425.4      
</f>
        <v>0.3677978789</v>
      </c>
      <c r="R201" s="13">
        <f t="shared" ref="R201:R202" si="761">50/122867</f>
        <v>0.000406944094</v>
      </c>
      <c r="S201" s="13">
        <f t="shared" ref="S201:S202" si="762">1538/258397</f>
        <v>0.005952081487</v>
      </c>
      <c r="T201" s="13">
        <f t="shared" ref="T201:T202" si="763">116069/258397</f>
        <v>0.4491886516</v>
      </c>
      <c r="U201" s="13">
        <f t="shared" ref="U201:U202" si="764">ln(258397)</f>
        <v>12.46225244</v>
      </c>
      <c r="V201" s="13">
        <f t="shared" ref="V201:V202" si="765">24506/258397</f>
        <v>0.09483856237</v>
      </c>
      <c r="W201" s="13">
        <f t="shared" ref="W201:W202" si="766">127058/258397</f>
        <v>0.4917162351</v>
      </c>
      <c r="X201" s="13">
        <v>0.677</v>
      </c>
      <c r="Y201" s="13">
        <f t="shared" ref="Y201:Y202" si="767">187808/258397</f>
        <v>0.7268195838</v>
      </c>
      <c r="Z201" s="13">
        <f t="shared" ref="Z201:Z202" si="768">12127/258397</f>
        <v>0.04693165942</v>
      </c>
      <c r="AA201" s="13">
        <f t="shared" ref="AA201:AA202" si="769">251568.6/3026000</f>
        <v>0.08313569068</v>
      </c>
      <c r="AB201" s="13">
        <v>-0.014</v>
      </c>
    </row>
    <row r="202" ht="14.25" customHeight="1">
      <c r="B202" s="31" t="s">
        <v>630</v>
      </c>
      <c r="C202" s="31" t="s">
        <v>631</v>
      </c>
      <c r="D202" s="31" t="s">
        <v>632</v>
      </c>
      <c r="E202" s="31"/>
      <c r="F202" s="31" t="s">
        <v>634</v>
      </c>
      <c r="G202" s="21" t="s">
        <v>635</v>
      </c>
      <c r="H202" s="30">
        <v>41635.0</v>
      </c>
      <c r="I202" s="21">
        <v>193.5</v>
      </c>
      <c r="J202" s="21" t="s">
        <v>189</v>
      </c>
      <c r="K202" s="12">
        <f t="shared" si="756"/>
        <v>60.0124987</v>
      </c>
      <c r="L202" s="21">
        <v>0.141</v>
      </c>
      <c r="M202" s="13">
        <f t="shared" si="757"/>
        <v>0.002062776627</v>
      </c>
      <c r="N202" s="13">
        <f t="shared" si="758"/>
        <v>0.002704890101</v>
      </c>
      <c r="O202" s="13">
        <f t="shared" si="759"/>
        <v>0.04340014971</v>
      </c>
      <c r="P202" s="13">
        <v>0.118</v>
      </c>
      <c r="Q202" s="13">
        <f t="shared" si="760"/>
        <v>0.3677978789</v>
      </c>
      <c r="R202" s="13">
        <f t="shared" si="761"/>
        <v>0.000406944094</v>
      </c>
      <c r="S202" s="13">
        <f t="shared" si="762"/>
        <v>0.005952081487</v>
      </c>
      <c r="T202" s="13">
        <f t="shared" si="763"/>
        <v>0.4491886516</v>
      </c>
      <c r="U202" s="13">
        <f t="shared" si="764"/>
        <v>12.46225244</v>
      </c>
      <c r="V202" s="13">
        <f t="shared" si="765"/>
        <v>0.09483856237</v>
      </c>
      <c r="W202" s="13">
        <f t="shared" si="766"/>
        <v>0.4917162351</v>
      </c>
      <c r="X202" s="13">
        <v>0.677</v>
      </c>
      <c r="Y202" s="13">
        <f t="shared" si="767"/>
        <v>0.7268195838</v>
      </c>
      <c r="Z202" s="13">
        <f t="shared" si="768"/>
        <v>0.04693165942</v>
      </c>
      <c r="AA202" s="13">
        <f t="shared" si="769"/>
        <v>0.08313569068</v>
      </c>
      <c r="AB202" s="13">
        <v>-0.014</v>
      </c>
    </row>
    <row r="203" ht="14.25" customHeight="1">
      <c r="B203" s="31" t="s">
        <v>630</v>
      </c>
      <c r="C203" s="31" t="s">
        <v>636</v>
      </c>
      <c r="D203" s="31" t="s">
        <v>637</v>
      </c>
      <c r="E203" s="31" t="s">
        <v>638</v>
      </c>
      <c r="F203" s="31" t="s">
        <v>639</v>
      </c>
      <c r="G203" s="21" t="s">
        <v>640</v>
      </c>
      <c r="H203" s="30">
        <v>38897.0</v>
      </c>
      <c r="I203" s="21">
        <v>49.0</v>
      </c>
      <c r="J203" s="21" t="s">
        <v>641</v>
      </c>
      <c r="K203" s="28">
        <f t="shared" ref="K203:K208" si="770">(0.005+0.036)/0.001</f>
        <v>41</v>
      </c>
      <c r="L203" s="21">
        <v>0.003</v>
      </c>
      <c r="M203" s="13">
        <f t="shared" ref="M203:M208" si="771">264.1/43302</f>
        <v>0.006099025449</v>
      </c>
      <c r="N203" s="13">
        <f t="shared" ref="N203:N208" si="772">264.1/23931.7</f>
        <v>0.01103557207</v>
      </c>
      <c r="O203" s="13">
        <f t="shared" ref="O203:O208" si="773">1724/46075.8</f>
        <v>0.03741660481</v>
      </c>
      <c r="P203" s="13">
        <v>0.069</v>
      </c>
      <c r="Q203" s="13">
        <f t="shared" ref="Q203:Q208" si="774">(1724/0.069)/46075.8</f>
        <v>0.542269635</v>
      </c>
      <c r="R203" s="13">
        <v>2.198545995E-4</v>
      </c>
      <c r="S203" s="13">
        <f t="shared" ref="S203:S208" si="775">555/44908.4</f>
        <v>0.01235848973</v>
      </c>
      <c r="T203" s="13">
        <f t="shared" ref="T203:T208" si="776">13371.7/44908.4</f>
        <v>0.2977549857</v>
      </c>
      <c r="U203" s="13">
        <f t="shared" ref="U203:U208" si="777">ln(44908.4)</f>
        <v>10.71238014</v>
      </c>
      <c r="V203" s="13">
        <f t="shared" ref="V203:V208" si="778">3467.6/44908.4</f>
        <v>0.0772149531</v>
      </c>
      <c r="W203" s="13">
        <f t="shared" ref="W203:W208" si="779">30758.2/44908.4</f>
        <v>0.6849097274</v>
      </c>
      <c r="X203" s="12">
        <v>1.285</v>
      </c>
      <c r="Y203" s="13">
        <f t="shared" ref="Y203:Y208" si="780">23931.7/44908.4</f>
        <v>0.5329003037</v>
      </c>
      <c r="Z203" s="13">
        <f t="shared" ref="Z203:Z208" si="781">1606.4/44908.4</f>
        <v>0.0357705908</v>
      </c>
      <c r="AA203" s="13">
        <f t="shared" ref="AA203:AA208" si="782">42203.4/2100000</f>
        <v>0.02009685714</v>
      </c>
      <c r="AB203" s="13">
        <v>0.041</v>
      </c>
    </row>
    <row r="204" ht="14.25" customHeight="1">
      <c r="B204" s="31" t="s">
        <v>630</v>
      </c>
      <c r="C204" s="31" t="s">
        <v>636</v>
      </c>
      <c r="D204" s="31" t="s">
        <v>637</v>
      </c>
      <c r="E204" s="31" t="s">
        <v>642</v>
      </c>
      <c r="F204" s="31" t="s">
        <v>643</v>
      </c>
      <c r="G204" s="21" t="s">
        <v>640</v>
      </c>
      <c r="H204" s="30">
        <v>38897.0</v>
      </c>
      <c r="I204" s="21">
        <v>682.0</v>
      </c>
      <c r="J204" s="21" t="s">
        <v>641</v>
      </c>
      <c r="K204" s="28">
        <f t="shared" si="770"/>
        <v>41</v>
      </c>
      <c r="L204" s="21">
        <v>0.003</v>
      </c>
      <c r="M204" s="13">
        <f t="shared" si="771"/>
        <v>0.006099025449</v>
      </c>
      <c r="N204" s="13">
        <f t="shared" si="772"/>
        <v>0.01103557207</v>
      </c>
      <c r="O204" s="13">
        <f t="shared" si="773"/>
        <v>0.03741660481</v>
      </c>
      <c r="P204" s="13">
        <v>0.069</v>
      </c>
      <c r="Q204" s="13">
        <f t="shared" si="774"/>
        <v>0.542269635</v>
      </c>
      <c r="R204" s="13">
        <v>2.198545995E-4</v>
      </c>
      <c r="S204" s="13">
        <f t="shared" si="775"/>
        <v>0.01235848973</v>
      </c>
      <c r="T204" s="13">
        <f t="shared" si="776"/>
        <v>0.2977549857</v>
      </c>
      <c r="U204" s="13">
        <f t="shared" si="777"/>
        <v>10.71238014</v>
      </c>
      <c r="V204" s="13">
        <f t="shared" si="778"/>
        <v>0.0772149531</v>
      </c>
      <c r="W204" s="13">
        <f t="shared" si="779"/>
        <v>0.6849097274</v>
      </c>
      <c r="X204" s="12">
        <v>1.285</v>
      </c>
      <c r="Y204" s="13">
        <f t="shared" si="780"/>
        <v>0.5329003037</v>
      </c>
      <c r="Z204" s="13">
        <f t="shared" si="781"/>
        <v>0.0357705908</v>
      </c>
      <c r="AA204" s="13">
        <f t="shared" si="782"/>
        <v>0.02009685714</v>
      </c>
      <c r="AB204" s="13">
        <v>0.041</v>
      </c>
    </row>
    <row r="205" ht="14.25" customHeight="1">
      <c r="B205" s="31" t="s">
        <v>630</v>
      </c>
      <c r="C205" s="31" t="s">
        <v>636</v>
      </c>
      <c r="D205" s="31" t="s">
        <v>637</v>
      </c>
      <c r="E205" s="31" t="s">
        <v>644</v>
      </c>
      <c r="F205" s="31" t="s">
        <v>645</v>
      </c>
      <c r="G205" s="21" t="s">
        <v>640</v>
      </c>
      <c r="H205" s="30">
        <v>38897.0</v>
      </c>
      <c r="I205" s="21">
        <v>16.2</v>
      </c>
      <c r="J205" s="21" t="s">
        <v>641</v>
      </c>
      <c r="K205" s="28">
        <f t="shared" si="770"/>
        <v>41</v>
      </c>
      <c r="L205" s="21">
        <v>0.003</v>
      </c>
      <c r="M205" s="13">
        <f t="shared" si="771"/>
        <v>0.006099025449</v>
      </c>
      <c r="N205" s="13">
        <f t="shared" si="772"/>
        <v>0.01103557207</v>
      </c>
      <c r="O205" s="13">
        <f t="shared" si="773"/>
        <v>0.03741660481</v>
      </c>
      <c r="P205" s="13">
        <v>0.069</v>
      </c>
      <c r="Q205" s="13">
        <f t="shared" si="774"/>
        <v>0.542269635</v>
      </c>
      <c r="R205" s="13">
        <v>2.198545995E-4</v>
      </c>
      <c r="S205" s="13">
        <f t="shared" si="775"/>
        <v>0.01235848973</v>
      </c>
      <c r="T205" s="13">
        <f t="shared" si="776"/>
        <v>0.2977549857</v>
      </c>
      <c r="U205" s="13">
        <f t="shared" si="777"/>
        <v>10.71238014</v>
      </c>
      <c r="V205" s="13">
        <f t="shared" si="778"/>
        <v>0.0772149531</v>
      </c>
      <c r="W205" s="13">
        <f t="shared" si="779"/>
        <v>0.6849097274</v>
      </c>
      <c r="X205" s="12">
        <v>1.285</v>
      </c>
      <c r="Y205" s="13">
        <f t="shared" si="780"/>
        <v>0.5329003037</v>
      </c>
      <c r="Z205" s="13">
        <f t="shared" si="781"/>
        <v>0.0357705908</v>
      </c>
      <c r="AA205" s="13">
        <f t="shared" si="782"/>
        <v>0.02009685714</v>
      </c>
      <c r="AB205" s="13">
        <v>0.041</v>
      </c>
    </row>
    <row r="206" ht="14.25" customHeight="1">
      <c r="B206" s="31" t="s">
        <v>630</v>
      </c>
      <c r="C206" s="31" t="s">
        <v>636</v>
      </c>
      <c r="D206" s="31" t="s">
        <v>637</v>
      </c>
      <c r="E206" s="31" t="s">
        <v>646</v>
      </c>
      <c r="F206" s="31" t="s">
        <v>647</v>
      </c>
      <c r="G206" s="21" t="s">
        <v>640</v>
      </c>
      <c r="H206" s="30">
        <v>38897.0</v>
      </c>
      <c r="I206" s="21">
        <v>27.5</v>
      </c>
      <c r="J206" s="21" t="s">
        <v>641</v>
      </c>
      <c r="K206" s="28">
        <f t="shared" si="770"/>
        <v>41</v>
      </c>
      <c r="L206" s="21">
        <v>0.003</v>
      </c>
      <c r="M206" s="13">
        <f t="shared" si="771"/>
        <v>0.006099025449</v>
      </c>
      <c r="N206" s="13">
        <f t="shared" si="772"/>
        <v>0.01103557207</v>
      </c>
      <c r="O206" s="13">
        <f t="shared" si="773"/>
        <v>0.03741660481</v>
      </c>
      <c r="P206" s="13">
        <v>0.069</v>
      </c>
      <c r="Q206" s="13">
        <f t="shared" si="774"/>
        <v>0.542269635</v>
      </c>
      <c r="R206" s="13">
        <v>2.198545995E-4</v>
      </c>
      <c r="S206" s="13">
        <f t="shared" si="775"/>
        <v>0.01235848973</v>
      </c>
      <c r="T206" s="13">
        <f t="shared" si="776"/>
        <v>0.2977549857</v>
      </c>
      <c r="U206" s="13">
        <f t="shared" si="777"/>
        <v>10.71238014</v>
      </c>
      <c r="V206" s="13">
        <f t="shared" si="778"/>
        <v>0.0772149531</v>
      </c>
      <c r="W206" s="13">
        <f t="shared" si="779"/>
        <v>0.6849097274</v>
      </c>
      <c r="X206" s="12">
        <v>1.285</v>
      </c>
      <c r="Y206" s="13">
        <f t="shared" si="780"/>
        <v>0.5329003037</v>
      </c>
      <c r="Z206" s="13">
        <f t="shared" si="781"/>
        <v>0.0357705908</v>
      </c>
      <c r="AA206" s="13">
        <f t="shared" si="782"/>
        <v>0.02009685714</v>
      </c>
      <c r="AB206" s="13">
        <v>0.041</v>
      </c>
    </row>
    <row r="207" ht="14.25" customHeight="1">
      <c r="B207" s="31" t="s">
        <v>630</v>
      </c>
      <c r="C207" s="31" t="s">
        <v>636</v>
      </c>
      <c r="D207" s="31" t="s">
        <v>637</v>
      </c>
      <c r="E207" s="31" t="s">
        <v>648</v>
      </c>
      <c r="F207" s="31" t="s">
        <v>649</v>
      </c>
      <c r="G207" s="21" t="s">
        <v>640</v>
      </c>
      <c r="H207" s="30">
        <v>38897.0</v>
      </c>
      <c r="I207" s="21">
        <v>10.7</v>
      </c>
      <c r="J207" s="21" t="s">
        <v>641</v>
      </c>
      <c r="K207" s="28">
        <f t="shared" si="770"/>
        <v>41</v>
      </c>
      <c r="L207" s="21">
        <v>0.003</v>
      </c>
      <c r="M207" s="13">
        <f t="shared" si="771"/>
        <v>0.006099025449</v>
      </c>
      <c r="N207" s="13">
        <f t="shared" si="772"/>
        <v>0.01103557207</v>
      </c>
      <c r="O207" s="13">
        <f t="shared" si="773"/>
        <v>0.03741660481</v>
      </c>
      <c r="P207" s="13">
        <v>0.069</v>
      </c>
      <c r="Q207" s="13">
        <f t="shared" si="774"/>
        <v>0.542269635</v>
      </c>
      <c r="R207" s="13">
        <v>2.198545995E-4</v>
      </c>
      <c r="S207" s="13">
        <f t="shared" si="775"/>
        <v>0.01235848973</v>
      </c>
      <c r="T207" s="13">
        <f t="shared" si="776"/>
        <v>0.2977549857</v>
      </c>
      <c r="U207" s="13">
        <f t="shared" si="777"/>
        <v>10.71238014</v>
      </c>
      <c r="V207" s="13">
        <f t="shared" si="778"/>
        <v>0.0772149531</v>
      </c>
      <c r="W207" s="13">
        <f t="shared" si="779"/>
        <v>0.6849097274</v>
      </c>
      <c r="X207" s="12">
        <v>1.285</v>
      </c>
      <c r="Y207" s="13">
        <f t="shared" si="780"/>
        <v>0.5329003037</v>
      </c>
      <c r="Z207" s="13">
        <f t="shared" si="781"/>
        <v>0.0357705908</v>
      </c>
      <c r="AA207" s="13">
        <f t="shared" si="782"/>
        <v>0.02009685714</v>
      </c>
      <c r="AB207" s="13">
        <v>0.041</v>
      </c>
    </row>
    <row r="208" ht="14.25" customHeight="1">
      <c r="B208" s="31" t="s">
        <v>630</v>
      </c>
      <c r="C208" s="31" t="s">
        <v>636</v>
      </c>
      <c r="D208" s="31" t="s">
        <v>637</v>
      </c>
      <c r="E208" s="31" t="s">
        <v>650</v>
      </c>
      <c r="F208" s="31" t="s">
        <v>651</v>
      </c>
      <c r="G208" s="21" t="s">
        <v>640</v>
      </c>
      <c r="H208" s="30">
        <v>38897.0</v>
      </c>
      <c r="I208" s="21">
        <v>14.6</v>
      </c>
      <c r="J208" s="21" t="s">
        <v>641</v>
      </c>
      <c r="K208" s="28">
        <f t="shared" si="770"/>
        <v>41</v>
      </c>
      <c r="L208" s="21">
        <v>0.003</v>
      </c>
      <c r="M208" s="13">
        <f t="shared" si="771"/>
        <v>0.006099025449</v>
      </c>
      <c r="N208" s="13">
        <f t="shared" si="772"/>
        <v>0.01103557207</v>
      </c>
      <c r="O208" s="13">
        <f t="shared" si="773"/>
        <v>0.03741660481</v>
      </c>
      <c r="P208" s="13">
        <v>0.069</v>
      </c>
      <c r="Q208" s="13">
        <f t="shared" si="774"/>
        <v>0.542269635</v>
      </c>
      <c r="R208" s="13">
        <v>2.198545995E-4</v>
      </c>
      <c r="S208" s="13">
        <f t="shared" si="775"/>
        <v>0.01235848973</v>
      </c>
      <c r="T208" s="13">
        <f t="shared" si="776"/>
        <v>0.2977549857</v>
      </c>
      <c r="U208" s="13">
        <f t="shared" si="777"/>
        <v>10.71238014</v>
      </c>
      <c r="V208" s="13">
        <f t="shared" si="778"/>
        <v>0.0772149531</v>
      </c>
      <c r="W208" s="13">
        <f t="shared" si="779"/>
        <v>0.6849097274</v>
      </c>
      <c r="X208" s="12">
        <v>1.285</v>
      </c>
      <c r="Y208" s="13">
        <f t="shared" si="780"/>
        <v>0.5329003037</v>
      </c>
      <c r="Z208" s="13">
        <f t="shared" si="781"/>
        <v>0.0357705908</v>
      </c>
      <c r="AA208" s="13">
        <f t="shared" si="782"/>
        <v>0.02009685714</v>
      </c>
      <c r="AB208" s="13">
        <v>0.041</v>
      </c>
    </row>
    <row r="209" ht="14.25" customHeight="1">
      <c r="B209" s="31" t="s">
        <v>630</v>
      </c>
      <c r="C209" s="31" t="s">
        <v>652</v>
      </c>
      <c r="D209" s="31" t="s">
        <v>653</v>
      </c>
      <c r="E209" s="31" t="s">
        <v>654</v>
      </c>
      <c r="F209" s="31" t="s">
        <v>655</v>
      </c>
      <c r="G209" s="21" t="s">
        <v>640</v>
      </c>
      <c r="H209" s="30">
        <v>39402.0</v>
      </c>
      <c r="I209" s="21">
        <v>180.0</v>
      </c>
      <c r="J209" s="21" t="s">
        <v>656</v>
      </c>
      <c r="K209" s="12">
        <f t="shared" ref="K209:K215" si="783">(0.006+0.039)/0.0045734742446707</f>
        <v>9.839346981</v>
      </c>
      <c r="L209" s="21">
        <v>0.004</v>
      </c>
      <c r="M209" s="13">
        <f t="shared" ref="M209:M215" si="784">471.4/48802.7</f>
        <v>0.009659301637</v>
      </c>
      <c r="N209" s="13">
        <f t="shared" ref="N209:N215" si="785">471.4/15776.9</f>
        <v>0.02987912708</v>
      </c>
      <c r="O209" s="13">
        <f t="shared" ref="O209:O215" si="786">1901.2/51007.9</f>
        <v>0.03727265776</v>
      </c>
      <c r="P209" s="13">
        <v>0.063</v>
      </c>
      <c r="Q209" s="13">
        <f t="shared" ref="Q209:Q215" si="787">(1901.2/0.063)/51007.9</f>
        <v>0.5916294883</v>
      </c>
      <c r="R209" s="13">
        <v>2.198545995E-4</v>
      </c>
      <c r="S209" s="13">
        <f t="shared" ref="S209:S215" si="788">551.8/51007.9</f>
        <v>0.01081793212</v>
      </c>
      <c r="T209" s="13">
        <f t="shared" ref="T209:T215" si="789">11590.9/51007.9</f>
        <v>0.2272373495</v>
      </c>
      <c r="U209" s="13">
        <f t="shared" ref="U209:U215" si="790">ln(51007.9)</f>
        <v>10.8397358</v>
      </c>
      <c r="V209" s="13">
        <f t="shared" ref="V209:V215" si="791">2571.5/51007.9</f>
        <v>0.05041375944</v>
      </c>
      <c r="W209" s="13">
        <f t="shared" ref="W209:W215" si="792">38746.1/51007.9</f>
        <v>0.7596097859</v>
      </c>
      <c r="X209" s="12">
        <v>2.456</v>
      </c>
      <c r="Y209" s="13">
        <f t="shared" ref="Y209:Y215" si="793">15776.9/51007.9</f>
        <v>0.3093030687</v>
      </c>
      <c r="Z209" s="13">
        <f t="shared" ref="Z209:Z215" si="794">2205.2/51007.9</f>
        <v>0.04323251888</v>
      </c>
      <c r="AA209" s="13">
        <f t="shared" ref="AA209:AA215" si="795">49648.7/2500000</f>
        <v>0.01985948</v>
      </c>
      <c r="AB209" s="13">
        <v>0.036</v>
      </c>
    </row>
    <row r="210" ht="14.25" customHeight="1">
      <c r="B210" s="31" t="s">
        <v>630</v>
      </c>
      <c r="C210" s="31" t="s">
        <v>652</v>
      </c>
      <c r="D210" s="31" t="s">
        <v>653</v>
      </c>
      <c r="E210" s="31" t="s">
        <v>657</v>
      </c>
      <c r="F210" s="31" t="s">
        <v>658</v>
      </c>
      <c r="G210" s="21" t="s">
        <v>640</v>
      </c>
      <c r="H210" s="30">
        <v>39402.0</v>
      </c>
      <c r="I210" s="21">
        <v>288.9</v>
      </c>
      <c r="J210" s="21" t="s">
        <v>656</v>
      </c>
      <c r="K210" s="12">
        <f t="shared" si="783"/>
        <v>9.839346981</v>
      </c>
      <c r="L210" s="21">
        <v>0.004</v>
      </c>
      <c r="M210" s="13">
        <f t="shared" si="784"/>
        <v>0.009659301637</v>
      </c>
      <c r="N210" s="13">
        <f t="shared" si="785"/>
        <v>0.02987912708</v>
      </c>
      <c r="O210" s="13">
        <f t="shared" si="786"/>
        <v>0.03727265776</v>
      </c>
      <c r="P210" s="13">
        <v>0.063</v>
      </c>
      <c r="Q210" s="13">
        <f t="shared" si="787"/>
        <v>0.5916294883</v>
      </c>
      <c r="R210" s="13">
        <v>2.198545995E-4</v>
      </c>
      <c r="S210" s="13">
        <f t="shared" si="788"/>
        <v>0.01081793212</v>
      </c>
      <c r="T210" s="13">
        <f t="shared" si="789"/>
        <v>0.2272373495</v>
      </c>
      <c r="U210" s="13">
        <f t="shared" si="790"/>
        <v>10.8397358</v>
      </c>
      <c r="V210" s="13">
        <f t="shared" si="791"/>
        <v>0.05041375944</v>
      </c>
      <c r="W210" s="13">
        <f t="shared" si="792"/>
        <v>0.7596097859</v>
      </c>
      <c r="X210" s="12">
        <v>2.456</v>
      </c>
      <c r="Y210" s="13">
        <f t="shared" si="793"/>
        <v>0.3093030687</v>
      </c>
      <c r="Z210" s="13">
        <f t="shared" si="794"/>
        <v>0.04323251888</v>
      </c>
      <c r="AA210" s="13">
        <f t="shared" si="795"/>
        <v>0.01985948</v>
      </c>
      <c r="AB210" s="13">
        <v>0.036</v>
      </c>
    </row>
    <row r="211" ht="14.25" customHeight="1">
      <c r="B211" s="31" t="s">
        <v>630</v>
      </c>
      <c r="C211" s="31" t="s">
        <v>652</v>
      </c>
      <c r="D211" s="31" t="s">
        <v>653</v>
      </c>
      <c r="E211" s="31" t="s">
        <v>659</v>
      </c>
      <c r="F211" s="31" t="s">
        <v>660</v>
      </c>
      <c r="G211" s="21" t="s">
        <v>640</v>
      </c>
      <c r="H211" s="30">
        <v>39402.0</v>
      </c>
      <c r="I211" s="21">
        <v>91.2</v>
      </c>
      <c r="J211" s="21" t="s">
        <v>656</v>
      </c>
      <c r="K211" s="12">
        <f t="shared" si="783"/>
        <v>9.839346981</v>
      </c>
      <c r="L211" s="21">
        <v>0.004</v>
      </c>
      <c r="M211" s="13">
        <f t="shared" si="784"/>
        <v>0.009659301637</v>
      </c>
      <c r="N211" s="13">
        <f t="shared" si="785"/>
        <v>0.02987912708</v>
      </c>
      <c r="O211" s="13">
        <f t="shared" si="786"/>
        <v>0.03727265776</v>
      </c>
      <c r="P211" s="13">
        <v>0.063</v>
      </c>
      <c r="Q211" s="13">
        <f t="shared" si="787"/>
        <v>0.5916294883</v>
      </c>
      <c r="R211" s="13">
        <v>2.198545995E-4</v>
      </c>
      <c r="S211" s="13">
        <f t="shared" si="788"/>
        <v>0.01081793212</v>
      </c>
      <c r="T211" s="13">
        <f t="shared" si="789"/>
        <v>0.2272373495</v>
      </c>
      <c r="U211" s="13">
        <f t="shared" si="790"/>
        <v>10.8397358</v>
      </c>
      <c r="V211" s="13">
        <f t="shared" si="791"/>
        <v>0.05041375944</v>
      </c>
      <c r="W211" s="13">
        <f t="shared" si="792"/>
        <v>0.7596097859</v>
      </c>
      <c r="X211" s="12">
        <v>2.456</v>
      </c>
      <c r="Y211" s="13">
        <f t="shared" si="793"/>
        <v>0.3093030687</v>
      </c>
      <c r="Z211" s="13">
        <f t="shared" si="794"/>
        <v>0.04323251888</v>
      </c>
      <c r="AA211" s="13">
        <f t="shared" si="795"/>
        <v>0.01985948</v>
      </c>
      <c r="AB211" s="13">
        <v>0.036</v>
      </c>
    </row>
    <row r="212" ht="14.25" customHeight="1">
      <c r="B212" s="31" t="s">
        <v>630</v>
      </c>
      <c r="C212" s="31" t="s">
        <v>652</v>
      </c>
      <c r="D212" s="31" t="s">
        <v>653</v>
      </c>
      <c r="E212" s="31" t="s">
        <v>661</v>
      </c>
      <c r="F212" s="31" t="s">
        <v>662</v>
      </c>
      <c r="G212" s="21" t="s">
        <v>640</v>
      </c>
      <c r="H212" s="30">
        <v>39402.0</v>
      </c>
      <c r="I212" s="21">
        <v>23.1</v>
      </c>
      <c r="J212" s="21" t="s">
        <v>656</v>
      </c>
      <c r="K212" s="12">
        <f t="shared" si="783"/>
        <v>9.839346981</v>
      </c>
      <c r="L212" s="21">
        <v>0.004</v>
      </c>
      <c r="M212" s="13">
        <f t="shared" si="784"/>
        <v>0.009659301637</v>
      </c>
      <c r="N212" s="13">
        <f t="shared" si="785"/>
        <v>0.02987912708</v>
      </c>
      <c r="O212" s="13">
        <f t="shared" si="786"/>
        <v>0.03727265776</v>
      </c>
      <c r="P212" s="13">
        <v>0.063</v>
      </c>
      <c r="Q212" s="13">
        <f t="shared" si="787"/>
        <v>0.5916294883</v>
      </c>
      <c r="R212" s="13">
        <v>2.198545995E-4</v>
      </c>
      <c r="S212" s="13">
        <f t="shared" si="788"/>
        <v>0.01081793212</v>
      </c>
      <c r="T212" s="13">
        <f t="shared" si="789"/>
        <v>0.2272373495</v>
      </c>
      <c r="U212" s="13">
        <f t="shared" si="790"/>
        <v>10.8397358</v>
      </c>
      <c r="V212" s="13">
        <f t="shared" si="791"/>
        <v>0.05041375944</v>
      </c>
      <c r="W212" s="13">
        <f t="shared" si="792"/>
        <v>0.7596097859</v>
      </c>
      <c r="X212" s="12">
        <v>2.456</v>
      </c>
      <c r="Y212" s="13">
        <f t="shared" si="793"/>
        <v>0.3093030687</v>
      </c>
      <c r="Z212" s="13">
        <f t="shared" si="794"/>
        <v>0.04323251888</v>
      </c>
      <c r="AA212" s="13">
        <f t="shared" si="795"/>
        <v>0.01985948</v>
      </c>
      <c r="AB212" s="13">
        <v>0.036</v>
      </c>
    </row>
    <row r="213" ht="14.25" customHeight="1">
      <c r="B213" s="31" t="s">
        <v>630</v>
      </c>
      <c r="C213" s="31" t="s">
        <v>652</v>
      </c>
      <c r="D213" s="31" t="s">
        <v>653</v>
      </c>
      <c r="E213" s="31" t="s">
        <v>663</v>
      </c>
      <c r="F213" s="31" t="s">
        <v>664</v>
      </c>
      <c r="G213" s="21" t="s">
        <v>640</v>
      </c>
      <c r="H213" s="30">
        <v>39402.0</v>
      </c>
      <c r="I213" s="21">
        <v>6.0</v>
      </c>
      <c r="J213" s="21" t="s">
        <v>656</v>
      </c>
      <c r="K213" s="12">
        <f t="shared" si="783"/>
        <v>9.839346981</v>
      </c>
      <c r="L213" s="21">
        <v>0.004</v>
      </c>
      <c r="M213" s="13">
        <f t="shared" si="784"/>
        <v>0.009659301637</v>
      </c>
      <c r="N213" s="13">
        <f t="shared" si="785"/>
        <v>0.02987912708</v>
      </c>
      <c r="O213" s="13">
        <f t="shared" si="786"/>
        <v>0.03727265776</v>
      </c>
      <c r="P213" s="13">
        <v>0.063</v>
      </c>
      <c r="Q213" s="13">
        <f t="shared" si="787"/>
        <v>0.5916294883</v>
      </c>
      <c r="R213" s="13">
        <v>2.198545995E-4</v>
      </c>
      <c r="S213" s="13">
        <f t="shared" si="788"/>
        <v>0.01081793212</v>
      </c>
      <c r="T213" s="13">
        <f t="shared" si="789"/>
        <v>0.2272373495</v>
      </c>
      <c r="U213" s="13">
        <f t="shared" si="790"/>
        <v>10.8397358</v>
      </c>
      <c r="V213" s="13">
        <f t="shared" si="791"/>
        <v>0.05041375944</v>
      </c>
      <c r="W213" s="13">
        <f t="shared" si="792"/>
        <v>0.7596097859</v>
      </c>
      <c r="X213" s="12">
        <v>2.456</v>
      </c>
      <c r="Y213" s="13">
        <f t="shared" si="793"/>
        <v>0.3093030687</v>
      </c>
      <c r="Z213" s="13">
        <f t="shared" si="794"/>
        <v>0.04323251888</v>
      </c>
      <c r="AA213" s="13">
        <f t="shared" si="795"/>
        <v>0.01985948</v>
      </c>
      <c r="AB213" s="13">
        <v>0.036</v>
      </c>
    </row>
    <row r="214" ht="14.25" customHeight="1">
      <c r="B214" s="31" t="s">
        <v>630</v>
      </c>
      <c r="C214" s="31" t="s">
        <v>652</v>
      </c>
      <c r="D214" s="31" t="s">
        <v>653</v>
      </c>
      <c r="E214" s="31" t="s">
        <v>665</v>
      </c>
      <c r="F214" s="31" t="s">
        <v>666</v>
      </c>
      <c r="G214" s="21" t="s">
        <v>640</v>
      </c>
      <c r="H214" s="30">
        <v>39402.0</v>
      </c>
      <c r="I214" s="21">
        <v>10.8</v>
      </c>
      <c r="J214" s="21" t="s">
        <v>656</v>
      </c>
      <c r="K214" s="12">
        <f t="shared" si="783"/>
        <v>9.839346981</v>
      </c>
      <c r="L214" s="21">
        <v>0.004</v>
      </c>
      <c r="M214" s="13">
        <f t="shared" si="784"/>
        <v>0.009659301637</v>
      </c>
      <c r="N214" s="13">
        <f t="shared" si="785"/>
        <v>0.02987912708</v>
      </c>
      <c r="O214" s="13">
        <f t="shared" si="786"/>
        <v>0.03727265776</v>
      </c>
      <c r="P214" s="13">
        <v>0.063</v>
      </c>
      <c r="Q214" s="13">
        <f t="shared" si="787"/>
        <v>0.5916294883</v>
      </c>
      <c r="R214" s="13">
        <v>2.198545995E-4</v>
      </c>
      <c r="S214" s="13">
        <f t="shared" si="788"/>
        <v>0.01081793212</v>
      </c>
      <c r="T214" s="13">
        <f t="shared" si="789"/>
        <v>0.2272373495</v>
      </c>
      <c r="U214" s="13">
        <f t="shared" si="790"/>
        <v>10.8397358</v>
      </c>
      <c r="V214" s="13">
        <f t="shared" si="791"/>
        <v>0.05041375944</v>
      </c>
      <c r="W214" s="13">
        <f t="shared" si="792"/>
        <v>0.7596097859</v>
      </c>
      <c r="X214" s="12">
        <v>2.456</v>
      </c>
      <c r="Y214" s="13">
        <f t="shared" si="793"/>
        <v>0.3093030687</v>
      </c>
      <c r="Z214" s="13">
        <f t="shared" si="794"/>
        <v>0.04323251888</v>
      </c>
      <c r="AA214" s="13">
        <f t="shared" si="795"/>
        <v>0.01985948</v>
      </c>
      <c r="AB214" s="13">
        <v>0.036</v>
      </c>
    </row>
    <row r="215" ht="14.25" customHeight="1">
      <c r="B215" s="31" t="s">
        <v>630</v>
      </c>
      <c r="C215" s="31" t="s">
        <v>652</v>
      </c>
      <c r="D215" s="31" t="s">
        <v>653</v>
      </c>
      <c r="E215" s="31" t="s">
        <v>667</v>
      </c>
      <c r="F215" s="31" t="s">
        <v>668</v>
      </c>
      <c r="G215" s="21" t="s">
        <v>640</v>
      </c>
      <c r="H215" s="30">
        <v>39402.0</v>
      </c>
      <c r="I215" s="21">
        <v>17.4</v>
      </c>
      <c r="J215" s="21" t="s">
        <v>656</v>
      </c>
      <c r="K215" s="12">
        <f t="shared" si="783"/>
        <v>9.839346981</v>
      </c>
      <c r="L215" s="21">
        <v>0.004</v>
      </c>
      <c r="M215" s="13">
        <f t="shared" si="784"/>
        <v>0.009659301637</v>
      </c>
      <c r="N215" s="13">
        <f t="shared" si="785"/>
        <v>0.02987912708</v>
      </c>
      <c r="O215" s="13">
        <f t="shared" si="786"/>
        <v>0.03727265776</v>
      </c>
      <c r="P215" s="13">
        <v>0.063</v>
      </c>
      <c r="Q215" s="13">
        <f t="shared" si="787"/>
        <v>0.5916294883</v>
      </c>
      <c r="R215" s="13">
        <v>2.198545995E-4</v>
      </c>
      <c r="S215" s="13">
        <f t="shared" si="788"/>
        <v>0.01081793212</v>
      </c>
      <c r="T215" s="13">
        <f t="shared" si="789"/>
        <v>0.2272373495</v>
      </c>
      <c r="U215" s="13">
        <f t="shared" si="790"/>
        <v>10.8397358</v>
      </c>
      <c r="V215" s="13">
        <f t="shared" si="791"/>
        <v>0.05041375944</v>
      </c>
      <c r="W215" s="13">
        <f t="shared" si="792"/>
        <v>0.7596097859</v>
      </c>
      <c r="X215" s="12">
        <v>2.456</v>
      </c>
      <c r="Y215" s="13">
        <f t="shared" si="793"/>
        <v>0.3093030687</v>
      </c>
      <c r="Z215" s="13">
        <f t="shared" si="794"/>
        <v>0.04323251888</v>
      </c>
      <c r="AA215" s="13">
        <f t="shared" si="795"/>
        <v>0.01985948</v>
      </c>
      <c r="AB215" s="13">
        <v>0.036</v>
      </c>
    </row>
    <row r="216" ht="14.25" customHeight="1">
      <c r="B216" s="31" t="s">
        <v>630</v>
      </c>
      <c r="C216" s="31" t="s">
        <v>669</v>
      </c>
      <c r="D216" s="31" t="s">
        <v>670</v>
      </c>
      <c r="E216" s="31" t="s">
        <v>671</v>
      </c>
      <c r="F216" s="31" t="s">
        <v>672</v>
      </c>
      <c r="G216" s="21" t="s">
        <v>640</v>
      </c>
      <c r="H216" s="30">
        <v>39709.0</v>
      </c>
      <c r="I216" s="21">
        <v>160.0</v>
      </c>
      <c r="J216" s="21" t="s">
        <v>673</v>
      </c>
      <c r="K216" s="12">
        <f t="shared" ref="K216:K220" si="796">(0.004+0.037)/0.00095742710775634</f>
        <v>42.82310337</v>
      </c>
      <c r="L216" s="21">
        <v>0.004</v>
      </c>
      <c r="M216" s="13">
        <f t="shared" ref="M216:M220" si="797">482.3/51504.6</f>
        <v>0.009364212129</v>
      </c>
      <c r="N216" s="13">
        <f t="shared" ref="N216:N220" si="798">482.3/34775.1</f>
        <v>0.013869119</v>
      </c>
      <c r="O216" s="13">
        <f t="shared" ref="O216:O220" si="799">1901.2/53469.6</f>
        <v>0.03555665275</v>
      </c>
      <c r="P216" s="13">
        <v>0.072</v>
      </c>
      <c r="Q216" s="13">
        <f t="shared" ref="Q216:Q220" si="800">(1901.2/0.072)/53469.6</f>
        <v>0.4938423993</v>
      </c>
      <c r="R216" s="13">
        <v>2.198545995E-4</v>
      </c>
      <c r="S216" s="13">
        <f t="shared" ref="S216:S220" si="801">382.1/53469.6</f>
        <v>0.007146116672</v>
      </c>
      <c r="T216" s="13">
        <f t="shared" ref="T216:T220" si="802">11442.3/53469.6</f>
        <v>0.2139963643</v>
      </c>
      <c r="U216" s="13">
        <f t="shared" ref="U216:U220" si="803">ln(53469.6)</f>
        <v>10.88686855</v>
      </c>
      <c r="V216" s="13">
        <f t="shared" ref="V216:V220" si="804">2437.5/53469.6</f>
        <v>0.04558665111</v>
      </c>
      <c r="W216" s="13">
        <f t="shared" ref="W216:W220" si="805">40896.6/53469.6</f>
        <v>0.7648570403</v>
      </c>
      <c r="X216" s="12">
        <v>1.176</v>
      </c>
      <c r="Y216" s="13">
        <f t="shared" ref="Y216:Y220" si="806">34775.1/53469.6</f>
        <v>0.650371426</v>
      </c>
      <c r="Z216" s="13">
        <f t="shared" ref="Z216:Z220" si="807">1965/53469.6</f>
        <v>0.03674985412</v>
      </c>
      <c r="AA216" s="13">
        <f t="shared" ref="AA216:AA220" si="808">49521.6/2750000</f>
        <v>0.01800785455</v>
      </c>
      <c r="AB216" s="13">
        <v>0.009</v>
      </c>
    </row>
    <row r="217" ht="14.25" customHeight="1">
      <c r="B217" s="31" t="s">
        <v>630</v>
      </c>
      <c r="C217" s="31" t="s">
        <v>669</v>
      </c>
      <c r="D217" s="31" t="s">
        <v>670</v>
      </c>
      <c r="E217" s="31" t="s">
        <v>674</v>
      </c>
      <c r="F217" s="31" t="s">
        <v>675</v>
      </c>
      <c r="G217" s="21" t="s">
        <v>640</v>
      </c>
      <c r="H217" s="30">
        <v>39709.0</v>
      </c>
      <c r="I217" s="21">
        <v>174.4</v>
      </c>
      <c r="J217" s="21" t="s">
        <v>673</v>
      </c>
      <c r="K217" s="12">
        <f t="shared" si="796"/>
        <v>42.82310337</v>
      </c>
      <c r="L217" s="21">
        <v>0.004</v>
      </c>
      <c r="M217" s="13">
        <f t="shared" si="797"/>
        <v>0.009364212129</v>
      </c>
      <c r="N217" s="13">
        <f t="shared" si="798"/>
        <v>0.013869119</v>
      </c>
      <c r="O217" s="13">
        <f t="shared" si="799"/>
        <v>0.03555665275</v>
      </c>
      <c r="P217" s="13">
        <v>0.072</v>
      </c>
      <c r="Q217" s="13">
        <f t="shared" si="800"/>
        <v>0.4938423993</v>
      </c>
      <c r="R217" s="13">
        <v>2.198545995E-4</v>
      </c>
      <c r="S217" s="13">
        <f t="shared" si="801"/>
        <v>0.007146116672</v>
      </c>
      <c r="T217" s="13">
        <f t="shared" si="802"/>
        <v>0.2139963643</v>
      </c>
      <c r="U217" s="13">
        <f t="shared" si="803"/>
        <v>10.88686855</v>
      </c>
      <c r="V217" s="13">
        <f t="shared" si="804"/>
        <v>0.04558665111</v>
      </c>
      <c r="W217" s="13">
        <f t="shared" si="805"/>
        <v>0.7648570403</v>
      </c>
      <c r="X217" s="12">
        <v>1.176</v>
      </c>
      <c r="Y217" s="13">
        <f t="shared" si="806"/>
        <v>0.650371426</v>
      </c>
      <c r="Z217" s="13">
        <f t="shared" si="807"/>
        <v>0.03674985412</v>
      </c>
      <c r="AA217" s="13">
        <f t="shared" si="808"/>
        <v>0.01800785455</v>
      </c>
      <c r="AB217" s="13">
        <v>0.009</v>
      </c>
    </row>
    <row r="218" ht="14.25" customHeight="1">
      <c r="B218" s="31" t="s">
        <v>630</v>
      </c>
      <c r="C218" s="31" t="s">
        <v>669</v>
      </c>
      <c r="D218" s="31" t="s">
        <v>670</v>
      </c>
      <c r="E218" s="31" t="s">
        <v>676</v>
      </c>
      <c r="F218" s="31" t="s">
        <v>677</v>
      </c>
      <c r="G218" s="21" t="s">
        <v>640</v>
      </c>
      <c r="H218" s="30">
        <v>39709.0</v>
      </c>
      <c r="I218" s="21">
        <v>19.6</v>
      </c>
      <c r="J218" s="21" t="s">
        <v>673</v>
      </c>
      <c r="K218" s="12">
        <f t="shared" si="796"/>
        <v>42.82310337</v>
      </c>
      <c r="L218" s="21">
        <v>0.004</v>
      </c>
      <c r="M218" s="13">
        <f t="shared" si="797"/>
        <v>0.009364212129</v>
      </c>
      <c r="N218" s="13">
        <f t="shared" si="798"/>
        <v>0.013869119</v>
      </c>
      <c r="O218" s="13">
        <f t="shared" si="799"/>
        <v>0.03555665275</v>
      </c>
      <c r="P218" s="13">
        <v>0.072</v>
      </c>
      <c r="Q218" s="13">
        <f t="shared" si="800"/>
        <v>0.4938423993</v>
      </c>
      <c r="R218" s="13">
        <v>2.198545995E-4</v>
      </c>
      <c r="S218" s="13">
        <f t="shared" si="801"/>
        <v>0.007146116672</v>
      </c>
      <c r="T218" s="13">
        <f t="shared" si="802"/>
        <v>0.2139963643</v>
      </c>
      <c r="U218" s="13">
        <f t="shared" si="803"/>
        <v>10.88686855</v>
      </c>
      <c r="V218" s="13">
        <f t="shared" si="804"/>
        <v>0.04558665111</v>
      </c>
      <c r="W218" s="13">
        <f t="shared" si="805"/>
        <v>0.7648570403</v>
      </c>
      <c r="X218" s="12">
        <v>1.176</v>
      </c>
      <c r="Y218" s="13">
        <f t="shared" si="806"/>
        <v>0.650371426</v>
      </c>
      <c r="Z218" s="13">
        <f t="shared" si="807"/>
        <v>0.03674985412</v>
      </c>
      <c r="AA218" s="13">
        <f t="shared" si="808"/>
        <v>0.01800785455</v>
      </c>
      <c r="AB218" s="13">
        <v>0.009</v>
      </c>
    </row>
    <row r="219" ht="14.25" customHeight="1">
      <c r="B219" s="31" t="s">
        <v>630</v>
      </c>
      <c r="C219" s="31" t="s">
        <v>669</v>
      </c>
      <c r="D219" s="31" t="s">
        <v>670</v>
      </c>
      <c r="E219" s="31" t="s">
        <v>678</v>
      </c>
      <c r="F219" s="31" t="s">
        <v>679</v>
      </c>
      <c r="G219" s="21" t="s">
        <v>640</v>
      </c>
      <c r="H219" s="30">
        <v>39709.0</v>
      </c>
      <c r="I219" s="21">
        <v>30.0</v>
      </c>
      <c r="J219" s="21" t="s">
        <v>673</v>
      </c>
      <c r="K219" s="12">
        <f t="shared" si="796"/>
        <v>42.82310337</v>
      </c>
      <c r="L219" s="21">
        <v>0.004</v>
      </c>
      <c r="M219" s="13">
        <f t="shared" si="797"/>
        <v>0.009364212129</v>
      </c>
      <c r="N219" s="13">
        <f t="shared" si="798"/>
        <v>0.013869119</v>
      </c>
      <c r="O219" s="13">
        <f t="shared" si="799"/>
        <v>0.03555665275</v>
      </c>
      <c r="P219" s="13">
        <v>0.072</v>
      </c>
      <c r="Q219" s="13">
        <f t="shared" si="800"/>
        <v>0.4938423993</v>
      </c>
      <c r="R219" s="13">
        <v>2.19854599499999E-4</v>
      </c>
      <c r="S219" s="13">
        <f t="shared" si="801"/>
        <v>0.007146116672</v>
      </c>
      <c r="T219" s="13">
        <f t="shared" si="802"/>
        <v>0.2139963643</v>
      </c>
      <c r="U219" s="13">
        <f t="shared" si="803"/>
        <v>10.88686855</v>
      </c>
      <c r="V219" s="13">
        <f t="shared" si="804"/>
        <v>0.04558665111</v>
      </c>
      <c r="W219" s="13">
        <f t="shared" si="805"/>
        <v>0.7648570403</v>
      </c>
      <c r="X219" s="12">
        <v>1.176</v>
      </c>
      <c r="Y219" s="13">
        <f t="shared" si="806"/>
        <v>0.650371426</v>
      </c>
      <c r="Z219" s="13">
        <f t="shared" si="807"/>
        <v>0.03674985412</v>
      </c>
      <c r="AA219" s="13">
        <f t="shared" si="808"/>
        <v>0.01800785455</v>
      </c>
      <c r="AB219" s="13">
        <v>0.009</v>
      </c>
    </row>
    <row r="220" ht="14.25" customHeight="1">
      <c r="B220" s="31" t="s">
        <v>630</v>
      </c>
      <c r="C220" s="31" t="s">
        <v>669</v>
      </c>
      <c r="D220" s="31" t="s">
        <v>670</v>
      </c>
      <c r="E220" s="31" t="s">
        <v>680</v>
      </c>
      <c r="F220" s="31" t="s">
        <v>681</v>
      </c>
      <c r="G220" s="21" t="s">
        <v>640</v>
      </c>
      <c r="H220" s="30">
        <v>39709.0</v>
      </c>
      <c r="I220" s="21">
        <v>16.0</v>
      </c>
      <c r="J220" s="21" t="s">
        <v>673</v>
      </c>
      <c r="K220" s="12">
        <f t="shared" si="796"/>
        <v>42.82310337</v>
      </c>
      <c r="L220" s="21">
        <v>0.004</v>
      </c>
      <c r="M220" s="13">
        <f t="shared" si="797"/>
        <v>0.009364212129</v>
      </c>
      <c r="N220" s="13">
        <f t="shared" si="798"/>
        <v>0.013869119</v>
      </c>
      <c r="O220" s="13">
        <f t="shared" si="799"/>
        <v>0.03555665275</v>
      </c>
      <c r="P220" s="13">
        <v>0.072</v>
      </c>
      <c r="Q220" s="13">
        <f t="shared" si="800"/>
        <v>0.4938423993</v>
      </c>
      <c r="R220" s="13">
        <v>2.19854599499999E-4</v>
      </c>
      <c r="S220" s="13">
        <f t="shared" si="801"/>
        <v>0.007146116672</v>
      </c>
      <c r="T220" s="13">
        <f t="shared" si="802"/>
        <v>0.2139963643</v>
      </c>
      <c r="U220" s="13">
        <f t="shared" si="803"/>
        <v>10.88686855</v>
      </c>
      <c r="V220" s="13">
        <f t="shared" si="804"/>
        <v>0.04558665111</v>
      </c>
      <c r="W220" s="13">
        <f t="shared" si="805"/>
        <v>0.7648570403</v>
      </c>
      <c r="X220" s="12">
        <v>1.176</v>
      </c>
      <c r="Y220" s="13">
        <f t="shared" si="806"/>
        <v>0.650371426</v>
      </c>
      <c r="Z220" s="13">
        <f t="shared" si="807"/>
        <v>0.03674985412</v>
      </c>
      <c r="AA220" s="13">
        <f t="shared" si="808"/>
        <v>0.01800785455</v>
      </c>
      <c r="AB220" s="13">
        <v>0.009</v>
      </c>
    </row>
    <row r="221" ht="14.25" customHeight="1">
      <c r="B221" s="31" t="s">
        <v>630</v>
      </c>
      <c r="C221" s="31" t="s">
        <v>682</v>
      </c>
      <c r="D221" s="31" t="s">
        <v>683</v>
      </c>
      <c r="E221" s="31" t="s">
        <v>684</v>
      </c>
      <c r="F221" s="31" t="s">
        <v>685</v>
      </c>
      <c r="G221" s="21" t="s">
        <v>686</v>
      </c>
      <c r="H221" s="29">
        <v>39394.0</v>
      </c>
      <c r="I221" s="27">
        <v>1000.0</v>
      </c>
      <c r="J221" s="21" t="s">
        <v>656</v>
      </c>
      <c r="K221" s="28">
        <f t="shared" ref="K221:K225" si="809">(0.012+0.055)/0.0005</f>
        <v>134</v>
      </c>
      <c r="L221" s="21">
        <v>0.011</v>
      </c>
      <c r="M221" s="13">
        <f t="shared" ref="M221:M225" si="810">4679.5/456795</f>
        <v>0.01024420145</v>
      </c>
      <c r="N221" s="13">
        <f t="shared" ref="N221:N225" si="811">4679.5/281842</f>
        <v>0.01660327417</v>
      </c>
      <c r="O221" s="13">
        <f t="shared" ref="O221:O225" si="812">20460/483391</f>
        <v>0.04232598455</v>
      </c>
      <c r="P221" s="13">
        <v>0.078</v>
      </c>
      <c r="Q221" s="13">
        <f t="shared" ref="Q221:Q225" si="813">(20460/0.078)/483391</f>
        <v>0.5426408276</v>
      </c>
      <c r="R221" s="13">
        <v>0.0014158278310534669</v>
      </c>
      <c r="S221" s="13">
        <f t="shared" ref="S221:S225" si="814">10304/483391</f>
        <v>0.02131607746</v>
      </c>
      <c r="T221" s="13">
        <f t="shared" ref="T221:T225" si="815">122572/483391</f>
        <v>0.2535669882</v>
      </c>
      <c r="U221" s="13">
        <f t="shared" ref="U221:U225" si="816">ln(501726)</f>
        <v>13.12580943</v>
      </c>
      <c r="V221" s="13">
        <f t="shared" ref="V221:V225" si="817">59902/483391</f>
        <v>0.1239203874</v>
      </c>
      <c r="W221" s="13">
        <f t="shared" ref="W221:W225" si="818">335375/483391</f>
        <v>0.6937965332</v>
      </c>
      <c r="X221" s="12">
        <v>1.19</v>
      </c>
      <c r="Y221" s="13">
        <f t="shared" ref="Y221:Y225" si="819">281842/483391</f>
        <v>0.5830518152</v>
      </c>
      <c r="Z221" s="13">
        <f t="shared" ref="Z221:Z225" si="820">26596/483391</f>
        <v>0.05501964248</v>
      </c>
      <c r="AA221" s="13">
        <f t="shared" ref="AA221:AA225" si="821">501726/4835289.6</f>
        <v>0.1037633816</v>
      </c>
      <c r="AB221" s="13">
        <v>0.036</v>
      </c>
    </row>
    <row r="222" ht="14.25" customHeight="1">
      <c r="B222" s="31" t="s">
        <v>630</v>
      </c>
      <c r="C222" s="31" t="s">
        <v>682</v>
      </c>
      <c r="D222" s="31" t="s">
        <v>683</v>
      </c>
      <c r="E222" s="31" t="s">
        <v>687</v>
      </c>
      <c r="F222" s="31" t="s">
        <v>688</v>
      </c>
      <c r="G222" s="21" t="s">
        <v>686</v>
      </c>
      <c r="H222" s="29">
        <v>39394.0</v>
      </c>
      <c r="I222" s="21">
        <v>200.0</v>
      </c>
      <c r="J222" s="21" t="s">
        <v>656</v>
      </c>
      <c r="K222" s="28">
        <f t="shared" si="809"/>
        <v>134</v>
      </c>
      <c r="L222" s="21">
        <v>0.011</v>
      </c>
      <c r="M222" s="13">
        <f t="shared" si="810"/>
        <v>0.01024420145</v>
      </c>
      <c r="N222" s="13">
        <f t="shared" si="811"/>
        <v>0.01660327417</v>
      </c>
      <c r="O222" s="13">
        <f t="shared" si="812"/>
        <v>0.04232598455</v>
      </c>
      <c r="P222" s="13">
        <v>0.078</v>
      </c>
      <c r="Q222" s="13">
        <f t="shared" si="813"/>
        <v>0.5426408276</v>
      </c>
      <c r="R222" s="13">
        <v>0.0014158278310534669</v>
      </c>
      <c r="S222" s="13">
        <f t="shared" si="814"/>
        <v>0.02131607746</v>
      </c>
      <c r="T222" s="13">
        <f t="shared" si="815"/>
        <v>0.2535669882</v>
      </c>
      <c r="U222" s="13">
        <f t="shared" si="816"/>
        <v>13.12580943</v>
      </c>
      <c r="V222" s="13">
        <f t="shared" si="817"/>
        <v>0.1239203874</v>
      </c>
      <c r="W222" s="13">
        <f t="shared" si="818"/>
        <v>0.6937965332</v>
      </c>
      <c r="X222" s="12">
        <v>1.19</v>
      </c>
      <c r="Y222" s="13">
        <f t="shared" si="819"/>
        <v>0.5830518152</v>
      </c>
      <c r="Z222" s="13">
        <f t="shared" si="820"/>
        <v>0.05501964248</v>
      </c>
      <c r="AA222" s="13">
        <f t="shared" si="821"/>
        <v>0.1037633816</v>
      </c>
      <c r="AB222" s="13">
        <v>0.036</v>
      </c>
    </row>
    <row r="223" ht="14.25" customHeight="1">
      <c r="B223" s="31" t="s">
        <v>630</v>
      </c>
      <c r="C223" s="31" t="s">
        <v>682</v>
      </c>
      <c r="D223" s="31" t="s">
        <v>683</v>
      </c>
      <c r="E223" s="31" t="s">
        <v>689</v>
      </c>
      <c r="F223" s="31" t="s">
        <v>690</v>
      </c>
      <c r="G223" s="21" t="s">
        <v>686</v>
      </c>
      <c r="H223" s="29">
        <v>39394.0</v>
      </c>
      <c r="I223" s="21">
        <v>121.6</v>
      </c>
      <c r="J223" s="21" t="s">
        <v>656</v>
      </c>
      <c r="K223" s="28">
        <f t="shared" si="809"/>
        <v>134</v>
      </c>
      <c r="L223" s="21">
        <v>0.011</v>
      </c>
      <c r="M223" s="13">
        <f t="shared" si="810"/>
        <v>0.01024420145</v>
      </c>
      <c r="N223" s="13">
        <f t="shared" si="811"/>
        <v>0.01660327417</v>
      </c>
      <c r="O223" s="13">
        <f t="shared" si="812"/>
        <v>0.04232598455</v>
      </c>
      <c r="P223" s="13">
        <v>0.078</v>
      </c>
      <c r="Q223" s="13">
        <f t="shared" si="813"/>
        <v>0.5426408276</v>
      </c>
      <c r="R223" s="13">
        <v>0.0014158278310534669</v>
      </c>
      <c r="S223" s="13">
        <f t="shared" si="814"/>
        <v>0.02131607746</v>
      </c>
      <c r="T223" s="13">
        <f t="shared" si="815"/>
        <v>0.2535669882</v>
      </c>
      <c r="U223" s="13">
        <f t="shared" si="816"/>
        <v>13.12580943</v>
      </c>
      <c r="V223" s="13">
        <f t="shared" si="817"/>
        <v>0.1239203874</v>
      </c>
      <c r="W223" s="13">
        <f t="shared" si="818"/>
        <v>0.6937965332</v>
      </c>
      <c r="X223" s="12">
        <v>1.19</v>
      </c>
      <c r="Y223" s="13">
        <f t="shared" si="819"/>
        <v>0.5830518152</v>
      </c>
      <c r="Z223" s="13">
        <f t="shared" si="820"/>
        <v>0.05501964248</v>
      </c>
      <c r="AA223" s="13">
        <f t="shared" si="821"/>
        <v>0.1037633816</v>
      </c>
      <c r="AB223" s="13">
        <v>0.036</v>
      </c>
    </row>
    <row r="224" ht="14.25" customHeight="1">
      <c r="B224" s="31" t="s">
        <v>630</v>
      </c>
      <c r="C224" s="31" t="s">
        <v>682</v>
      </c>
      <c r="D224" s="31" t="s">
        <v>683</v>
      </c>
      <c r="E224" s="31" t="s">
        <v>691</v>
      </c>
      <c r="F224" s="31" t="s">
        <v>692</v>
      </c>
      <c r="G224" s="21" t="s">
        <v>686</v>
      </c>
      <c r="H224" s="29">
        <v>39394.0</v>
      </c>
      <c r="I224" s="21">
        <v>50.1</v>
      </c>
      <c r="J224" s="21" t="s">
        <v>656</v>
      </c>
      <c r="K224" s="28">
        <f t="shared" si="809"/>
        <v>134</v>
      </c>
      <c r="L224" s="21">
        <v>0.011</v>
      </c>
      <c r="M224" s="13">
        <f t="shared" si="810"/>
        <v>0.01024420145</v>
      </c>
      <c r="N224" s="13">
        <f t="shared" si="811"/>
        <v>0.01660327417</v>
      </c>
      <c r="O224" s="13">
        <f t="shared" si="812"/>
        <v>0.04232598455</v>
      </c>
      <c r="P224" s="13">
        <v>0.078</v>
      </c>
      <c r="Q224" s="13">
        <f t="shared" si="813"/>
        <v>0.5426408276</v>
      </c>
      <c r="R224" s="13">
        <v>0.0014158278310534669</v>
      </c>
      <c r="S224" s="13">
        <f t="shared" si="814"/>
        <v>0.02131607746</v>
      </c>
      <c r="T224" s="13">
        <f t="shared" si="815"/>
        <v>0.2535669882</v>
      </c>
      <c r="U224" s="13">
        <f t="shared" si="816"/>
        <v>13.12580943</v>
      </c>
      <c r="V224" s="13">
        <f t="shared" si="817"/>
        <v>0.1239203874</v>
      </c>
      <c r="W224" s="13">
        <f t="shared" si="818"/>
        <v>0.6937965332</v>
      </c>
      <c r="X224" s="12">
        <v>1.19</v>
      </c>
      <c r="Y224" s="13">
        <f t="shared" si="819"/>
        <v>0.5830518152</v>
      </c>
      <c r="Z224" s="13">
        <f t="shared" si="820"/>
        <v>0.05501964248</v>
      </c>
      <c r="AA224" s="13">
        <f t="shared" si="821"/>
        <v>0.1037633816</v>
      </c>
      <c r="AB224" s="13">
        <v>0.036</v>
      </c>
    </row>
    <row r="225" ht="14.25" customHeight="1">
      <c r="B225" s="31" t="s">
        <v>630</v>
      </c>
      <c r="C225" s="31" t="s">
        <v>682</v>
      </c>
      <c r="D225" s="31" t="s">
        <v>683</v>
      </c>
      <c r="E225" s="31" t="s">
        <v>693</v>
      </c>
      <c r="F225" s="31" t="s">
        <v>694</v>
      </c>
      <c r="G225" s="21" t="s">
        <v>686</v>
      </c>
      <c r="H225" s="29">
        <v>39394.0</v>
      </c>
      <c r="I225" s="21">
        <v>78.3</v>
      </c>
      <c r="J225" s="21" t="s">
        <v>656</v>
      </c>
      <c r="K225" s="28">
        <f t="shared" si="809"/>
        <v>134</v>
      </c>
      <c r="L225" s="21">
        <v>0.011</v>
      </c>
      <c r="M225" s="13">
        <f t="shared" si="810"/>
        <v>0.01024420145</v>
      </c>
      <c r="N225" s="13">
        <f t="shared" si="811"/>
        <v>0.01660327417</v>
      </c>
      <c r="O225" s="13">
        <f t="shared" si="812"/>
        <v>0.04232598455</v>
      </c>
      <c r="P225" s="13">
        <v>0.078</v>
      </c>
      <c r="Q225" s="13">
        <f t="shared" si="813"/>
        <v>0.5426408276</v>
      </c>
      <c r="R225" s="13">
        <v>0.0014158278310534669</v>
      </c>
      <c r="S225" s="13">
        <f t="shared" si="814"/>
        <v>0.02131607746</v>
      </c>
      <c r="T225" s="13">
        <f t="shared" si="815"/>
        <v>0.2535669882</v>
      </c>
      <c r="U225" s="13">
        <f t="shared" si="816"/>
        <v>13.12580943</v>
      </c>
      <c r="V225" s="13">
        <f t="shared" si="817"/>
        <v>0.1239203874</v>
      </c>
      <c r="W225" s="13">
        <f t="shared" si="818"/>
        <v>0.6937965332</v>
      </c>
      <c r="X225" s="12">
        <v>1.19</v>
      </c>
      <c r="Y225" s="13">
        <f t="shared" si="819"/>
        <v>0.5830518152</v>
      </c>
      <c r="Z225" s="13">
        <f t="shared" si="820"/>
        <v>0.05501964248</v>
      </c>
      <c r="AA225" s="13">
        <f t="shared" si="821"/>
        <v>0.1037633816</v>
      </c>
      <c r="AB225" s="13">
        <v>0.036</v>
      </c>
    </row>
    <row r="226" ht="14.25" customHeight="1">
      <c r="B226" s="31" t="s">
        <v>630</v>
      </c>
      <c r="C226" s="31" t="s">
        <v>695</v>
      </c>
      <c r="D226" s="31" t="s">
        <v>696</v>
      </c>
      <c r="E226" s="31" t="s">
        <v>697</v>
      </c>
      <c r="F226" s="31" t="s">
        <v>698</v>
      </c>
      <c r="G226" s="21" t="s">
        <v>686</v>
      </c>
      <c r="H226" s="30">
        <v>39884.0</v>
      </c>
      <c r="I226" s="32">
        <v>2416.8</v>
      </c>
      <c r="J226" s="21" t="s">
        <v>479</v>
      </c>
      <c r="K226" s="12">
        <f t="shared" ref="K226:K228" si="822">(0.012+0.054)/0.0028284271247462</f>
        <v>23.33452378</v>
      </c>
      <c r="L226" s="21">
        <v>0.035</v>
      </c>
      <c r="M226" s="13">
        <f t="shared" ref="M226:M228" si="823">2473.25/512733.9</f>
        <v>0.004823652191</v>
      </c>
      <c r="N226" s="13">
        <f t="shared" ref="N226:N228" si="824">2473.25/411540</f>
        <v>0.006009743889</v>
      </c>
      <c r="O226" s="13">
        <f t="shared" ref="O226:O228" si="825">23724/542634.5</f>
        <v>0.04372003623</v>
      </c>
      <c r="P226" s="13">
        <v>0.082</v>
      </c>
      <c r="Q226" s="13">
        <f t="shared" ref="Q226:Q228" si="826">(23724/0.082)/542634.5</f>
        <v>0.5331711735</v>
      </c>
      <c r="R226" s="13">
        <v>0.0030792307583454794</v>
      </c>
      <c r="S226" s="13">
        <f t="shared" ref="S226:S228" si="827">14790.3/542634.5</f>
        <v>0.02725646821</v>
      </c>
      <c r="T226" s="13">
        <f t="shared" ref="T226:T228" si="828">162022.5/542634.5</f>
        <v>0.2985849591</v>
      </c>
      <c r="U226" s="13">
        <f t="shared" ref="U226:U228" si="829">ln(543350)</f>
        <v>13.20550896</v>
      </c>
      <c r="V226" s="13">
        <f t="shared" ref="V226:V228" si="830">71064.1/542634.5</f>
        <v>0.130961264</v>
      </c>
      <c r="W226" s="13">
        <f t="shared" ref="W226:W228" si="831">327926.2/542634.5</f>
        <v>0.6043224307</v>
      </c>
      <c r="X226" s="12">
        <v>0.797</v>
      </c>
      <c r="Y226" s="13">
        <f t="shared" ref="Y226:Y228" si="832">411540/542634.5</f>
        <v>0.7584110483</v>
      </c>
      <c r="Z226" s="13">
        <f t="shared" ref="Z226:Z228" si="833">29900.5/542634.5</f>
        <v>0.05510246768</v>
      </c>
      <c r="AA226" s="13">
        <f t="shared" ref="AA226:AA228" si="834">543350/4746449.4</f>
        <v>0.1144750432</v>
      </c>
      <c r="AB226" s="13">
        <v>-0.038</v>
      </c>
    </row>
    <row r="227" ht="14.25" customHeight="1">
      <c r="B227" s="31" t="s">
        <v>630</v>
      </c>
      <c r="C227" s="31" t="s">
        <v>695</v>
      </c>
      <c r="D227" s="31" t="s">
        <v>696</v>
      </c>
      <c r="E227" s="31" t="s">
        <v>699</v>
      </c>
      <c r="F227" s="31" t="s">
        <v>700</v>
      </c>
      <c r="G227" s="21" t="s">
        <v>686</v>
      </c>
      <c r="H227" s="30">
        <v>39884.0</v>
      </c>
      <c r="I227" s="21">
        <v>153.9</v>
      </c>
      <c r="J227" s="21" t="s">
        <v>479</v>
      </c>
      <c r="K227" s="12">
        <f t="shared" si="822"/>
        <v>23.33452378</v>
      </c>
      <c r="L227" s="21">
        <v>0.035</v>
      </c>
      <c r="M227" s="13">
        <f t="shared" si="823"/>
        <v>0.004823652191</v>
      </c>
      <c r="N227" s="13">
        <f t="shared" si="824"/>
        <v>0.006009743889</v>
      </c>
      <c r="O227" s="13">
        <f t="shared" si="825"/>
        <v>0.04372003623</v>
      </c>
      <c r="P227" s="13">
        <v>0.082</v>
      </c>
      <c r="Q227" s="13">
        <f t="shared" si="826"/>
        <v>0.5331711735</v>
      </c>
      <c r="R227" s="13">
        <v>0.0030792307583454794</v>
      </c>
      <c r="S227" s="13">
        <f t="shared" si="827"/>
        <v>0.02725646821</v>
      </c>
      <c r="T227" s="13">
        <f t="shared" si="828"/>
        <v>0.2985849591</v>
      </c>
      <c r="U227" s="13">
        <f t="shared" si="829"/>
        <v>13.20550896</v>
      </c>
      <c r="V227" s="13">
        <f t="shared" si="830"/>
        <v>0.130961264</v>
      </c>
      <c r="W227" s="13">
        <f t="shared" si="831"/>
        <v>0.6043224307</v>
      </c>
      <c r="X227" s="12">
        <v>0.797</v>
      </c>
      <c r="Y227" s="13">
        <f t="shared" si="832"/>
        <v>0.7584110483</v>
      </c>
      <c r="Z227" s="13">
        <f t="shared" si="833"/>
        <v>0.05510246768</v>
      </c>
      <c r="AA227" s="13">
        <f t="shared" si="834"/>
        <v>0.1144750432</v>
      </c>
      <c r="AB227" s="13">
        <v>-0.038</v>
      </c>
    </row>
    <row r="228" ht="14.25" customHeight="1">
      <c r="B228" s="31" t="s">
        <v>630</v>
      </c>
      <c r="C228" s="31" t="s">
        <v>695</v>
      </c>
      <c r="D228" s="31" t="s">
        <v>696</v>
      </c>
      <c r="E228" s="31" t="s">
        <v>701</v>
      </c>
      <c r="F228" s="31" t="s">
        <v>702</v>
      </c>
      <c r="G228" s="21" t="s">
        <v>686</v>
      </c>
      <c r="H228" s="30">
        <v>39884.0</v>
      </c>
      <c r="I228" s="21">
        <v>279.3</v>
      </c>
      <c r="J228" s="21" t="s">
        <v>479</v>
      </c>
      <c r="K228" s="12">
        <f t="shared" si="822"/>
        <v>23.33452378</v>
      </c>
      <c r="L228" s="21">
        <v>0.035</v>
      </c>
      <c r="M228" s="13">
        <f t="shared" si="823"/>
        <v>0.004823652191</v>
      </c>
      <c r="N228" s="13">
        <f t="shared" si="824"/>
        <v>0.006009743889</v>
      </c>
      <c r="O228" s="13">
        <f t="shared" si="825"/>
        <v>0.04372003623</v>
      </c>
      <c r="P228" s="13">
        <v>0.082</v>
      </c>
      <c r="Q228" s="13">
        <f t="shared" si="826"/>
        <v>0.5331711735</v>
      </c>
      <c r="R228" s="13">
        <v>0.0030792307583454794</v>
      </c>
      <c r="S228" s="13">
        <f t="shared" si="827"/>
        <v>0.02725646821</v>
      </c>
      <c r="T228" s="13">
        <f t="shared" si="828"/>
        <v>0.2985849591</v>
      </c>
      <c r="U228" s="13">
        <f t="shared" si="829"/>
        <v>13.20550896</v>
      </c>
      <c r="V228" s="13">
        <f t="shared" si="830"/>
        <v>0.130961264</v>
      </c>
      <c r="W228" s="13">
        <f t="shared" si="831"/>
        <v>0.6043224307</v>
      </c>
      <c r="X228" s="12">
        <v>0.797</v>
      </c>
      <c r="Y228" s="13">
        <f t="shared" si="832"/>
        <v>0.7584110483</v>
      </c>
      <c r="Z228" s="13">
        <f t="shared" si="833"/>
        <v>0.05510246768</v>
      </c>
      <c r="AA228" s="13">
        <f t="shared" si="834"/>
        <v>0.1144750432</v>
      </c>
      <c r="AB228" s="13">
        <v>-0.038</v>
      </c>
    </row>
    <row r="229" ht="14.25" customHeight="1">
      <c r="B229" s="31" t="s">
        <v>630</v>
      </c>
      <c r="C229" s="31" t="s">
        <v>703</v>
      </c>
      <c r="D229" s="31" t="s">
        <v>704</v>
      </c>
      <c r="E229" s="31" t="s">
        <v>705</v>
      </c>
      <c r="F229" s="31" t="s">
        <v>706</v>
      </c>
      <c r="G229" s="21" t="s">
        <v>686</v>
      </c>
      <c r="H229" s="30">
        <v>40170.0</v>
      </c>
      <c r="I229" s="32">
        <v>2210.0</v>
      </c>
      <c r="J229" s="21" t="s">
        <v>68</v>
      </c>
      <c r="K229" s="12">
        <f t="shared" ref="K229:K231" si="835">(0.01+0.057)/0.0055602757725374</f>
        <v>12.04976205</v>
      </c>
      <c r="L229" s="21">
        <v>0.043</v>
      </c>
      <c r="M229" s="13">
        <f t="shared" ref="M229:M231" si="836">1953.5/522098</f>
        <v>0.003741634712</v>
      </c>
      <c r="N229" s="13">
        <f t="shared" ref="N229:N231" si="837">1953.5/321243</f>
        <v>0.006081066358</v>
      </c>
      <c r="O229" s="13">
        <f t="shared" ref="O229:O231" si="838">27867/553922</f>
        <v>0.05030852719</v>
      </c>
      <c r="P229" s="13">
        <v>0.095</v>
      </c>
      <c r="Q229" s="13">
        <f t="shared" ref="Q229:Q231" si="839">(27867/0.095)/553922</f>
        <v>0.5295634441</v>
      </c>
      <c r="R229" s="13">
        <f t="shared" ref="R229:R231" si="840">885/364580</f>
        <v>0.002427450765</v>
      </c>
      <c r="S229" s="13">
        <f t="shared" ref="S229:S231" si="841">17337/553922</f>
        <v>0.03129863049</v>
      </c>
      <c r="T229" s="13">
        <f t="shared" ref="T229:T231" si="842">150933/553922</f>
        <v>0.272480602</v>
      </c>
      <c r="U229" s="13">
        <f t="shared" ref="U229:U231" si="843">ln(553922)</f>
        <v>13.22477916</v>
      </c>
      <c r="V229" s="13">
        <f t="shared" ref="V229:V231" si="844">67188/553922</f>
        <v>0.121295056</v>
      </c>
      <c r="W229" s="13">
        <f t="shared" ref="W229:W231" si="845">364580/553922</f>
        <v>0.6581793104</v>
      </c>
      <c r="X229" s="12">
        <v>1.135</v>
      </c>
      <c r="Y229" s="13">
        <f t="shared" ref="Y229:Y231" si="846">321243/553922</f>
        <v>0.5799426634</v>
      </c>
      <c r="Z229" s="13">
        <f t="shared" ref="Z229:Z231" si="847">31824/553922</f>
        <v>0.05745213225</v>
      </c>
      <c r="AA229" s="13">
        <f t="shared" ref="AA229:AA231" si="848">535065/3404009.62</f>
        <v>0.1571866886</v>
      </c>
      <c r="AB229" s="13">
        <f t="shared" ref="AB229:AB231" si="849">(711.1-761.84)/761.84</f>
        <v>-0.06660191116</v>
      </c>
    </row>
    <row r="230" ht="14.25" customHeight="1">
      <c r="B230" s="31" t="s">
        <v>630</v>
      </c>
      <c r="C230" s="31" t="s">
        <v>703</v>
      </c>
      <c r="D230" s="31" t="s">
        <v>704</v>
      </c>
      <c r="E230" s="31" t="s">
        <v>707</v>
      </c>
      <c r="F230" s="31" t="s">
        <v>708</v>
      </c>
      <c r="G230" s="21" t="s">
        <v>686</v>
      </c>
      <c r="H230" s="30">
        <v>40170.0</v>
      </c>
      <c r="I230" s="21">
        <v>260.0</v>
      </c>
      <c r="J230" s="21" t="s">
        <v>68</v>
      </c>
      <c r="K230" s="12">
        <f t="shared" si="835"/>
        <v>12.04976205</v>
      </c>
      <c r="L230" s="21">
        <v>0.043</v>
      </c>
      <c r="M230" s="13">
        <f t="shared" si="836"/>
        <v>0.003741634712</v>
      </c>
      <c r="N230" s="13">
        <f t="shared" si="837"/>
        <v>0.006081066358</v>
      </c>
      <c r="O230" s="13">
        <f t="shared" si="838"/>
        <v>0.05030852719</v>
      </c>
      <c r="P230" s="13">
        <v>0.095</v>
      </c>
      <c r="Q230" s="13">
        <f t="shared" si="839"/>
        <v>0.5295634441</v>
      </c>
      <c r="R230" s="13">
        <f t="shared" si="840"/>
        <v>0.002427450765</v>
      </c>
      <c r="S230" s="13">
        <f t="shared" si="841"/>
        <v>0.03129863049</v>
      </c>
      <c r="T230" s="13">
        <f t="shared" si="842"/>
        <v>0.272480602</v>
      </c>
      <c r="U230" s="13">
        <f t="shared" si="843"/>
        <v>13.22477916</v>
      </c>
      <c r="V230" s="13">
        <f t="shared" si="844"/>
        <v>0.121295056</v>
      </c>
      <c r="W230" s="13">
        <f t="shared" si="845"/>
        <v>0.6581793104</v>
      </c>
      <c r="X230" s="12">
        <v>1.135</v>
      </c>
      <c r="Y230" s="13">
        <f t="shared" si="846"/>
        <v>0.5799426634</v>
      </c>
      <c r="Z230" s="13">
        <f t="shared" si="847"/>
        <v>0.05745213225</v>
      </c>
      <c r="AA230" s="13">
        <f t="shared" si="848"/>
        <v>0.1571866886</v>
      </c>
      <c r="AB230" s="13">
        <f t="shared" si="849"/>
        <v>-0.06660191116</v>
      </c>
    </row>
    <row r="231" ht="14.25" customHeight="1">
      <c r="B231" s="31" t="s">
        <v>630</v>
      </c>
      <c r="C231" s="31" t="s">
        <v>703</v>
      </c>
      <c r="D231" s="31" t="s">
        <v>704</v>
      </c>
      <c r="E231" s="31" t="s">
        <v>709</v>
      </c>
      <c r="F231" s="31" t="s">
        <v>710</v>
      </c>
      <c r="G231" s="21" t="s">
        <v>686</v>
      </c>
      <c r="H231" s="30">
        <v>40170.0</v>
      </c>
      <c r="I231" s="21">
        <v>130.0</v>
      </c>
      <c r="J231" s="21" t="s">
        <v>68</v>
      </c>
      <c r="K231" s="12">
        <f t="shared" si="835"/>
        <v>12.04976205</v>
      </c>
      <c r="L231" s="21">
        <v>0.043</v>
      </c>
      <c r="M231" s="13">
        <f t="shared" si="836"/>
        <v>0.003741634712</v>
      </c>
      <c r="N231" s="13">
        <f t="shared" si="837"/>
        <v>0.006081066358</v>
      </c>
      <c r="O231" s="13">
        <f t="shared" si="838"/>
        <v>0.05030852719</v>
      </c>
      <c r="P231" s="13">
        <v>0.095</v>
      </c>
      <c r="Q231" s="13">
        <f t="shared" si="839"/>
        <v>0.5295634441</v>
      </c>
      <c r="R231" s="13">
        <f t="shared" si="840"/>
        <v>0.002427450765</v>
      </c>
      <c r="S231" s="13">
        <f t="shared" si="841"/>
        <v>0.03129863049</v>
      </c>
      <c r="T231" s="13">
        <f t="shared" si="842"/>
        <v>0.272480602</v>
      </c>
      <c r="U231" s="13">
        <f t="shared" si="843"/>
        <v>13.22477916</v>
      </c>
      <c r="V231" s="13">
        <f t="shared" si="844"/>
        <v>0.121295056</v>
      </c>
      <c r="W231" s="13">
        <f t="shared" si="845"/>
        <v>0.6581793104</v>
      </c>
      <c r="X231" s="12">
        <v>1.135</v>
      </c>
      <c r="Y231" s="13">
        <f t="shared" si="846"/>
        <v>0.5799426634</v>
      </c>
      <c r="Z231" s="13">
        <f t="shared" si="847"/>
        <v>0.05745213225</v>
      </c>
      <c r="AA231" s="13">
        <f t="shared" si="848"/>
        <v>0.1571866886</v>
      </c>
      <c r="AB231" s="13">
        <f t="shared" si="849"/>
        <v>-0.06660191116</v>
      </c>
    </row>
    <row r="232" ht="14.25" customHeight="1">
      <c r="B232" s="31" t="s">
        <v>630</v>
      </c>
      <c r="C232" s="31" t="s">
        <v>711</v>
      </c>
      <c r="D232" s="31" t="s">
        <v>712</v>
      </c>
      <c r="E232" s="31" t="s">
        <v>713</v>
      </c>
      <c r="F232" s="31" t="s">
        <v>714</v>
      </c>
      <c r="G232" s="21" t="s">
        <v>686</v>
      </c>
      <c r="H232" s="30">
        <v>40380.0</v>
      </c>
      <c r="I232" s="32">
        <v>1700.0</v>
      </c>
      <c r="J232" s="21" t="s">
        <v>715</v>
      </c>
      <c r="K232" s="12">
        <f>(0.007+0.063)/0.0014142135623731</f>
        <v>49.49747468</v>
      </c>
      <c r="L232" s="21">
        <v>0.045</v>
      </c>
      <c r="M232" s="13">
        <f>2236/515263</f>
        <v>0.004339531463</v>
      </c>
      <c r="N232" s="13">
        <f>2236/284890</f>
        <v>0.007848643336</v>
      </c>
      <c r="O232" s="13">
        <f>33023/552738</f>
        <v>0.0597443997</v>
      </c>
      <c r="P232" s="13">
        <v>0.105</v>
      </c>
      <c r="Q232" s="13">
        <f>(33023/0.105)/552738</f>
        <v>0.5689942828</v>
      </c>
      <c r="R232" s="13">
        <v>0.0023680859863916153</v>
      </c>
      <c r="S232" s="13">
        <f>4284/552738</f>
        <v>0.007750507474</v>
      </c>
      <c r="T232" s="13">
        <f>171452/552738</f>
        <v>0.3101867431</v>
      </c>
      <c r="U232" s="13">
        <f>ln(552738)</f>
        <v>13.22263939</v>
      </c>
      <c r="V232" s="13">
        <f>66886/552738</f>
        <v>0.1210085067</v>
      </c>
      <c r="W232" s="13">
        <f>343298/552738</f>
        <v>0.6210863013</v>
      </c>
      <c r="X232" s="12">
        <v>1.205</v>
      </c>
      <c r="Y232" s="13">
        <f>284890/552738</f>
        <v>0.5154159837</v>
      </c>
      <c r="Z232" s="13">
        <f>37475/552738</f>
        <v>0.06779884864</v>
      </c>
      <c r="AA232" s="13">
        <f>557761/3252000</f>
        <v>0.1715132226</v>
      </c>
      <c r="AB232" s="13">
        <f>(762.08-726.55)/726.55</f>
        <v>0.04890234671</v>
      </c>
    </row>
    <row r="233" ht="14.25" customHeight="1">
      <c r="B233" s="31" t="s">
        <v>630</v>
      </c>
      <c r="C233" s="31" t="s">
        <v>716</v>
      </c>
      <c r="D233" s="31" t="s">
        <v>717</v>
      </c>
      <c r="E233" s="31" t="s">
        <v>718</v>
      </c>
      <c r="F233" s="31" t="s">
        <v>719</v>
      </c>
      <c r="G233" s="21" t="s">
        <v>686</v>
      </c>
      <c r="H233" s="30">
        <v>40618.0</v>
      </c>
      <c r="I233" s="21">
        <v>975.0</v>
      </c>
      <c r="J233" s="21" t="s">
        <v>311</v>
      </c>
      <c r="K233" s="28">
        <f t="shared" ref="K233:K234" si="850">(0.009+0.067)/0.001</f>
        <v>76</v>
      </c>
      <c r="L233" s="21">
        <v>0.044</v>
      </c>
      <c r="M233" s="13">
        <f t="shared" ref="M233:M234" si="851">2626.25/531062</f>
        <v>0.004945279459</v>
      </c>
      <c r="N233" s="13">
        <f t="shared" ref="N233:N234" si="852">2626.25/319864</f>
        <v>0.008210520721</v>
      </c>
      <c r="O233" s="13">
        <f t="shared" ref="O233:O234" si="853">32761/568705</f>
        <v>0.0576063161</v>
      </c>
      <c r="P233" s="13">
        <v>0.098</v>
      </c>
      <c r="Q233" s="13">
        <f t="shared" ref="Q233:Q234" si="854">(32761/0.098)/568705</f>
        <v>0.5878195521</v>
      </c>
      <c r="R233" s="13">
        <v>0.0023680859863916153</v>
      </c>
      <c r="S233" s="13">
        <f t="shared" ref="S233:S234" si="855">3557/568705</f>
        <v>0.0062545608</v>
      </c>
      <c r="T233" s="13">
        <f t="shared" ref="T233:T234" si="856">170341/568705</f>
        <v>0.299524358</v>
      </c>
      <c r="U233" s="13">
        <f t="shared" ref="U233:U234" si="857">ln(568705)</f>
        <v>13.25111713</v>
      </c>
      <c r="V233" s="13">
        <f t="shared" ref="V233:V234" si="858">66104/568705</f>
        <v>0.1162360099</v>
      </c>
      <c r="W233" s="13">
        <f t="shared" ref="W233:W234" si="859">353478/568705</f>
        <v>0.6215489577</v>
      </c>
      <c r="X233" s="12">
        <v>1.105</v>
      </c>
      <c r="Y233" s="13">
        <f t="shared" ref="Y233:Y234" si="860">319864/568705</f>
        <v>0.5624427427</v>
      </c>
      <c r="Z233" s="13">
        <f t="shared" ref="Z233:Z234" si="861">37643/568705</f>
        <v>0.06619073157</v>
      </c>
      <c r="AA233" s="13">
        <f t="shared" ref="AA233:AA234" si="862">562174/3400000</f>
        <v>0.1653452941</v>
      </c>
      <c r="AB233" s="13">
        <f t="shared" ref="AB233:AB234" si="863">(740.29-712.18)/712.18</f>
        <v>0.03947035862</v>
      </c>
    </row>
    <row r="234" ht="14.25" customHeight="1">
      <c r="B234" s="31" t="s">
        <v>630</v>
      </c>
      <c r="C234" s="31" t="s">
        <v>716</v>
      </c>
      <c r="D234" s="31" t="s">
        <v>717</v>
      </c>
      <c r="E234" s="31" t="s">
        <v>720</v>
      </c>
      <c r="F234" s="31" t="s">
        <v>721</v>
      </c>
      <c r="G234" s="21" t="s">
        <v>686</v>
      </c>
      <c r="H234" s="30">
        <v>40618.0</v>
      </c>
      <c r="I234" s="21">
        <v>275.0</v>
      </c>
      <c r="J234" s="21" t="s">
        <v>311</v>
      </c>
      <c r="K234" s="28">
        <f t="shared" si="850"/>
        <v>76</v>
      </c>
      <c r="L234" s="21">
        <v>0.044</v>
      </c>
      <c r="M234" s="13">
        <f t="shared" si="851"/>
        <v>0.004945279459</v>
      </c>
      <c r="N234" s="13">
        <f t="shared" si="852"/>
        <v>0.008210520721</v>
      </c>
      <c r="O234" s="13">
        <f t="shared" si="853"/>
        <v>0.0576063161</v>
      </c>
      <c r="P234" s="13">
        <v>0.098</v>
      </c>
      <c r="Q234" s="13">
        <f t="shared" si="854"/>
        <v>0.5878195521</v>
      </c>
      <c r="R234" s="13">
        <v>0.0023680859863916153</v>
      </c>
      <c r="S234" s="13">
        <f t="shared" si="855"/>
        <v>0.0062545608</v>
      </c>
      <c r="T234" s="13">
        <f t="shared" si="856"/>
        <v>0.299524358</v>
      </c>
      <c r="U234" s="13">
        <f t="shared" si="857"/>
        <v>13.25111713</v>
      </c>
      <c r="V234" s="13">
        <f t="shared" si="858"/>
        <v>0.1162360099</v>
      </c>
      <c r="W234" s="13">
        <f t="shared" si="859"/>
        <v>0.6215489577</v>
      </c>
      <c r="X234" s="12">
        <v>1.105</v>
      </c>
      <c r="Y234" s="13">
        <f t="shared" si="860"/>
        <v>0.5624427427</v>
      </c>
      <c r="Z234" s="13">
        <f t="shared" si="861"/>
        <v>0.06619073157</v>
      </c>
      <c r="AA234" s="13">
        <f t="shared" si="862"/>
        <v>0.1653452941</v>
      </c>
      <c r="AB234" s="13">
        <f t="shared" si="863"/>
        <v>0.03947035862</v>
      </c>
    </row>
    <row r="235" ht="14.25" customHeight="1">
      <c r="B235" s="31" t="s">
        <v>630</v>
      </c>
      <c r="C235" s="31" t="s">
        <v>722</v>
      </c>
      <c r="D235" s="31" t="s">
        <v>723</v>
      </c>
      <c r="E235" s="31" t="s">
        <v>724</v>
      </c>
      <c r="F235" s="31" t="s">
        <v>725</v>
      </c>
      <c r="G235" s="21" t="s">
        <v>686</v>
      </c>
      <c r="H235" s="30">
        <v>40898.0</v>
      </c>
      <c r="I235" s="21">
        <v>804.0</v>
      </c>
      <c r="J235" s="21" t="s">
        <v>361</v>
      </c>
      <c r="K235" s="12">
        <f t="shared" ref="K235:K237" si="864">(0.007+0.06872921807)/0.0014142135623731</f>
        <v>53.54864363</v>
      </c>
      <c r="L235" s="21">
        <v>0.044</v>
      </c>
      <c r="M235" s="13">
        <f t="shared" ref="M235:M237" si="865">2626.25/559116</f>
        <v>0.004697146925</v>
      </c>
      <c r="N235" s="13">
        <f t="shared" ref="N235:N237" si="866">2626.25/357989</f>
        <v>0.007336119266</v>
      </c>
      <c r="O235" s="13">
        <f t="shared" ref="O235:O237" si="867">35290/600477</f>
        <v>0.05876994456</v>
      </c>
      <c r="P235" s="13">
        <v>0.107</v>
      </c>
      <c r="Q235" s="13">
        <f t="shared" ref="Q235:Q237" si="868">(35290/0.107)/600477</f>
        <v>0.5492518183</v>
      </c>
      <c r="R235" s="13">
        <v>0.002687664453921023</v>
      </c>
      <c r="S235" s="13">
        <f t="shared" ref="S235:S237" si="869">24873/600477</f>
        <v>0.04142206945</v>
      </c>
      <c r="T235" s="13">
        <f t="shared" ref="T235:T237" si="870">188936/600477</f>
        <v>0.314643192</v>
      </c>
      <c r="U235" s="13">
        <f t="shared" ref="U235:U237" si="871">ln(600477)</f>
        <v>13.30547962</v>
      </c>
      <c r="V235" s="13">
        <f t="shared" ref="V235:V237" si="872">71208/600477</f>
        <v>0.1185857243</v>
      </c>
      <c r="W235" s="13">
        <f t="shared" ref="W235:W237" si="873">358422/600477</f>
        <v>0.5968954681</v>
      </c>
      <c r="X235" s="12">
        <v>1.001</v>
      </c>
      <c r="Y235" s="13">
        <f t="shared" ref="Y235:Y237" si="874">357989/600477</f>
        <v>0.5961743747</v>
      </c>
      <c r="Z235" s="13">
        <f t="shared" ref="Z235:Z237" si="875">41361/600477</f>
        <v>0.06888024021</v>
      </c>
      <c r="AA235" s="13">
        <f t="shared" ref="AA235:AA237" si="876">582838/3400000</f>
        <v>0.1714229412</v>
      </c>
      <c r="AB235" s="13">
        <f t="shared" ref="AB235:AB237" si="877">(695.93-745.65)/745.65</f>
        <v>-0.06668007778</v>
      </c>
    </row>
    <row r="236" ht="14.25" customHeight="1">
      <c r="B236" s="31" t="s">
        <v>630</v>
      </c>
      <c r="C236" s="31" t="s">
        <v>722</v>
      </c>
      <c r="D236" s="31" t="s">
        <v>723</v>
      </c>
      <c r="E236" s="31" t="s">
        <v>726</v>
      </c>
      <c r="F236" s="31" t="s">
        <v>727</v>
      </c>
      <c r="G236" s="21" t="s">
        <v>686</v>
      </c>
      <c r="H236" s="30">
        <v>40898.0</v>
      </c>
      <c r="I236" s="21">
        <v>240.0</v>
      </c>
      <c r="J236" s="21" t="s">
        <v>361</v>
      </c>
      <c r="K236" s="12">
        <f t="shared" si="864"/>
        <v>53.54864363</v>
      </c>
      <c r="L236" s="21">
        <v>0.044</v>
      </c>
      <c r="M236" s="13">
        <f t="shared" si="865"/>
        <v>0.004697146925</v>
      </c>
      <c r="N236" s="13">
        <f t="shared" si="866"/>
        <v>0.007336119266</v>
      </c>
      <c r="O236" s="13">
        <f t="shared" si="867"/>
        <v>0.05876994456</v>
      </c>
      <c r="P236" s="13">
        <v>0.107</v>
      </c>
      <c r="Q236" s="13">
        <f t="shared" si="868"/>
        <v>0.5492518183</v>
      </c>
      <c r="R236" s="13">
        <v>0.002687664453921023</v>
      </c>
      <c r="S236" s="13">
        <f t="shared" si="869"/>
        <v>0.04142206945</v>
      </c>
      <c r="T236" s="13">
        <f t="shared" si="870"/>
        <v>0.314643192</v>
      </c>
      <c r="U236" s="13">
        <f t="shared" si="871"/>
        <v>13.30547962</v>
      </c>
      <c r="V236" s="13">
        <f t="shared" si="872"/>
        <v>0.1185857243</v>
      </c>
      <c r="W236" s="13">
        <f t="shared" si="873"/>
        <v>0.5968954681</v>
      </c>
      <c r="X236" s="12">
        <v>1.001</v>
      </c>
      <c r="Y236" s="13">
        <f t="shared" si="874"/>
        <v>0.5961743747</v>
      </c>
      <c r="Z236" s="13">
        <f t="shared" si="875"/>
        <v>0.06888024021</v>
      </c>
      <c r="AA236" s="13">
        <f t="shared" si="876"/>
        <v>0.1714229412</v>
      </c>
      <c r="AB236" s="13">
        <f t="shared" si="877"/>
        <v>-0.06668007778</v>
      </c>
    </row>
    <row r="237" ht="14.25" customHeight="1">
      <c r="B237" s="31" t="s">
        <v>630</v>
      </c>
      <c r="C237" s="31" t="s">
        <v>722</v>
      </c>
      <c r="D237" s="31" t="s">
        <v>723</v>
      </c>
      <c r="E237" s="31" t="s">
        <v>728</v>
      </c>
      <c r="F237" s="31" t="s">
        <v>729</v>
      </c>
      <c r="G237" s="21" t="s">
        <v>686</v>
      </c>
      <c r="H237" s="30">
        <v>40898.0</v>
      </c>
      <c r="I237" s="21">
        <v>156.0</v>
      </c>
      <c r="J237" s="21" t="s">
        <v>361</v>
      </c>
      <c r="K237" s="12">
        <f t="shared" si="864"/>
        <v>53.54864363</v>
      </c>
      <c r="L237" s="21">
        <v>0.044</v>
      </c>
      <c r="M237" s="13">
        <f t="shared" si="865"/>
        <v>0.004697146925</v>
      </c>
      <c r="N237" s="13">
        <f t="shared" si="866"/>
        <v>0.007336119266</v>
      </c>
      <c r="O237" s="13">
        <f t="shared" si="867"/>
        <v>0.05876994456</v>
      </c>
      <c r="P237" s="13">
        <v>0.107</v>
      </c>
      <c r="Q237" s="13">
        <f t="shared" si="868"/>
        <v>0.5492518183</v>
      </c>
      <c r="R237" s="13">
        <v>0.002687664453921023</v>
      </c>
      <c r="S237" s="13">
        <f t="shared" si="869"/>
        <v>0.04142206945</v>
      </c>
      <c r="T237" s="13">
        <f t="shared" si="870"/>
        <v>0.314643192</v>
      </c>
      <c r="U237" s="13">
        <f t="shared" si="871"/>
        <v>13.30547962</v>
      </c>
      <c r="V237" s="13">
        <f t="shared" si="872"/>
        <v>0.1185857243</v>
      </c>
      <c r="W237" s="13">
        <f t="shared" si="873"/>
        <v>0.5968954681</v>
      </c>
      <c r="X237" s="12">
        <v>1.001</v>
      </c>
      <c r="Y237" s="13">
        <f t="shared" si="874"/>
        <v>0.5961743747</v>
      </c>
      <c r="Z237" s="13">
        <f t="shared" si="875"/>
        <v>0.06888024021</v>
      </c>
      <c r="AA237" s="13">
        <f t="shared" si="876"/>
        <v>0.1714229412</v>
      </c>
      <c r="AB237" s="13">
        <f t="shared" si="877"/>
        <v>-0.06668007778</v>
      </c>
    </row>
    <row r="238" ht="14.25" customHeight="1">
      <c r="B238" s="31" t="s">
        <v>630</v>
      </c>
      <c r="C238" s="31" t="s">
        <v>730</v>
      </c>
      <c r="D238" s="31" t="s">
        <v>731</v>
      </c>
      <c r="E238" s="31" t="s">
        <v>732</v>
      </c>
      <c r="F238" s="31" t="s">
        <v>733</v>
      </c>
      <c r="G238" s="21" t="s">
        <v>686</v>
      </c>
      <c r="H238" s="30">
        <v>42354.0</v>
      </c>
      <c r="I238" s="21">
        <v>596.7</v>
      </c>
      <c r="J238" s="21" t="s">
        <v>201</v>
      </c>
      <c r="K238" s="12">
        <f t="shared" ref="K238:K239" si="878">(0.005+0.074)/0.0014142135623731</f>
        <v>55.86143571</v>
      </c>
      <c r="L238" s="21">
        <v>0.055</v>
      </c>
      <c r="M238" s="13">
        <f t="shared" ref="M238:M239" si="879">2706/686430</f>
        <v>0.003942135396</v>
      </c>
      <c r="N238" s="13">
        <f t="shared" ref="N238:N239" si="880">2706/448768</f>
        <v>0.0060298417</v>
      </c>
      <c r="O238" s="13">
        <f t="shared" ref="O238:O239" si="881">48268/740947</f>
        <v>0.06514366075</v>
      </c>
      <c r="P238" s="13">
        <v>0.121</v>
      </c>
      <c r="Q238" s="13">
        <f t="shared" ref="Q238:Q239" si="882">(48268/0.121)/740947</f>
        <v>0.5383773616</v>
      </c>
      <c r="R238" s="13">
        <v>0.0017647159467261097</v>
      </c>
      <c r="S238" s="13">
        <f t="shared" ref="S238:S239" si="883">6952/740947</f>
        <v>0.009382587419</v>
      </c>
      <c r="T238" s="13">
        <f t="shared" ref="T238:T239" si="884">215834/740947</f>
        <v>0.291294789</v>
      </c>
      <c r="U238" s="13">
        <f t="shared" ref="U238:U239" si="885">ln(740947)</f>
        <v>13.51568438</v>
      </c>
      <c r="V238" s="13">
        <f t="shared" ref="V238:V239" si="886">85393/740947</f>
        <v>0.1152484591</v>
      </c>
      <c r="W238" s="13">
        <f t="shared" ref="W238:W239" si="887">455546/740947</f>
        <v>0.6148159045</v>
      </c>
      <c r="X238" s="12">
        <v>1.015</v>
      </c>
      <c r="Y238" s="13">
        <f t="shared" ref="Y238:Y239" si="888">448768/740947</f>
        <v>0.6056681517</v>
      </c>
      <c r="Z238" s="13">
        <f t="shared" ref="Z238:Z239" si="889">54517/740947</f>
        <v>0.07357746236</v>
      </c>
      <c r="AA238" s="13">
        <f t="shared" ref="AA238:AA239" si="890">749855/2760000</f>
        <v>0.2716865942</v>
      </c>
      <c r="AB238" s="13">
        <f t="shared" ref="AB238:AB239" si="891">(727.93-762.57)/762.57</f>
        <v>-0.045425338</v>
      </c>
    </row>
    <row r="239" ht="14.25" customHeight="1">
      <c r="B239" s="31" t="s">
        <v>630</v>
      </c>
      <c r="C239" s="31" t="s">
        <v>730</v>
      </c>
      <c r="D239" s="31" t="s">
        <v>731</v>
      </c>
      <c r="E239" s="31" t="s">
        <v>734</v>
      </c>
      <c r="F239" s="31" t="s">
        <v>735</v>
      </c>
      <c r="G239" s="21" t="s">
        <v>686</v>
      </c>
      <c r="H239" s="30">
        <v>42354.0</v>
      </c>
      <c r="I239" s="21">
        <v>183.3</v>
      </c>
      <c r="J239" s="21" t="s">
        <v>201</v>
      </c>
      <c r="K239" s="12">
        <f t="shared" si="878"/>
        <v>55.86143571</v>
      </c>
      <c r="L239" s="21">
        <v>0.055</v>
      </c>
      <c r="M239" s="13">
        <f t="shared" si="879"/>
        <v>0.003942135396</v>
      </c>
      <c r="N239" s="13">
        <f t="shared" si="880"/>
        <v>0.0060298417</v>
      </c>
      <c r="O239" s="13">
        <f t="shared" si="881"/>
        <v>0.06514366075</v>
      </c>
      <c r="P239" s="13">
        <v>0.121</v>
      </c>
      <c r="Q239" s="13">
        <f t="shared" si="882"/>
        <v>0.5383773616</v>
      </c>
      <c r="R239" s="13">
        <v>0.0017647159467261097</v>
      </c>
      <c r="S239" s="13">
        <f t="shared" si="883"/>
        <v>0.009382587419</v>
      </c>
      <c r="T239" s="13">
        <f t="shared" si="884"/>
        <v>0.291294789</v>
      </c>
      <c r="U239" s="13">
        <f t="shared" si="885"/>
        <v>13.51568438</v>
      </c>
      <c r="V239" s="13">
        <f t="shared" si="886"/>
        <v>0.1152484591</v>
      </c>
      <c r="W239" s="13">
        <f t="shared" si="887"/>
        <v>0.6148159045</v>
      </c>
      <c r="X239" s="12">
        <v>1.015</v>
      </c>
      <c r="Y239" s="13">
        <f t="shared" si="888"/>
        <v>0.6056681517</v>
      </c>
      <c r="Z239" s="13">
        <f t="shared" si="889"/>
        <v>0.07357746236</v>
      </c>
      <c r="AA239" s="13">
        <f t="shared" si="890"/>
        <v>0.2716865942</v>
      </c>
      <c r="AB239" s="13">
        <f t="shared" si="891"/>
        <v>-0.045425338</v>
      </c>
    </row>
    <row r="240" ht="14.25" customHeight="1">
      <c r="B240" s="31" t="s">
        <v>630</v>
      </c>
      <c r="C240" s="31" t="s">
        <v>736</v>
      </c>
      <c r="D240" s="31" t="s">
        <v>737</v>
      </c>
      <c r="E240" s="31" t="s">
        <v>738</v>
      </c>
      <c r="F240" s="31" t="s">
        <v>739</v>
      </c>
      <c r="G240" s="21" t="s">
        <v>686</v>
      </c>
      <c r="H240" s="29">
        <v>38323.0</v>
      </c>
      <c r="I240" s="21">
        <v>725.3</v>
      </c>
      <c r="J240" s="21" t="s">
        <v>740</v>
      </c>
      <c r="K240" s="12">
        <f t="shared" ref="K240:K243" si="892">(0.01+0.04119100518)/0.00057735026918963</f>
        <v>88.66542186</v>
      </c>
      <c r="L240" s="21">
        <v>0.01</v>
      </c>
      <c r="M240" s="13">
        <f t="shared" ref="M240:M243" si="893">2230.75/331001</f>
        <v>0.006739405621</v>
      </c>
      <c r="N240" s="13">
        <f t="shared" ref="N240:N243" si="894">2230.75/153323</f>
        <v>0.01454935006</v>
      </c>
      <c r="O240" s="13">
        <f t="shared" ref="O240:O243" si="895">15011/345221</f>
        <v>0.04348229105</v>
      </c>
      <c r="P240" s="13">
        <v>0.08</v>
      </c>
      <c r="Q240" s="13">
        <f t="shared" ref="Q240:Q243" si="896">(15011/0.08)/345221</f>
        <v>0.5435286382</v>
      </c>
      <c r="R240" s="13">
        <f t="shared" ref="R240:R243" si="897">166.5/212353</f>
        <v>0.000784071805</v>
      </c>
      <c r="S240" s="13">
        <f t="shared" ref="S240:S243" si="898">12434/345221</f>
        <v>0.03601750763</v>
      </c>
      <c r="T240" s="13">
        <f t="shared" ref="T240:T243" si="899">104919/345221</f>
        <v>0.3039183595</v>
      </c>
      <c r="U240" s="13">
        <f t="shared" ref="U240:U243" si="900">ln(345221)</f>
        <v>12.75194007</v>
      </c>
      <c r="V240" s="13">
        <f t="shared" ref="V240:V243" si="901">47960/345221</f>
        <v>0.1389254999</v>
      </c>
      <c r="W240" s="13">
        <f t="shared" ref="W240:W243" si="902">212353/345221</f>
        <v>0.6151219074</v>
      </c>
      <c r="X240" s="12">
        <v>1.385</v>
      </c>
      <c r="Y240" s="13">
        <f t="shared" ref="Y240:Y243" si="903">153323/345221</f>
        <v>0.4441299921</v>
      </c>
      <c r="Z240" s="13">
        <f t="shared" ref="Z240:Z243" si="904">14220/345221</f>
        <v>0.04119100518</v>
      </c>
      <c r="AA240" s="13">
        <f t="shared" ref="AA240:AA243" si="905">329441.2/2484833.1</f>
        <v>0.132580816</v>
      </c>
      <c r="AB240" s="13">
        <f t="shared" ref="AB240:AB243" si="906">(671.35-708.39)/708.39</f>
        <v>-0.0522875817</v>
      </c>
    </row>
    <row r="241" ht="14.25" customHeight="1">
      <c r="B241" s="31" t="s">
        <v>630</v>
      </c>
      <c r="C241" s="31" t="s">
        <v>736</v>
      </c>
      <c r="D241" s="31" t="s">
        <v>737</v>
      </c>
      <c r="E241" s="31" t="s">
        <v>741</v>
      </c>
      <c r="F241" s="31" t="s">
        <v>742</v>
      </c>
      <c r="G241" s="21" t="s">
        <v>686</v>
      </c>
      <c r="H241" s="29">
        <v>38323.0</v>
      </c>
      <c r="I241" s="21">
        <v>215.3</v>
      </c>
      <c r="J241" s="21" t="s">
        <v>740</v>
      </c>
      <c r="K241" s="12">
        <f t="shared" si="892"/>
        <v>88.66542186</v>
      </c>
      <c r="L241" s="21">
        <v>0.01</v>
      </c>
      <c r="M241" s="13">
        <f t="shared" si="893"/>
        <v>0.006739405621</v>
      </c>
      <c r="N241" s="13">
        <f t="shared" si="894"/>
        <v>0.01454935006</v>
      </c>
      <c r="O241" s="13">
        <f t="shared" si="895"/>
        <v>0.04348229105</v>
      </c>
      <c r="P241" s="13">
        <v>0.08</v>
      </c>
      <c r="Q241" s="13">
        <f t="shared" si="896"/>
        <v>0.5435286382</v>
      </c>
      <c r="R241" s="13">
        <f t="shared" si="897"/>
        <v>0.000784071805</v>
      </c>
      <c r="S241" s="13">
        <f t="shared" si="898"/>
        <v>0.03601750763</v>
      </c>
      <c r="T241" s="13">
        <f t="shared" si="899"/>
        <v>0.3039183595</v>
      </c>
      <c r="U241" s="13">
        <f t="shared" si="900"/>
        <v>12.75194007</v>
      </c>
      <c r="V241" s="13">
        <f t="shared" si="901"/>
        <v>0.1389254999</v>
      </c>
      <c r="W241" s="13">
        <f t="shared" si="902"/>
        <v>0.6151219074</v>
      </c>
      <c r="X241" s="12">
        <v>1.385</v>
      </c>
      <c r="Y241" s="13">
        <f t="shared" si="903"/>
        <v>0.4441299921</v>
      </c>
      <c r="Z241" s="13">
        <f t="shared" si="904"/>
        <v>0.04119100518</v>
      </c>
      <c r="AA241" s="13">
        <f t="shared" si="905"/>
        <v>0.132580816</v>
      </c>
      <c r="AB241" s="13">
        <f t="shared" si="906"/>
        <v>-0.0522875817</v>
      </c>
    </row>
    <row r="242" ht="14.25" customHeight="1">
      <c r="B242" s="31" t="s">
        <v>630</v>
      </c>
      <c r="C242" s="31" t="s">
        <v>736</v>
      </c>
      <c r="D242" s="31" t="s">
        <v>737</v>
      </c>
      <c r="E242" s="31" t="s">
        <v>743</v>
      </c>
      <c r="F242" s="31" t="s">
        <v>744</v>
      </c>
      <c r="G242" s="21" t="s">
        <v>686</v>
      </c>
      <c r="H242" s="29">
        <v>38323.0</v>
      </c>
      <c r="I242" s="21">
        <v>40.8</v>
      </c>
      <c r="J242" s="21" t="s">
        <v>740</v>
      </c>
      <c r="K242" s="12">
        <f t="shared" si="892"/>
        <v>88.66542186</v>
      </c>
      <c r="L242" s="21">
        <v>0.01</v>
      </c>
      <c r="M242" s="13">
        <f t="shared" si="893"/>
        <v>0.006739405621</v>
      </c>
      <c r="N242" s="13">
        <f t="shared" si="894"/>
        <v>0.01454935006</v>
      </c>
      <c r="O242" s="13">
        <f t="shared" si="895"/>
        <v>0.04348229105</v>
      </c>
      <c r="P242" s="13">
        <v>0.08</v>
      </c>
      <c r="Q242" s="13">
        <f t="shared" si="896"/>
        <v>0.5435286382</v>
      </c>
      <c r="R242" s="13">
        <f t="shared" si="897"/>
        <v>0.000784071805</v>
      </c>
      <c r="S242" s="13">
        <f t="shared" si="898"/>
        <v>0.03601750763</v>
      </c>
      <c r="T242" s="13">
        <f t="shared" si="899"/>
        <v>0.3039183595</v>
      </c>
      <c r="U242" s="13">
        <f t="shared" si="900"/>
        <v>12.75194007</v>
      </c>
      <c r="V242" s="13">
        <f t="shared" si="901"/>
        <v>0.1389254999</v>
      </c>
      <c r="W242" s="13">
        <f t="shared" si="902"/>
        <v>0.6151219074</v>
      </c>
      <c r="X242" s="12">
        <v>1.385</v>
      </c>
      <c r="Y242" s="13">
        <f t="shared" si="903"/>
        <v>0.4441299921</v>
      </c>
      <c r="Z242" s="13">
        <f t="shared" si="904"/>
        <v>0.04119100518</v>
      </c>
      <c r="AA242" s="13">
        <f t="shared" si="905"/>
        <v>0.132580816</v>
      </c>
      <c r="AB242" s="13">
        <f t="shared" si="906"/>
        <v>-0.0522875817</v>
      </c>
    </row>
    <row r="243" ht="14.25" customHeight="1">
      <c r="B243" s="31" t="s">
        <v>630</v>
      </c>
      <c r="C243" s="31" t="s">
        <v>736</v>
      </c>
      <c r="D243" s="31" t="s">
        <v>737</v>
      </c>
      <c r="E243" s="31" t="s">
        <v>745</v>
      </c>
      <c r="F243" s="31" t="s">
        <v>746</v>
      </c>
      <c r="G243" s="21" t="s">
        <v>686</v>
      </c>
      <c r="H243" s="29">
        <v>38323.0</v>
      </c>
      <c r="I243" s="21">
        <v>18.6</v>
      </c>
      <c r="J243" s="21" t="s">
        <v>740</v>
      </c>
      <c r="K243" s="12">
        <f t="shared" si="892"/>
        <v>88.66542186</v>
      </c>
      <c r="L243" s="21">
        <v>0.01</v>
      </c>
      <c r="M243" s="13">
        <f t="shared" si="893"/>
        <v>0.006739405621</v>
      </c>
      <c r="N243" s="13">
        <f t="shared" si="894"/>
        <v>0.01454935006</v>
      </c>
      <c r="O243" s="13">
        <f t="shared" si="895"/>
        <v>0.04348229105</v>
      </c>
      <c r="P243" s="13">
        <v>0.08</v>
      </c>
      <c r="Q243" s="13">
        <f t="shared" si="896"/>
        <v>0.5435286382</v>
      </c>
      <c r="R243" s="13">
        <f t="shared" si="897"/>
        <v>0.000784071805</v>
      </c>
      <c r="S243" s="13">
        <f t="shared" si="898"/>
        <v>0.03601750763</v>
      </c>
      <c r="T243" s="13">
        <f t="shared" si="899"/>
        <v>0.3039183595</v>
      </c>
      <c r="U243" s="13">
        <f t="shared" si="900"/>
        <v>12.75194007</v>
      </c>
      <c r="V243" s="13">
        <f t="shared" si="901"/>
        <v>0.1389254999</v>
      </c>
      <c r="W243" s="13">
        <f t="shared" si="902"/>
        <v>0.6151219074</v>
      </c>
      <c r="X243" s="12">
        <v>1.385</v>
      </c>
      <c r="Y243" s="13">
        <f t="shared" si="903"/>
        <v>0.4441299921</v>
      </c>
      <c r="Z243" s="13">
        <f t="shared" si="904"/>
        <v>0.04119100518</v>
      </c>
      <c r="AA243" s="13">
        <f t="shared" si="905"/>
        <v>0.132580816</v>
      </c>
      <c r="AB243" s="13">
        <f t="shared" si="906"/>
        <v>-0.0522875817</v>
      </c>
    </row>
    <row r="244" ht="14.25" customHeight="1">
      <c r="B244" s="31" t="s">
        <v>630</v>
      </c>
      <c r="C244" s="31" t="s">
        <v>747</v>
      </c>
      <c r="D244" s="31" t="s">
        <v>748</v>
      </c>
      <c r="E244" s="31" t="s">
        <v>749</v>
      </c>
      <c r="F244" s="31" t="s">
        <v>750</v>
      </c>
      <c r="G244" s="21" t="s">
        <v>686</v>
      </c>
      <c r="H244" s="30">
        <v>38624.0</v>
      </c>
      <c r="I244" s="21">
        <v>300.0</v>
      </c>
      <c r="J244" s="21" t="s">
        <v>751</v>
      </c>
      <c r="K244" s="12">
        <f t="shared" ref="K244:K247" si="907">(0.012+0.05)/0.0011547005383793</f>
        <v>53.69357503</v>
      </c>
      <c r="L244" s="21">
        <v>0.01</v>
      </c>
      <c r="M244" s="13">
        <f t="shared" ref="M244:M247" si="908">2230.75/370959.6</f>
        <v>0.006013458069</v>
      </c>
      <c r="N244" s="13">
        <f t="shared" ref="N244:N247" si="909">2230.75/204030</f>
        <v>0.01093344116</v>
      </c>
      <c r="O244" s="13">
        <f t="shared" ref="O244:O247" si="910">16279/392389.5       </f>
        <v>0.04148683897</v>
      </c>
      <c r="P244" s="13">
        <v>0.075</v>
      </c>
      <c r="Q244" s="13">
        <f t="shared" ref="Q244:Q247" si="911">(16279/0.075)/392389.5       </f>
        <v>0.5531578529</v>
      </c>
      <c r="R244" s="13">
        <f t="shared" ref="R244:R247" si="912">166.5/224432</f>
        <v>0.0007418728167</v>
      </c>
      <c r="S244" s="13">
        <f t="shared" ref="S244:S247" si="913">9960/392389.5</f>
        <v>0.0253829422</v>
      </c>
      <c r="T244" s="13">
        <f t="shared" ref="T244:T247" si="914">147266.7/392389.5</f>
        <v>0.3753074432</v>
      </c>
      <c r="U244" s="13">
        <f t="shared" ref="U244:U247" si="915">ln(392389.5)</f>
        <v>12.88001025</v>
      </c>
      <c r="V244" s="13">
        <f t="shared" ref="V244:V247" si="916">51001.4/392389.5</f>
        <v>0.1299764647</v>
      </c>
      <c r="W244" s="13">
        <f t="shared" ref="W244:W247" si="917">224432/392389.5</f>
        <v>0.5719622977</v>
      </c>
      <c r="X244" s="12">
        <v>1.1</v>
      </c>
      <c r="Y244" s="13">
        <f t="shared" ref="Y244:Y247" si="918">204030/392389.5</f>
        <v>0.519968042</v>
      </c>
      <c r="Z244" s="13">
        <f t="shared" ref="Z244:Z247" si="919">21429.9/392389.5</f>
        <v>0.0546138467</v>
      </c>
      <c r="AA244" s="13">
        <f t="shared" ref="AA244:AA247" si="920">374828/2699147</f>
        <v>0.1388690575</v>
      </c>
      <c r="AB244" s="13">
        <f t="shared" ref="AB244:AB247" si="921">(735.28-691.54)/691.54</f>
        <v>0.06325013737</v>
      </c>
    </row>
    <row r="245" ht="14.25" customHeight="1">
      <c r="B245" s="31" t="s">
        <v>630</v>
      </c>
      <c r="C245" s="31" t="s">
        <v>747</v>
      </c>
      <c r="D245" s="31" t="s">
        <v>748</v>
      </c>
      <c r="E245" s="31" t="s">
        <v>752</v>
      </c>
      <c r="F245" s="31" t="s">
        <v>753</v>
      </c>
      <c r="G245" s="21" t="s">
        <v>686</v>
      </c>
      <c r="H245" s="30">
        <v>38624.0</v>
      </c>
      <c r="I245" s="21">
        <v>879.3</v>
      </c>
      <c r="J245" s="21" t="s">
        <v>751</v>
      </c>
      <c r="K245" s="12">
        <f t="shared" si="907"/>
        <v>53.69357503</v>
      </c>
      <c r="L245" s="21">
        <v>0.01</v>
      </c>
      <c r="M245" s="13">
        <f t="shared" si="908"/>
        <v>0.006013458069</v>
      </c>
      <c r="N245" s="13">
        <f t="shared" si="909"/>
        <v>0.01093344116</v>
      </c>
      <c r="O245" s="13">
        <f t="shared" si="910"/>
        <v>0.04148683897</v>
      </c>
      <c r="P245" s="13">
        <v>0.075</v>
      </c>
      <c r="Q245" s="13">
        <f t="shared" si="911"/>
        <v>0.5531578529</v>
      </c>
      <c r="R245" s="13">
        <f t="shared" si="912"/>
        <v>0.0007418728167</v>
      </c>
      <c r="S245" s="13">
        <f t="shared" si="913"/>
        <v>0.0253829422</v>
      </c>
      <c r="T245" s="13">
        <f t="shared" si="914"/>
        <v>0.3753074432</v>
      </c>
      <c r="U245" s="13">
        <f t="shared" si="915"/>
        <v>12.88001025</v>
      </c>
      <c r="V245" s="13">
        <f t="shared" si="916"/>
        <v>0.1299764647</v>
      </c>
      <c r="W245" s="13">
        <f t="shared" si="917"/>
        <v>0.5719622977</v>
      </c>
      <c r="X245" s="12">
        <v>1.1</v>
      </c>
      <c r="Y245" s="13">
        <f t="shared" si="918"/>
        <v>0.519968042</v>
      </c>
      <c r="Z245" s="13">
        <f t="shared" si="919"/>
        <v>0.0546138467</v>
      </c>
      <c r="AA245" s="13">
        <f t="shared" si="920"/>
        <v>0.1388690575</v>
      </c>
      <c r="AB245" s="13">
        <f t="shared" si="921"/>
        <v>0.06325013737</v>
      </c>
    </row>
    <row r="246" ht="14.25" customHeight="1">
      <c r="B246" s="31" t="s">
        <v>630</v>
      </c>
      <c r="C246" s="31" t="s">
        <v>747</v>
      </c>
      <c r="D246" s="31" t="s">
        <v>748</v>
      </c>
      <c r="E246" s="31" t="s">
        <v>754</v>
      </c>
      <c r="F246" s="31" t="s">
        <v>755</v>
      </c>
      <c r="G246" s="21" t="s">
        <v>686</v>
      </c>
      <c r="H246" s="30">
        <v>38624.0</v>
      </c>
      <c r="I246" s="21">
        <v>28.8</v>
      </c>
      <c r="J246" s="21" t="s">
        <v>751</v>
      </c>
      <c r="K246" s="12">
        <f t="shared" si="907"/>
        <v>53.69357503</v>
      </c>
      <c r="L246" s="21">
        <v>0.01</v>
      </c>
      <c r="M246" s="13">
        <f t="shared" si="908"/>
        <v>0.006013458069</v>
      </c>
      <c r="N246" s="13">
        <f t="shared" si="909"/>
        <v>0.01093344116</v>
      </c>
      <c r="O246" s="13">
        <f t="shared" si="910"/>
        <v>0.04148683897</v>
      </c>
      <c r="P246" s="13">
        <v>0.075</v>
      </c>
      <c r="Q246" s="13">
        <f t="shared" si="911"/>
        <v>0.5531578529</v>
      </c>
      <c r="R246" s="13">
        <f t="shared" si="912"/>
        <v>0.0007418728167</v>
      </c>
      <c r="S246" s="13">
        <f t="shared" si="913"/>
        <v>0.0253829422</v>
      </c>
      <c r="T246" s="13">
        <f t="shared" si="914"/>
        <v>0.3753074432</v>
      </c>
      <c r="U246" s="13">
        <f t="shared" si="915"/>
        <v>12.88001025</v>
      </c>
      <c r="V246" s="13">
        <f t="shared" si="916"/>
        <v>0.1299764647</v>
      </c>
      <c r="W246" s="13">
        <f t="shared" si="917"/>
        <v>0.5719622977</v>
      </c>
      <c r="X246" s="12">
        <v>1.1</v>
      </c>
      <c r="Y246" s="13">
        <f t="shared" si="918"/>
        <v>0.519968042</v>
      </c>
      <c r="Z246" s="13">
        <f t="shared" si="919"/>
        <v>0.0546138467</v>
      </c>
      <c r="AA246" s="13">
        <f t="shared" si="920"/>
        <v>0.1388690575</v>
      </c>
      <c r="AB246" s="13">
        <f t="shared" si="921"/>
        <v>0.06325013737</v>
      </c>
    </row>
    <row r="247" ht="14.25" customHeight="1">
      <c r="B247" s="31" t="s">
        <v>630</v>
      </c>
      <c r="C247" s="31" t="s">
        <v>747</v>
      </c>
      <c r="D247" s="31" t="s">
        <v>748</v>
      </c>
      <c r="E247" s="31" t="s">
        <v>756</v>
      </c>
      <c r="F247" s="31" t="s">
        <v>757</v>
      </c>
      <c r="G247" s="21" t="s">
        <v>686</v>
      </c>
      <c r="H247" s="30">
        <v>38624.0</v>
      </c>
      <c r="I247" s="21">
        <v>41.9</v>
      </c>
      <c r="J247" s="21" t="s">
        <v>751</v>
      </c>
      <c r="K247" s="12">
        <f t="shared" si="907"/>
        <v>53.69357503</v>
      </c>
      <c r="L247" s="21">
        <v>0.01</v>
      </c>
      <c r="M247" s="13">
        <f t="shared" si="908"/>
        <v>0.006013458069</v>
      </c>
      <c r="N247" s="13">
        <f t="shared" si="909"/>
        <v>0.01093344116</v>
      </c>
      <c r="O247" s="13">
        <f t="shared" si="910"/>
        <v>0.04148683897</v>
      </c>
      <c r="P247" s="13">
        <v>0.075</v>
      </c>
      <c r="Q247" s="13">
        <f t="shared" si="911"/>
        <v>0.5531578529</v>
      </c>
      <c r="R247" s="13">
        <f t="shared" si="912"/>
        <v>0.0007418728167</v>
      </c>
      <c r="S247" s="13">
        <f t="shared" si="913"/>
        <v>0.0253829422</v>
      </c>
      <c r="T247" s="13">
        <f t="shared" si="914"/>
        <v>0.3753074432</v>
      </c>
      <c r="U247" s="13">
        <f t="shared" si="915"/>
        <v>12.88001025</v>
      </c>
      <c r="V247" s="13">
        <f t="shared" si="916"/>
        <v>0.1299764647</v>
      </c>
      <c r="W247" s="13">
        <f t="shared" si="917"/>
        <v>0.5719622977</v>
      </c>
      <c r="X247" s="12">
        <v>1.1</v>
      </c>
      <c r="Y247" s="13">
        <f t="shared" si="918"/>
        <v>0.519968042</v>
      </c>
      <c r="Z247" s="13">
        <f t="shared" si="919"/>
        <v>0.0546138467</v>
      </c>
      <c r="AA247" s="13">
        <f t="shared" si="920"/>
        <v>0.1388690575</v>
      </c>
      <c r="AB247" s="13">
        <f t="shared" si="921"/>
        <v>0.06325013737</v>
      </c>
    </row>
    <row r="248" ht="14.25" customHeight="1">
      <c r="B248" s="31" t="s">
        <v>630</v>
      </c>
      <c r="C248" s="31" t="s">
        <v>758</v>
      </c>
      <c r="D248" s="31" t="s">
        <v>759</v>
      </c>
      <c r="E248" s="31" t="s">
        <v>760</v>
      </c>
      <c r="F248" s="31" t="s">
        <v>761</v>
      </c>
      <c r="G248" s="21" t="s">
        <v>686</v>
      </c>
      <c r="H248" s="30">
        <v>39016.0</v>
      </c>
      <c r="I248" s="32">
        <v>1472.8</v>
      </c>
      <c r="J248" s="21" t="s">
        <v>762</v>
      </c>
      <c r="K248" s="12">
        <f t="shared" ref="K248:K252" si="922">(0.019+0.052)/0.006557438524302</f>
        <v>10.82739849</v>
      </c>
      <c r="L248" s="21">
        <v>0.01</v>
      </c>
      <c r="M248" s="13">
        <f t="shared" ref="M248:M252" si="923">4137/424503</f>
        <v>0.009745514166</v>
      </c>
      <c r="N248" s="13">
        <f t="shared" ref="N248:N252" si="924">4137/277264</f>
        <v>0.01492079751</v>
      </c>
      <c r="O248" s="13">
        <f t="shared" ref="O248:O252" si="925">19981/446848</f>
        <v>0.04471542896</v>
      </c>
      <c r="P248" s="13">
        <v>0.077</v>
      </c>
      <c r="Q248" s="13">
        <f t="shared" ref="Q248:Q252" si="926">(19981/0.077)/446848</f>
        <v>0.5807198566</v>
      </c>
      <c r="R248" s="13">
        <f t="shared" ref="R248:R252" si="927">324.25/271488</f>
        <v>0.001194343765</v>
      </c>
      <c r="S248" s="13">
        <f t="shared" ref="S248:S252" si="928">15571/446848</f>
        <v>0.0348463012</v>
      </c>
      <c r="T248" s="13">
        <f t="shared" ref="T248:T252" si="929">147881/446848</f>
        <v>0.3309425129</v>
      </c>
      <c r="U248" s="13">
        <f t="shared" ref="U248:U252" si="930">ln(446848)</f>
        <v>13.00997377</v>
      </c>
      <c r="V248" s="13">
        <f t="shared" ref="V248:V252" si="931">51906/446848</f>
        <v>0.1161603051</v>
      </c>
      <c r="W248" s="13">
        <f t="shared" ref="W248:W252" si="932">271488/446848</f>
        <v>0.6075623031</v>
      </c>
      <c r="X248" s="12">
        <v>0.979</v>
      </c>
      <c r="Y248" s="13">
        <f t="shared" ref="Y248:Y252" si="933">277264/446848</f>
        <v>0.6204883987</v>
      </c>
      <c r="Z248" s="13">
        <f t="shared" ref="Z248:Z252" si="934">22345/446848</f>
        <v>0.05000581853</v>
      </c>
      <c r="AA248" s="13">
        <f t="shared" ref="AA248:AA252" si="935">411916/3083408</f>
        <v>0.1335911433</v>
      </c>
      <c r="AB248" s="13">
        <f t="shared" ref="AB248:AB252" si="936">(727.62-765.56)/765.56</f>
        <v>-0.04955849313</v>
      </c>
    </row>
    <row r="249" ht="14.25" customHeight="1">
      <c r="B249" s="31" t="s">
        <v>630</v>
      </c>
      <c r="C249" s="31" t="s">
        <v>758</v>
      </c>
      <c r="D249" s="31" t="s">
        <v>759</v>
      </c>
      <c r="E249" s="31" t="s">
        <v>763</v>
      </c>
      <c r="F249" s="31" t="s">
        <v>764</v>
      </c>
      <c r="G249" s="21" t="s">
        <v>686</v>
      </c>
      <c r="H249" s="30">
        <v>39016.0</v>
      </c>
      <c r="I249" s="21">
        <v>200.0</v>
      </c>
      <c r="J249" s="21" t="s">
        <v>762</v>
      </c>
      <c r="K249" s="12">
        <f t="shared" si="922"/>
        <v>10.82739849</v>
      </c>
      <c r="L249" s="21">
        <v>0.01</v>
      </c>
      <c r="M249" s="13">
        <f t="shared" si="923"/>
        <v>0.009745514166</v>
      </c>
      <c r="N249" s="13">
        <f t="shared" si="924"/>
        <v>0.01492079751</v>
      </c>
      <c r="O249" s="13">
        <f t="shared" si="925"/>
        <v>0.04471542896</v>
      </c>
      <c r="P249" s="13">
        <v>0.077</v>
      </c>
      <c r="Q249" s="13">
        <f t="shared" si="926"/>
        <v>0.5807198566</v>
      </c>
      <c r="R249" s="13">
        <f t="shared" si="927"/>
        <v>0.001194343765</v>
      </c>
      <c r="S249" s="13">
        <f t="shared" si="928"/>
        <v>0.0348463012</v>
      </c>
      <c r="T249" s="13">
        <f t="shared" si="929"/>
        <v>0.3309425129</v>
      </c>
      <c r="U249" s="13">
        <f t="shared" si="930"/>
        <v>13.00997377</v>
      </c>
      <c r="V249" s="13">
        <f t="shared" si="931"/>
        <v>0.1161603051</v>
      </c>
      <c r="W249" s="13">
        <f t="shared" si="932"/>
        <v>0.6075623031</v>
      </c>
      <c r="X249" s="12">
        <v>0.979</v>
      </c>
      <c r="Y249" s="13">
        <f t="shared" si="933"/>
        <v>0.6204883987</v>
      </c>
      <c r="Z249" s="13">
        <f t="shared" si="934"/>
        <v>0.05000581853</v>
      </c>
      <c r="AA249" s="13">
        <f t="shared" si="935"/>
        <v>0.1335911433</v>
      </c>
      <c r="AB249" s="13">
        <f t="shared" si="936"/>
        <v>-0.04955849313</v>
      </c>
    </row>
    <row r="250" ht="14.25" customHeight="1">
      <c r="B250" s="31" t="s">
        <v>630</v>
      </c>
      <c r="C250" s="31" t="s">
        <v>758</v>
      </c>
      <c r="D250" s="31" t="s">
        <v>759</v>
      </c>
      <c r="E250" s="31" t="s">
        <v>765</v>
      </c>
      <c r="F250" s="31" t="s">
        <v>766</v>
      </c>
      <c r="G250" s="21" t="s">
        <v>686</v>
      </c>
      <c r="H250" s="30">
        <v>39016.0</v>
      </c>
      <c r="I250" s="21">
        <v>130.3</v>
      </c>
      <c r="J250" s="21" t="s">
        <v>762</v>
      </c>
      <c r="K250" s="12">
        <f t="shared" si="922"/>
        <v>10.82739849</v>
      </c>
      <c r="L250" s="21">
        <v>0.01</v>
      </c>
      <c r="M250" s="13">
        <f t="shared" si="923"/>
        <v>0.009745514166</v>
      </c>
      <c r="N250" s="13">
        <f t="shared" si="924"/>
        <v>0.01492079751</v>
      </c>
      <c r="O250" s="13">
        <f t="shared" si="925"/>
        <v>0.04471542896</v>
      </c>
      <c r="P250" s="13">
        <v>0.077</v>
      </c>
      <c r="Q250" s="13">
        <f t="shared" si="926"/>
        <v>0.5807198566</v>
      </c>
      <c r="R250" s="13">
        <f t="shared" si="927"/>
        <v>0.001194343765</v>
      </c>
      <c r="S250" s="13">
        <f t="shared" si="928"/>
        <v>0.0348463012</v>
      </c>
      <c r="T250" s="13">
        <f t="shared" si="929"/>
        <v>0.3309425129</v>
      </c>
      <c r="U250" s="13">
        <f t="shared" si="930"/>
        <v>13.00997377</v>
      </c>
      <c r="V250" s="13">
        <f t="shared" si="931"/>
        <v>0.1161603051</v>
      </c>
      <c r="W250" s="13">
        <f t="shared" si="932"/>
        <v>0.6075623031</v>
      </c>
      <c r="X250" s="12">
        <v>0.979</v>
      </c>
      <c r="Y250" s="13">
        <f t="shared" si="933"/>
        <v>0.6204883987</v>
      </c>
      <c r="Z250" s="13">
        <f t="shared" si="934"/>
        <v>0.05000581853</v>
      </c>
      <c r="AA250" s="13">
        <f t="shared" si="935"/>
        <v>0.1335911433</v>
      </c>
      <c r="AB250" s="13">
        <f t="shared" si="936"/>
        <v>-0.04955849313</v>
      </c>
    </row>
    <row r="251" ht="14.25" customHeight="1">
      <c r="B251" s="31" t="s">
        <v>630</v>
      </c>
      <c r="C251" s="31" t="s">
        <v>758</v>
      </c>
      <c r="D251" s="31" t="s">
        <v>759</v>
      </c>
      <c r="E251" s="31" t="s">
        <v>767</v>
      </c>
      <c r="F251" s="31" t="s">
        <v>768</v>
      </c>
      <c r="G251" s="21" t="s">
        <v>686</v>
      </c>
      <c r="H251" s="30">
        <v>39016.0</v>
      </c>
      <c r="I251" s="21">
        <v>39.9</v>
      </c>
      <c r="J251" s="21" t="s">
        <v>762</v>
      </c>
      <c r="K251" s="12">
        <f t="shared" si="922"/>
        <v>10.82739849</v>
      </c>
      <c r="L251" s="21">
        <v>0.01</v>
      </c>
      <c r="M251" s="13">
        <f t="shared" si="923"/>
        <v>0.009745514166</v>
      </c>
      <c r="N251" s="13">
        <f t="shared" si="924"/>
        <v>0.01492079751</v>
      </c>
      <c r="O251" s="13">
        <f t="shared" si="925"/>
        <v>0.04471542896</v>
      </c>
      <c r="P251" s="13">
        <v>0.077</v>
      </c>
      <c r="Q251" s="13">
        <f t="shared" si="926"/>
        <v>0.5807198566</v>
      </c>
      <c r="R251" s="13">
        <f t="shared" si="927"/>
        <v>0.001194343765</v>
      </c>
      <c r="S251" s="13">
        <f t="shared" si="928"/>
        <v>0.0348463012</v>
      </c>
      <c r="T251" s="13">
        <f t="shared" si="929"/>
        <v>0.3309425129</v>
      </c>
      <c r="U251" s="13">
        <f t="shared" si="930"/>
        <v>13.00997377</v>
      </c>
      <c r="V251" s="13">
        <f t="shared" si="931"/>
        <v>0.1161603051</v>
      </c>
      <c r="W251" s="13">
        <f t="shared" si="932"/>
        <v>0.6075623031</v>
      </c>
      <c r="X251" s="12">
        <v>0.979</v>
      </c>
      <c r="Y251" s="13">
        <f t="shared" si="933"/>
        <v>0.6204883987</v>
      </c>
      <c r="Z251" s="13">
        <f t="shared" si="934"/>
        <v>0.05000581853</v>
      </c>
      <c r="AA251" s="13">
        <f t="shared" si="935"/>
        <v>0.1335911433</v>
      </c>
      <c r="AB251" s="13">
        <f t="shared" si="936"/>
        <v>-0.04955849313</v>
      </c>
    </row>
    <row r="252" ht="14.25" customHeight="1">
      <c r="B252" s="31" t="s">
        <v>630</v>
      </c>
      <c r="C252" s="31" t="s">
        <v>758</v>
      </c>
      <c r="D252" s="31" t="s">
        <v>759</v>
      </c>
      <c r="E252" s="31" t="s">
        <v>769</v>
      </c>
      <c r="F252" s="31" t="s">
        <v>770</v>
      </c>
      <c r="G252" s="21" t="s">
        <v>686</v>
      </c>
      <c r="H252" s="30">
        <v>39016.0</v>
      </c>
      <c r="I252" s="21">
        <v>57.0</v>
      </c>
      <c r="J252" s="21" t="s">
        <v>762</v>
      </c>
      <c r="K252" s="12">
        <f t="shared" si="922"/>
        <v>10.82739849</v>
      </c>
      <c r="L252" s="21">
        <v>0.01</v>
      </c>
      <c r="M252" s="13">
        <f t="shared" si="923"/>
        <v>0.009745514166</v>
      </c>
      <c r="N252" s="13">
        <f t="shared" si="924"/>
        <v>0.01492079751</v>
      </c>
      <c r="O252" s="13">
        <f t="shared" si="925"/>
        <v>0.04471542896</v>
      </c>
      <c r="P252" s="13">
        <v>0.077</v>
      </c>
      <c r="Q252" s="13">
        <f t="shared" si="926"/>
        <v>0.5807198566</v>
      </c>
      <c r="R252" s="13">
        <f t="shared" si="927"/>
        <v>0.001194343765</v>
      </c>
      <c r="S252" s="13">
        <f t="shared" si="928"/>
        <v>0.0348463012</v>
      </c>
      <c r="T252" s="13">
        <f t="shared" si="929"/>
        <v>0.3309425129</v>
      </c>
      <c r="U252" s="13">
        <f t="shared" si="930"/>
        <v>13.00997377</v>
      </c>
      <c r="V252" s="13">
        <f t="shared" si="931"/>
        <v>0.1161603051</v>
      </c>
      <c r="W252" s="13">
        <f t="shared" si="932"/>
        <v>0.6075623031</v>
      </c>
      <c r="X252" s="12">
        <v>0.979</v>
      </c>
      <c r="Y252" s="13">
        <f t="shared" si="933"/>
        <v>0.6204883987</v>
      </c>
      <c r="Z252" s="13">
        <f t="shared" si="934"/>
        <v>0.05000581853</v>
      </c>
      <c r="AA252" s="13">
        <f t="shared" si="935"/>
        <v>0.1335911433</v>
      </c>
      <c r="AB252" s="13">
        <f t="shared" si="936"/>
        <v>-0.04955849313</v>
      </c>
    </row>
    <row r="253" ht="14.25" customHeight="1">
      <c r="B253" s="31" t="s">
        <v>630</v>
      </c>
      <c r="C253" s="31" t="s">
        <v>771</v>
      </c>
      <c r="D253" s="31" t="s">
        <v>772</v>
      </c>
      <c r="E253" s="31" t="s">
        <v>773</v>
      </c>
      <c r="F253" s="31" t="s">
        <v>774</v>
      </c>
      <c r="G253" s="21" t="s">
        <v>686</v>
      </c>
      <c r="H253" s="30">
        <v>39247.0</v>
      </c>
      <c r="I253" s="32">
        <v>1201.9</v>
      </c>
      <c r="J253" s="21" t="s">
        <v>775</v>
      </c>
      <c r="K253" s="12">
        <f t="shared" ref="K253:K256" si="937">(0.012+0.053)/0.0066017674401128</f>
        <v>9.84584819</v>
      </c>
      <c r="L253" s="21">
        <v>0.01</v>
      </c>
      <c r="M253" s="13">
        <f t="shared" ref="M253:M256" si="938">4137/465080</f>
        <v>0.008895243829</v>
      </c>
      <c r="N253" s="13">
        <f t="shared" ref="N253:N256" si="939">4137/292740</f>
        <v>0.01413199426</v>
      </c>
      <c r="O253" s="13">
        <f t="shared" ref="O253:O256" si="940">20689/492674</f>
        <v>0.04199328562</v>
      </c>
      <c r="P253" s="13">
        <v>0.068</v>
      </c>
      <c r="Q253" s="13">
        <f t="shared" ref="Q253:Q256" si="941">(20689/0.068)/492674</f>
        <v>0.617548318</v>
      </c>
      <c r="R253" s="13">
        <f t="shared" ref="R253:R256" si="942">324.25/309164</f>
        <v>0.001048796108</v>
      </c>
      <c r="S253" s="13">
        <f t="shared" ref="S253:S256" si="943">17678/492674</f>
        <v>0.03588173924</v>
      </c>
      <c r="T253" s="13">
        <f t="shared" ref="T253:T256" si="944">147959/492674</f>
        <v>0.3003182632</v>
      </c>
      <c r="U253" s="13">
        <f t="shared" ref="U253:U256" si="945">ln(492674)</f>
        <v>13.10760298</v>
      </c>
      <c r="V253" s="13">
        <f t="shared" ref="V253:V256" si="946">57663/492674</f>
        <v>0.117040883</v>
      </c>
      <c r="W253" s="13">
        <f t="shared" ref="W253:W256" si="947">309164/492674</f>
        <v>0.6275224591</v>
      </c>
      <c r="X253" s="12">
        <v>1.056</v>
      </c>
      <c r="Y253" s="13">
        <f t="shared" ref="Y253:Y256" si="948">292740/492674</f>
        <v>0.5941860135</v>
      </c>
      <c r="Z253" s="13">
        <f t="shared" ref="Z253:Z256" si="949">27594/492674</f>
        <v>0.05600863857</v>
      </c>
      <c r="AA253" s="13">
        <f t="shared" ref="AA253:AA256" si="950">466443/3127000</f>
        <v>0.1491662936</v>
      </c>
      <c r="AB253" s="13">
        <f t="shared" ref="AB253:AB256" si="951">(743.54-762.44)/762.44</f>
        <v>-0.02478883584</v>
      </c>
    </row>
    <row r="254" ht="14.25" customHeight="1">
      <c r="B254" s="31" t="s">
        <v>630</v>
      </c>
      <c r="C254" s="31" t="s">
        <v>771</v>
      </c>
      <c r="D254" s="31" t="s">
        <v>772</v>
      </c>
      <c r="E254" s="31" t="s">
        <v>776</v>
      </c>
      <c r="F254" s="31" t="s">
        <v>777</v>
      </c>
      <c r="G254" s="21" t="s">
        <v>686</v>
      </c>
      <c r="H254" s="30">
        <v>39247.0</v>
      </c>
      <c r="I254" s="21">
        <v>215.5</v>
      </c>
      <c r="J254" s="21" t="s">
        <v>775</v>
      </c>
      <c r="K254" s="12">
        <f t="shared" si="937"/>
        <v>9.84584819</v>
      </c>
      <c r="L254" s="21">
        <v>0.01</v>
      </c>
      <c r="M254" s="13">
        <f t="shared" si="938"/>
        <v>0.008895243829</v>
      </c>
      <c r="N254" s="13">
        <f t="shared" si="939"/>
        <v>0.01413199426</v>
      </c>
      <c r="O254" s="13">
        <f t="shared" si="940"/>
        <v>0.04199328562</v>
      </c>
      <c r="P254" s="13">
        <v>0.068</v>
      </c>
      <c r="Q254" s="13">
        <f t="shared" si="941"/>
        <v>0.617548318</v>
      </c>
      <c r="R254" s="13">
        <f t="shared" si="942"/>
        <v>0.001048796108</v>
      </c>
      <c r="S254" s="13">
        <f t="shared" si="943"/>
        <v>0.03588173924</v>
      </c>
      <c r="T254" s="13">
        <f t="shared" si="944"/>
        <v>0.3003182632</v>
      </c>
      <c r="U254" s="13">
        <f t="shared" si="945"/>
        <v>13.10760298</v>
      </c>
      <c r="V254" s="13">
        <f t="shared" si="946"/>
        <v>0.117040883</v>
      </c>
      <c r="W254" s="13">
        <f t="shared" si="947"/>
        <v>0.6275224591</v>
      </c>
      <c r="X254" s="12">
        <v>1.056</v>
      </c>
      <c r="Y254" s="13">
        <f t="shared" si="948"/>
        <v>0.5941860135</v>
      </c>
      <c r="Z254" s="13">
        <f t="shared" si="949"/>
        <v>0.05600863857</v>
      </c>
      <c r="AA254" s="13">
        <f t="shared" si="950"/>
        <v>0.1491662936</v>
      </c>
      <c r="AB254" s="13">
        <f t="shared" si="951"/>
        <v>-0.02478883584</v>
      </c>
    </row>
    <row r="255" ht="14.25" customHeight="1">
      <c r="B255" s="31" t="s">
        <v>630</v>
      </c>
      <c r="C255" s="31" t="s">
        <v>771</v>
      </c>
      <c r="D255" s="31" t="s">
        <v>772</v>
      </c>
      <c r="E255" s="31" t="s">
        <v>778</v>
      </c>
      <c r="F255" s="31" t="s">
        <v>779</v>
      </c>
      <c r="G255" s="21" t="s">
        <v>686</v>
      </c>
      <c r="H255" s="30">
        <v>39247.0</v>
      </c>
      <c r="I255" s="21">
        <v>50.3</v>
      </c>
      <c r="J255" s="21" t="s">
        <v>775</v>
      </c>
      <c r="K255" s="12">
        <f t="shared" si="937"/>
        <v>9.84584819</v>
      </c>
      <c r="L255" s="21">
        <v>0.01</v>
      </c>
      <c r="M255" s="13">
        <f t="shared" si="938"/>
        <v>0.008895243829</v>
      </c>
      <c r="N255" s="13">
        <f t="shared" si="939"/>
        <v>0.01413199426</v>
      </c>
      <c r="O255" s="13">
        <f t="shared" si="940"/>
        <v>0.04199328562</v>
      </c>
      <c r="P255" s="13">
        <v>0.068</v>
      </c>
      <c r="Q255" s="13">
        <f t="shared" si="941"/>
        <v>0.617548318</v>
      </c>
      <c r="R255" s="13">
        <f t="shared" si="942"/>
        <v>0.001048796108</v>
      </c>
      <c r="S255" s="13">
        <f t="shared" si="943"/>
        <v>0.03588173924</v>
      </c>
      <c r="T255" s="13">
        <f t="shared" si="944"/>
        <v>0.3003182632</v>
      </c>
      <c r="U255" s="13">
        <f t="shared" si="945"/>
        <v>13.10760298</v>
      </c>
      <c r="V255" s="13">
        <f t="shared" si="946"/>
        <v>0.117040883</v>
      </c>
      <c r="W255" s="13">
        <f t="shared" si="947"/>
        <v>0.6275224591</v>
      </c>
      <c r="X255" s="12">
        <v>1.056</v>
      </c>
      <c r="Y255" s="13">
        <f t="shared" si="948"/>
        <v>0.5941860135</v>
      </c>
      <c r="Z255" s="13">
        <f t="shared" si="949"/>
        <v>0.05600863857</v>
      </c>
      <c r="AA255" s="13">
        <f t="shared" si="950"/>
        <v>0.1491662936</v>
      </c>
      <c r="AB255" s="13">
        <f t="shared" si="951"/>
        <v>-0.02478883584</v>
      </c>
    </row>
    <row r="256" ht="14.25" customHeight="1">
      <c r="B256" s="31" t="s">
        <v>630</v>
      </c>
      <c r="C256" s="31" t="s">
        <v>771</v>
      </c>
      <c r="D256" s="31" t="s">
        <v>772</v>
      </c>
      <c r="E256" s="31" t="s">
        <v>780</v>
      </c>
      <c r="F256" s="31" t="s">
        <v>781</v>
      </c>
      <c r="G256" s="21" t="s">
        <v>686</v>
      </c>
      <c r="H256" s="30">
        <v>39247.0</v>
      </c>
      <c r="I256" s="21">
        <v>32.3</v>
      </c>
      <c r="J256" s="21" t="s">
        <v>775</v>
      </c>
      <c r="K256" s="12">
        <f t="shared" si="937"/>
        <v>9.84584819</v>
      </c>
      <c r="L256" s="21">
        <v>0.01</v>
      </c>
      <c r="M256" s="13">
        <f t="shared" si="938"/>
        <v>0.008895243829</v>
      </c>
      <c r="N256" s="13">
        <f t="shared" si="939"/>
        <v>0.01413199426</v>
      </c>
      <c r="O256" s="13">
        <f t="shared" si="940"/>
        <v>0.04199328562</v>
      </c>
      <c r="P256" s="13">
        <v>0.068</v>
      </c>
      <c r="Q256" s="13">
        <f t="shared" si="941"/>
        <v>0.617548318</v>
      </c>
      <c r="R256" s="13">
        <f t="shared" si="942"/>
        <v>0.001048796108</v>
      </c>
      <c r="S256" s="13">
        <f t="shared" si="943"/>
        <v>0.03588173924</v>
      </c>
      <c r="T256" s="13">
        <f t="shared" si="944"/>
        <v>0.3003182632</v>
      </c>
      <c r="U256" s="13">
        <f t="shared" si="945"/>
        <v>13.10760298</v>
      </c>
      <c r="V256" s="13">
        <f t="shared" si="946"/>
        <v>0.117040883</v>
      </c>
      <c r="W256" s="13">
        <f t="shared" si="947"/>
        <v>0.6275224591</v>
      </c>
      <c r="X256" s="12">
        <v>1.056</v>
      </c>
      <c r="Y256" s="13">
        <f t="shared" si="948"/>
        <v>0.5941860135</v>
      </c>
      <c r="Z256" s="13">
        <f t="shared" si="949"/>
        <v>0.05600863857</v>
      </c>
      <c r="AA256" s="13">
        <f t="shared" si="950"/>
        <v>0.1491662936</v>
      </c>
      <c r="AB256" s="13">
        <f t="shared" si="951"/>
        <v>-0.02478883584</v>
      </c>
    </row>
    <row r="257" ht="14.25" customHeight="1">
      <c r="B257" s="31" t="s">
        <v>630</v>
      </c>
      <c r="C257" s="31" t="s">
        <v>782</v>
      </c>
      <c r="D257" s="31" t="s">
        <v>783</v>
      </c>
      <c r="E257" s="31" t="s">
        <v>784</v>
      </c>
      <c r="F257" s="31" t="s">
        <v>785</v>
      </c>
      <c r="G257" s="21" t="s">
        <v>686</v>
      </c>
      <c r="H257" s="30">
        <v>41271.0</v>
      </c>
      <c r="I257" s="21">
        <v>70.0</v>
      </c>
      <c r="J257" s="21" t="s">
        <v>339</v>
      </c>
      <c r="K257" s="12">
        <f t="shared" ref="K257:K258" si="952">(0.012+0.072)/0.0054390562906936</f>
        <v>15.44385561</v>
      </c>
      <c r="L257" s="21">
        <v>0.058</v>
      </c>
      <c r="M257" s="13">
        <f t="shared" ref="M257:M258" si="953">2403/586500</f>
        <v>0.004097186701</v>
      </c>
      <c r="N257" s="13">
        <f t="shared" ref="N257:N258" si="954">2403/395851</f>
        <v>0.006070465908</v>
      </c>
      <c r="O257" s="13">
        <f t="shared" ref="O257:O258" si="955">36721/633073</f>
        <v>0.05800436916</v>
      </c>
      <c r="P257" s="13">
        <v>0.112</v>
      </c>
      <c r="Q257" s="13">
        <f t="shared" ref="Q257:Q258" si="956">(36721/0.112)/633073</f>
        <v>0.5178961533</v>
      </c>
      <c r="R257" s="13">
        <f t="shared" ref="R257:R258" si="957">655/372630</f>
        <v>0.00175777581</v>
      </c>
      <c r="S257" s="13">
        <f t="shared" ref="S257:S258" si="958">30208/633073</f>
        <v>0.04771645608</v>
      </c>
      <c r="T257" s="13">
        <f t="shared" ref="T257:T258" si="959">199750/633073</f>
        <v>0.315524434</v>
      </c>
      <c r="U257" s="13">
        <f t="shared" ref="U257:U258" si="960">ln(633073)</f>
        <v>13.35834102</v>
      </c>
      <c r="V257" s="13">
        <f t="shared" ref="V257:V258" si="961">75750/633073</f>
        <v>0.1196544474</v>
      </c>
      <c r="W257" s="13">
        <f t="shared" ref="W257:W258" si="962">372630/633073</f>
        <v>0.5886051056</v>
      </c>
      <c r="X257" s="12">
        <v>0.941</v>
      </c>
      <c r="Y257" s="13">
        <f t="shared" ref="Y257:Y258" si="963">395851/633073</f>
        <v>0.6252849197</v>
      </c>
      <c r="Z257" s="13">
        <f t="shared" ref="Z257:Z258" si="964">46573/633073</f>
        <v>0.07356655552</v>
      </c>
      <c r="AA257" s="13">
        <f t="shared" ref="AA257:AA258" si="965">621072/3423000</f>
        <v>0.1814408414</v>
      </c>
      <c r="AB257" s="13">
        <f t="shared" ref="AB257:AB258" si="966">(675.27-720.71)/720.71</f>
        <v>-0.06304893785</v>
      </c>
    </row>
    <row r="258" ht="14.25" customHeight="1">
      <c r="B258" s="31" t="s">
        <v>630</v>
      </c>
      <c r="C258" s="31" t="s">
        <v>782</v>
      </c>
      <c r="D258" s="31" t="s">
        <v>783</v>
      </c>
      <c r="E258" s="31" t="s">
        <v>786</v>
      </c>
      <c r="F258" s="31" t="s">
        <v>787</v>
      </c>
      <c r="G258" s="21" t="s">
        <v>686</v>
      </c>
      <c r="H258" s="30">
        <v>41271.0</v>
      </c>
      <c r="I258" s="21">
        <v>400.0</v>
      </c>
      <c r="J258" s="21" t="s">
        <v>339</v>
      </c>
      <c r="K258" s="12">
        <f t="shared" si="952"/>
        <v>15.44385561</v>
      </c>
      <c r="L258" s="21">
        <v>0.058</v>
      </c>
      <c r="M258" s="13">
        <f t="shared" si="953"/>
        <v>0.004097186701</v>
      </c>
      <c r="N258" s="13">
        <f t="shared" si="954"/>
        <v>0.006070465908</v>
      </c>
      <c r="O258" s="13">
        <f t="shared" si="955"/>
        <v>0.05800436916</v>
      </c>
      <c r="P258" s="13">
        <v>0.112</v>
      </c>
      <c r="Q258" s="13">
        <f t="shared" si="956"/>
        <v>0.5178961533</v>
      </c>
      <c r="R258" s="13">
        <f t="shared" si="957"/>
        <v>0.00175777581</v>
      </c>
      <c r="S258" s="13">
        <f t="shared" si="958"/>
        <v>0.04771645608</v>
      </c>
      <c r="T258" s="13">
        <f t="shared" si="959"/>
        <v>0.315524434</v>
      </c>
      <c r="U258" s="13">
        <f t="shared" si="960"/>
        <v>13.35834102</v>
      </c>
      <c r="V258" s="13">
        <f t="shared" si="961"/>
        <v>0.1196544474</v>
      </c>
      <c r="W258" s="13">
        <f t="shared" si="962"/>
        <v>0.5886051056</v>
      </c>
      <c r="X258" s="12">
        <v>0.941</v>
      </c>
      <c r="Y258" s="13">
        <f t="shared" si="963"/>
        <v>0.6252849197</v>
      </c>
      <c r="Z258" s="13">
        <f t="shared" si="964"/>
        <v>0.07356655552</v>
      </c>
      <c r="AA258" s="13">
        <f t="shared" si="965"/>
        <v>0.1814408414</v>
      </c>
      <c r="AB258" s="13">
        <f t="shared" si="966"/>
        <v>-0.06304893785</v>
      </c>
    </row>
    <row r="259" ht="14.25" customHeight="1">
      <c r="B259" s="31" t="s">
        <v>630</v>
      </c>
      <c r="C259" s="31" t="s">
        <v>788</v>
      </c>
      <c r="D259" s="31" t="s">
        <v>789</v>
      </c>
      <c r="E259" s="31" t="s">
        <v>790</v>
      </c>
      <c r="F259" s="31" t="s">
        <v>791</v>
      </c>
      <c r="G259" s="21" t="s">
        <v>792</v>
      </c>
      <c r="H259" s="30">
        <v>43431.0</v>
      </c>
      <c r="I259" s="27">
        <v>2793.0</v>
      </c>
      <c r="J259" s="21" t="s">
        <v>58</v>
      </c>
      <c r="K259" s="12">
        <f t="shared" ref="K259:K260" si="967">(0.005+0.062)/0.00057735026918963</f>
        <v>116.0474041</v>
      </c>
      <c r="L259" s="21">
        <v>0.046</v>
      </c>
      <c r="M259" s="13">
        <f t="shared" ref="M259:M260" si="968">474/379386</f>
        <v>0.001249387168</v>
      </c>
      <c r="N259" s="13">
        <f t="shared" ref="N259:N260" si="969">474/256020</f>
        <v>0.001851417858</v>
      </c>
      <c r="O259" s="13">
        <f t="shared" ref="O259:O260" si="970">19489/404136</f>
        <v>0.04822386523</v>
      </c>
      <c r="P259" s="13">
        <v>0.131</v>
      </c>
      <c r="Q259" s="13">
        <f t="shared" ref="Q259:Q260" si="971">(19489/0.131)/404136</f>
        <v>0.3681211087</v>
      </c>
      <c r="R259" s="13">
        <f t="shared" ref="R259:R260" si="972">209/227810</f>
        <v>0.0009174311927</v>
      </c>
      <c r="S259" s="13">
        <f t="shared" ref="S259:S260" si="973">23857/404136</f>
        <v>0.059032108</v>
      </c>
      <c r="T259" s="13">
        <f t="shared" ref="T259:T260" si="974">69730/404136</f>
        <v>0.1725409268</v>
      </c>
      <c r="U259" s="13">
        <f t="shared" ref="U259:U260" si="975">ln(404136)</f>
        <v>12.90950673</v>
      </c>
      <c r="V259" s="13">
        <f t="shared" ref="V259:V260" si="976">12787/404136</f>
        <v>0.0316403389</v>
      </c>
      <c r="W259" s="13">
        <f t="shared" ref="W259:W260" si="977">227810/404136</f>
        <v>0.5636963794</v>
      </c>
      <c r="X259" s="12">
        <v>0.89</v>
      </c>
      <c r="Y259" s="13">
        <f t="shared" ref="Y259:Y260" si="978">256020/404136</f>
        <v>0.633499614</v>
      </c>
      <c r="Z259" s="13">
        <f t="shared" ref="Z259:Z260" si="979">24750/404136</f>
        <v>0.0612417602</v>
      </c>
      <c r="AA259" s="13">
        <f t="shared" ref="AA259:AA260" si="980">386546/2576000</f>
        <v>0.150056677</v>
      </c>
      <c r="AB259" s="13">
        <f t="shared" ref="AB259:AB260" si="981">(785.75-823.47)/823.47</f>
        <v>-0.04580616173</v>
      </c>
    </row>
    <row r="260" ht="14.25" customHeight="1">
      <c r="B260" s="31" t="s">
        <v>630</v>
      </c>
      <c r="C260" s="31" t="s">
        <v>788</v>
      </c>
      <c r="D260" s="31" t="s">
        <v>789</v>
      </c>
      <c r="E260" s="31" t="s">
        <v>793</v>
      </c>
      <c r="F260" s="31" t="s">
        <v>794</v>
      </c>
      <c r="G260" s="21" t="s">
        <v>792</v>
      </c>
      <c r="H260" s="30">
        <v>43431.0</v>
      </c>
      <c r="I260" s="21">
        <v>532.0</v>
      </c>
      <c r="J260" s="21" t="s">
        <v>58</v>
      </c>
      <c r="K260" s="12">
        <f t="shared" si="967"/>
        <v>116.0474041</v>
      </c>
      <c r="L260" s="21">
        <v>0.046</v>
      </c>
      <c r="M260" s="13">
        <f t="shared" si="968"/>
        <v>0.001249387168</v>
      </c>
      <c r="N260" s="13">
        <f t="shared" si="969"/>
        <v>0.001851417858</v>
      </c>
      <c r="O260" s="13">
        <f t="shared" si="970"/>
        <v>0.04822386523</v>
      </c>
      <c r="P260" s="13">
        <v>0.131</v>
      </c>
      <c r="Q260" s="13">
        <f t="shared" si="971"/>
        <v>0.3681211087</v>
      </c>
      <c r="R260" s="13">
        <f t="shared" si="972"/>
        <v>0.0009174311927</v>
      </c>
      <c r="S260" s="13">
        <f t="shared" si="973"/>
        <v>0.059032108</v>
      </c>
      <c r="T260" s="13">
        <f t="shared" si="974"/>
        <v>0.1725409268</v>
      </c>
      <c r="U260" s="13">
        <f t="shared" si="975"/>
        <v>12.90950673</v>
      </c>
      <c r="V260" s="13">
        <f t="shared" si="976"/>
        <v>0.0316403389</v>
      </c>
      <c r="W260" s="13">
        <f t="shared" si="977"/>
        <v>0.5636963794</v>
      </c>
      <c r="X260" s="12">
        <v>0.89</v>
      </c>
      <c r="Y260" s="13">
        <f t="shared" si="978"/>
        <v>0.633499614</v>
      </c>
      <c r="Z260" s="13">
        <f t="shared" si="979"/>
        <v>0.0612417602</v>
      </c>
      <c r="AA260" s="13">
        <f t="shared" si="980"/>
        <v>0.150056677</v>
      </c>
      <c r="AB260" s="13">
        <f t="shared" si="981"/>
        <v>-0.04580616173</v>
      </c>
    </row>
    <row r="261" ht="14.25" customHeight="1">
      <c r="B261" s="31" t="s">
        <v>630</v>
      </c>
      <c r="C261" s="31" t="s">
        <v>795</v>
      </c>
      <c r="D261" s="31" t="s">
        <v>796</v>
      </c>
      <c r="E261" s="31" t="s">
        <v>797</v>
      </c>
      <c r="F261" s="31" t="s">
        <v>798</v>
      </c>
      <c r="G261" s="21" t="s">
        <v>792</v>
      </c>
      <c r="H261" s="30">
        <v>43790.0</v>
      </c>
      <c r="I261" s="32">
        <v>2131.5</v>
      </c>
      <c r="J261" s="21" t="s">
        <v>163</v>
      </c>
      <c r="K261" s="12">
        <f t="shared" ref="K261:K262" si="982">(0.001+0.061)/0.0024494897427832</f>
        <v>25.31139401</v>
      </c>
      <c r="L261" s="21">
        <v>0.037</v>
      </c>
      <c r="M261" s="13">
        <f t="shared" ref="M261:M262" si="983">482/392174</f>
        <v>0.001229046291</v>
      </c>
      <c r="N261" s="13">
        <f t="shared" ref="N261:N262" si="984">482/269371</f>
        <v>0.001789353717</v>
      </c>
      <c r="O261" s="13">
        <f t="shared" ref="O261:O262" si="985">19995/416391</f>
        <v>0.04801976988</v>
      </c>
      <c r="P261" s="13">
        <v>0.135</v>
      </c>
      <c r="Q261" s="13">
        <f t="shared" ref="Q261:Q262" si="986">(19995/0.135)/416391</f>
        <v>0.3557019991</v>
      </c>
      <c r="R261" s="13">
        <f t="shared" ref="R261:R262" si="987">153/232782</f>
        <v>0.0006572673145</v>
      </c>
      <c r="S261" s="13">
        <f t="shared" ref="S261:S262" si="988">26505/416391</f>
        <v>0.06365411356</v>
      </c>
      <c r="T261" s="13">
        <f t="shared" ref="T261:T262" si="989">68497/416391</f>
        <v>0.1645016343</v>
      </c>
      <c r="U261" s="13">
        <f t="shared" ref="U261:U262" si="990">ln(416391)</f>
        <v>12.93938</v>
      </c>
      <c r="V261" s="13">
        <f t="shared" ref="V261:V262" si="991">9177/416391</f>
        <v>0.02203938125</v>
      </c>
      <c r="W261" s="13">
        <f t="shared" ref="W261:W262" si="992">232782/416391</f>
        <v>0.5590466653</v>
      </c>
      <c r="X261" s="12">
        <v>0.864</v>
      </c>
      <c r="Y261" s="13">
        <f t="shared" ref="Y261:Y262" si="993">269371/416391</f>
        <v>0.6469184012</v>
      </c>
      <c r="Z261" s="13">
        <f t="shared" ref="Z261:Z262" si="994">24217/416391</f>
        <v>0.05815927818</v>
      </c>
      <c r="AA261" s="13">
        <f t="shared" ref="AA261:AA262" si="995">391414/2613000</f>
        <v>0.1497948718</v>
      </c>
      <c r="AB261" s="13">
        <f t="shared" ref="AB261:AB262" si="996">(751.85-835.48)/835.48</f>
        <v>-0.1000981472</v>
      </c>
    </row>
    <row r="262" ht="14.25" customHeight="1">
      <c r="B262" s="31" t="s">
        <v>630</v>
      </c>
      <c r="C262" s="31" t="s">
        <v>795</v>
      </c>
      <c r="D262" s="31" t="s">
        <v>796</v>
      </c>
      <c r="E262" s="31" t="s">
        <v>799</v>
      </c>
      <c r="F262" s="31" t="s">
        <v>800</v>
      </c>
      <c r="G262" s="21" t="s">
        <v>792</v>
      </c>
      <c r="H262" s="30">
        <v>43790.0</v>
      </c>
      <c r="I262" s="21">
        <v>318.5</v>
      </c>
      <c r="J262" s="21" t="s">
        <v>163</v>
      </c>
      <c r="K262" s="12">
        <f t="shared" si="982"/>
        <v>25.31139401</v>
      </c>
      <c r="L262" s="21">
        <v>0.037</v>
      </c>
      <c r="M262" s="13">
        <f t="shared" si="983"/>
        <v>0.001229046291</v>
      </c>
      <c r="N262" s="13">
        <f t="shared" si="984"/>
        <v>0.001789353717</v>
      </c>
      <c r="O262" s="13">
        <f t="shared" si="985"/>
        <v>0.04801976988</v>
      </c>
      <c r="P262" s="13">
        <v>0.135</v>
      </c>
      <c r="Q262" s="13">
        <f t="shared" si="986"/>
        <v>0.3557019991</v>
      </c>
      <c r="R262" s="13">
        <f t="shared" si="987"/>
        <v>0.0006572673145</v>
      </c>
      <c r="S262" s="13">
        <f t="shared" si="988"/>
        <v>0.06365411356</v>
      </c>
      <c r="T262" s="13">
        <f t="shared" si="989"/>
        <v>0.1645016343</v>
      </c>
      <c r="U262" s="13">
        <f t="shared" si="990"/>
        <v>12.93938</v>
      </c>
      <c r="V262" s="13">
        <f t="shared" si="991"/>
        <v>0.02203938125</v>
      </c>
      <c r="W262" s="13">
        <f t="shared" si="992"/>
        <v>0.5590466653</v>
      </c>
      <c r="X262" s="12">
        <v>0.864</v>
      </c>
      <c r="Y262" s="13">
        <f t="shared" si="993"/>
        <v>0.6469184012</v>
      </c>
      <c r="Z262" s="13">
        <f t="shared" si="994"/>
        <v>0.05815927818</v>
      </c>
      <c r="AA262" s="13">
        <f t="shared" si="995"/>
        <v>0.1497948718</v>
      </c>
      <c r="AB262" s="13">
        <f t="shared" si="996"/>
        <v>-0.1000981472</v>
      </c>
    </row>
    <row r="263" ht="14.25" customHeight="1">
      <c r="B263" s="31" t="s">
        <v>630</v>
      </c>
      <c r="C263" s="31" t="s">
        <v>801</v>
      </c>
      <c r="D263" s="31" t="s">
        <v>802</v>
      </c>
      <c r="E263" s="31" t="s">
        <v>803</v>
      </c>
      <c r="F263" s="31" t="s">
        <v>804</v>
      </c>
      <c r="G263" s="21" t="s">
        <v>792</v>
      </c>
      <c r="H263" s="30">
        <v>44155.0</v>
      </c>
      <c r="I263" s="32">
        <v>2193.0</v>
      </c>
      <c r="J263" s="21" t="s">
        <v>166</v>
      </c>
      <c r="K263" s="12">
        <f t="shared" ref="K263:K264" si="997">(0.034+0.055)/0.015154757228892</f>
        <v>5.872743367</v>
      </c>
      <c r="L263" s="21">
        <v>0.036</v>
      </c>
      <c r="M263" s="13">
        <f t="shared" ref="M263:M264" si="998">543/628017</f>
        <v>0.000864626276</v>
      </c>
      <c r="N263" s="13">
        <f t="shared" ref="N263:N264" si="999">543/476237</f>
        <v>0.001140188604</v>
      </c>
      <c r="O263" s="13">
        <f t="shared" ref="O263:O264" si="1000">33668/663569</f>
        <v>0.05073775297</v>
      </c>
      <c r="P263" s="13">
        <v>0.161</v>
      </c>
      <c r="Q263" s="13">
        <f t="shared" ref="Q263:Q264" si="1001">(33668/0.161)/663569</f>
        <v>0.3151413228</v>
      </c>
      <c r="R263" s="13">
        <f t="shared" ref="R263:R264" si="1002">125/363918</f>
        <v>0.0003434839717</v>
      </c>
      <c r="S263" s="13">
        <f t="shared" ref="S263:S264" si="1003">81823/663569</f>
        <v>0.1233074481</v>
      </c>
      <c r="T263" s="13">
        <f t="shared" ref="T263:T264" si="1004">112081/663569</f>
        <v>0.1689063232</v>
      </c>
      <c r="U263" s="13">
        <f t="shared" ref="U263:U264" si="1005">ln(663569)</f>
        <v>13.40538812</v>
      </c>
      <c r="V263" s="13">
        <f t="shared" ref="V263:V264" si="1006">13654/663569</f>
        <v>0.02057660921</v>
      </c>
      <c r="W263" s="13">
        <f t="shared" ref="W263:W264" si="1007">363918/663569</f>
        <v>0.548425258</v>
      </c>
      <c r="X263" s="12">
        <v>0.764</v>
      </c>
      <c r="Y263" s="13">
        <f t="shared" ref="Y263:Y264" si="1008">476237/663569</f>
        <v>0.7176902477</v>
      </c>
      <c r="Z263" s="13">
        <f t="shared" ref="Z263:Z264" si="1009">35552/663569</f>
        <v>0.05357694528</v>
      </c>
      <c r="AA263" s="13">
        <f t="shared" ref="AA263:AA264" si="1010">451520/2822000</f>
        <v>0.16</v>
      </c>
      <c r="AB263" s="13">
        <f t="shared" ref="AB263:AB264" si="1011">(715.54-756.51)/756.51</f>
        <v>-0.05415658749</v>
      </c>
    </row>
    <row r="264" ht="14.25" customHeight="1">
      <c r="B264" s="31" t="s">
        <v>630</v>
      </c>
      <c r="C264" s="31" t="s">
        <v>801</v>
      </c>
      <c r="D264" s="31" t="s">
        <v>802</v>
      </c>
      <c r="E264" s="31" t="s">
        <v>805</v>
      </c>
      <c r="F264" s="31" t="s">
        <v>806</v>
      </c>
      <c r="G264" s="21" t="s">
        <v>792</v>
      </c>
      <c r="H264" s="30">
        <v>44155.0</v>
      </c>
      <c r="I264" s="21">
        <v>357.0</v>
      </c>
      <c r="J264" s="21" t="s">
        <v>166</v>
      </c>
      <c r="K264" s="12">
        <f t="shared" si="997"/>
        <v>5.872743367</v>
      </c>
      <c r="L264" s="21">
        <v>0.036</v>
      </c>
      <c r="M264" s="13">
        <f t="shared" si="998"/>
        <v>0.000864626276</v>
      </c>
      <c r="N264" s="13">
        <f t="shared" si="999"/>
        <v>0.001140188604</v>
      </c>
      <c r="O264" s="13">
        <f t="shared" si="1000"/>
        <v>0.05073775297</v>
      </c>
      <c r="P264" s="13">
        <v>0.161</v>
      </c>
      <c r="Q264" s="13">
        <f t="shared" si="1001"/>
        <v>0.3151413228</v>
      </c>
      <c r="R264" s="13">
        <f t="shared" si="1002"/>
        <v>0.0003434839717</v>
      </c>
      <c r="S264" s="13">
        <f t="shared" si="1003"/>
        <v>0.1233074481</v>
      </c>
      <c r="T264" s="13">
        <f t="shared" si="1004"/>
        <v>0.1689063232</v>
      </c>
      <c r="U264" s="13">
        <f t="shared" si="1005"/>
        <v>13.40538812</v>
      </c>
      <c r="V264" s="13">
        <f t="shared" si="1006"/>
        <v>0.02057660921</v>
      </c>
      <c r="W264" s="13">
        <f t="shared" si="1007"/>
        <v>0.548425258</v>
      </c>
      <c r="X264" s="12">
        <v>0.764</v>
      </c>
      <c r="Y264" s="13">
        <f t="shared" si="1008"/>
        <v>0.7176902477</v>
      </c>
      <c r="Z264" s="13">
        <f t="shared" si="1009"/>
        <v>0.05357694528</v>
      </c>
      <c r="AA264" s="13">
        <f t="shared" si="1010"/>
        <v>0.16</v>
      </c>
      <c r="AB264" s="13">
        <f t="shared" si="1011"/>
        <v>-0.05415658749</v>
      </c>
    </row>
    <row r="265" ht="14.25" customHeight="1">
      <c r="B265" s="31" t="s">
        <v>630</v>
      </c>
      <c r="C265" s="31" t="s">
        <v>807</v>
      </c>
      <c r="D265" s="31" t="s">
        <v>808</v>
      </c>
      <c r="E265" s="31" t="s">
        <v>809</v>
      </c>
      <c r="F265" s="31" t="s">
        <v>810</v>
      </c>
      <c r="G265" s="21" t="s">
        <v>792</v>
      </c>
      <c r="H265" s="30">
        <v>42703.0</v>
      </c>
      <c r="I265" s="32">
        <v>1957.5</v>
      </c>
      <c r="J265" s="21" t="s">
        <v>132</v>
      </c>
      <c r="K265" s="12">
        <f t="shared" ref="K265:K266" si="1012">(0.005+0.067)/0.00057735026918963</f>
        <v>124.7076581</v>
      </c>
      <c r="L265" s="21">
        <v>0.069</v>
      </c>
      <c r="M265" s="13">
        <f t="shared" ref="M265:M266" si="1013">558/345488</f>
        <v>0.001615106748</v>
      </c>
      <c r="N265" s="13">
        <f t="shared" ref="N265:N266" si="1014">558/237284</f>
        <v>0.002351612414</v>
      </c>
      <c r="O265" s="13">
        <f t="shared" ref="O265:O266" si="1015">18228/370267</f>
        <v>0.04922933991</v>
      </c>
      <c r="P265" s="13">
        <v>0.119</v>
      </c>
      <c r="Q265" s="13">
        <f t="shared" ref="Q265:Q266" si="1016">(18228/0.119)/370267</f>
        <v>0.413691932</v>
      </c>
      <c r="R265" s="13">
        <f t="shared" ref="R265:R266" si="1017">252/235143</f>
        <v>0.001071688292</v>
      </c>
      <c r="S265" s="13">
        <f t="shared" ref="S265:S266" si="1018">6055/370267</f>
        <v>0.01635306414</v>
      </c>
      <c r="T265" s="13">
        <f t="shared" ref="T265:T266" si="1019">100331/370267</f>
        <v>0.2709693275</v>
      </c>
      <c r="U265" s="13">
        <f t="shared" ref="U265:U266" si="1020">ln(370267)</f>
        <v>12.82197965</v>
      </c>
      <c r="V265" s="13">
        <f t="shared" ref="V265:V266" si="1021">13311/370267</f>
        <v>0.03594973357</v>
      </c>
      <c r="W265" s="13">
        <f t="shared" ref="W265:W266" si="1022">235143/370267</f>
        <v>0.6350633462</v>
      </c>
      <c r="X265" s="12">
        <v>0.991</v>
      </c>
      <c r="Y265" s="13">
        <f t="shared" ref="Y265:Y266" si="1023">237284/370267</f>
        <v>0.64084566</v>
      </c>
      <c r="Z265" s="13">
        <f t="shared" ref="Z265:Z266" si="1024">24779/370267</f>
        <v>0.06692197792</v>
      </c>
      <c r="AA265" s="13">
        <f t="shared" ref="AA265:AA266" si="1025">347927.3/2647000</f>
        <v>0.1314421232</v>
      </c>
      <c r="AB265" s="13">
        <f t="shared" ref="AB265:AB266" si="1026">(746.32-779.16)/779.16</f>
        <v>-0.04214795421</v>
      </c>
    </row>
    <row r="266" ht="14.25" customHeight="1">
      <c r="B266" s="31" t="s">
        <v>630</v>
      </c>
      <c r="C266" s="31" t="s">
        <v>807</v>
      </c>
      <c r="D266" s="31" t="s">
        <v>808</v>
      </c>
      <c r="E266" s="31" t="s">
        <v>811</v>
      </c>
      <c r="F266" s="31" t="s">
        <v>812</v>
      </c>
      <c r="G266" s="21" t="s">
        <v>792</v>
      </c>
      <c r="H266" s="30">
        <v>42703.0</v>
      </c>
      <c r="I266" s="21">
        <v>292.5</v>
      </c>
      <c r="J266" s="21" t="s">
        <v>132</v>
      </c>
      <c r="K266" s="12">
        <f t="shared" si="1012"/>
        <v>124.7076581</v>
      </c>
      <c r="L266" s="21">
        <v>0.069</v>
      </c>
      <c r="M266" s="13">
        <f t="shared" si="1013"/>
        <v>0.001615106748</v>
      </c>
      <c r="N266" s="13">
        <f t="shared" si="1014"/>
        <v>0.002351612414</v>
      </c>
      <c r="O266" s="13">
        <f t="shared" si="1015"/>
        <v>0.04922933991</v>
      </c>
      <c r="P266" s="13">
        <v>0.119</v>
      </c>
      <c r="Q266" s="13">
        <f t="shared" si="1016"/>
        <v>0.413691932</v>
      </c>
      <c r="R266" s="13">
        <f t="shared" si="1017"/>
        <v>0.001071688292</v>
      </c>
      <c r="S266" s="13">
        <f t="shared" si="1018"/>
        <v>0.01635306414</v>
      </c>
      <c r="T266" s="13">
        <f t="shared" si="1019"/>
        <v>0.2709693275</v>
      </c>
      <c r="U266" s="13">
        <f t="shared" si="1020"/>
        <v>12.82197965</v>
      </c>
      <c r="V266" s="13">
        <f t="shared" si="1021"/>
        <v>0.03594973357</v>
      </c>
      <c r="W266" s="13">
        <f t="shared" si="1022"/>
        <v>0.6350633462</v>
      </c>
      <c r="X266" s="12">
        <v>0.991</v>
      </c>
      <c r="Y266" s="13">
        <f t="shared" si="1023"/>
        <v>0.64084566</v>
      </c>
      <c r="Z266" s="13">
        <f t="shared" si="1024"/>
        <v>0.06692197792</v>
      </c>
      <c r="AA266" s="13">
        <f t="shared" si="1025"/>
        <v>0.1314421232</v>
      </c>
      <c r="AB266" s="13">
        <f t="shared" si="1026"/>
        <v>-0.04214795421</v>
      </c>
    </row>
    <row r="267" ht="14.25" customHeight="1">
      <c r="B267" s="31" t="s">
        <v>630</v>
      </c>
      <c r="C267" s="31" t="s">
        <v>813</v>
      </c>
      <c r="D267" s="31" t="s">
        <v>814</v>
      </c>
      <c r="E267" s="31" t="s">
        <v>815</v>
      </c>
      <c r="F267" s="31" t="s">
        <v>816</v>
      </c>
      <c r="G267" s="21" t="s">
        <v>792</v>
      </c>
      <c r="H267" s="30">
        <v>43067.0</v>
      </c>
      <c r="I267" s="32">
        <v>1628.0</v>
      </c>
      <c r="J267" s="21" t="s">
        <v>817</v>
      </c>
      <c r="K267" s="12">
        <f t="shared" ref="K267:K268" si="1027">(0.008+0.064)/0.0015275252316519</f>
        <v>47.13506429</v>
      </c>
      <c r="L267" s="21">
        <v>0.061</v>
      </c>
      <c r="M267" s="13">
        <f t="shared" ref="M267:M268" si="1028">502/359776</f>
        <v>0.001395312639</v>
      </c>
      <c r="N267" s="13">
        <f t="shared" ref="N267:N268" si="1029">502/244751</f>
        <v>0.002051064143</v>
      </c>
      <c r="O267" s="13">
        <f t="shared" ref="O267:O268" si="1030">19751/384420</f>
        <v>0.05137870038</v>
      </c>
      <c r="P267" s="13">
        <v>0.133</v>
      </c>
      <c r="Q267" s="13">
        <f t="shared" ref="Q267:Q268" si="1031">(19751/0.133)/384420</f>
        <v>0.3863060179</v>
      </c>
      <c r="R267" s="13">
        <f t="shared" ref="R267:R268" si="1032">399/223917</f>
        <v>0.001781910261</v>
      </c>
      <c r="S267" s="13">
        <f t="shared" ref="S267:S268" si="1033">15031/384420</f>
        <v>0.03910046304</v>
      </c>
      <c r="T267" s="13">
        <f t="shared" ref="T267:T268" si="1034">64127/384420</f>
        <v>0.166814942</v>
      </c>
      <c r="U267" s="13">
        <f t="shared" ref="U267:U268" si="1035">ln(384420)</f>
        <v>12.85949098</v>
      </c>
      <c r="V267" s="13">
        <f t="shared" ref="V267:V268" si="1036">13400/384420</f>
        <v>0.03485770772</v>
      </c>
      <c r="W267" s="13">
        <f t="shared" ref="W267:W268" si="1037">223917/384420</f>
        <v>0.5824800999</v>
      </c>
      <c r="X267" s="12">
        <v>0.915</v>
      </c>
      <c r="Y267" s="13">
        <f t="shared" ref="Y267:Y268" si="1038">244751/384420</f>
        <v>0.6366760314</v>
      </c>
      <c r="Z267" s="13">
        <f t="shared" ref="Z267:Z268" si="1039">24644/384420</f>
        <v>0.06410696634</v>
      </c>
      <c r="AA267" s="13">
        <f t="shared" ref="AA267:AA268" si="1040">383186.2/2652000</f>
        <v>0.1444895173</v>
      </c>
      <c r="AB267" s="13">
        <f t="shared" ref="AB267:AB268" si="1041">(764.56-803.32)/803.32</f>
        <v>-0.04824976348</v>
      </c>
    </row>
    <row r="268" ht="14.25" customHeight="1">
      <c r="B268" s="31" t="s">
        <v>630</v>
      </c>
      <c r="C268" s="31" t="s">
        <v>813</v>
      </c>
      <c r="D268" s="31" t="s">
        <v>814</v>
      </c>
      <c r="E268" s="31" t="s">
        <v>818</v>
      </c>
      <c r="F268" s="31" t="s">
        <v>819</v>
      </c>
      <c r="G268" s="21" t="s">
        <v>792</v>
      </c>
      <c r="H268" s="30">
        <v>43067.0</v>
      </c>
      <c r="I268" s="21">
        <v>222.0</v>
      </c>
      <c r="J268" s="21" t="s">
        <v>817</v>
      </c>
      <c r="K268" s="12">
        <f t="shared" si="1027"/>
        <v>47.13506429</v>
      </c>
      <c r="L268" s="21">
        <v>0.061</v>
      </c>
      <c r="M268" s="13">
        <f t="shared" si="1028"/>
        <v>0.001395312639</v>
      </c>
      <c r="N268" s="13">
        <f t="shared" si="1029"/>
        <v>0.002051064143</v>
      </c>
      <c r="O268" s="13">
        <f t="shared" si="1030"/>
        <v>0.05137870038</v>
      </c>
      <c r="P268" s="13">
        <v>0.133</v>
      </c>
      <c r="Q268" s="13">
        <f t="shared" si="1031"/>
        <v>0.3863060179</v>
      </c>
      <c r="R268" s="13">
        <f t="shared" si="1032"/>
        <v>0.001781910261</v>
      </c>
      <c r="S268" s="13">
        <f t="shared" si="1033"/>
        <v>0.03910046304</v>
      </c>
      <c r="T268" s="13">
        <f t="shared" si="1034"/>
        <v>0.166814942</v>
      </c>
      <c r="U268" s="13">
        <f t="shared" si="1035"/>
        <v>12.85949098</v>
      </c>
      <c r="V268" s="13">
        <f t="shared" si="1036"/>
        <v>0.03485770772</v>
      </c>
      <c r="W268" s="13">
        <f t="shared" si="1037"/>
        <v>0.5824800999</v>
      </c>
      <c r="X268" s="12">
        <v>0.915</v>
      </c>
      <c r="Y268" s="13">
        <f t="shared" si="1038"/>
        <v>0.6366760314</v>
      </c>
      <c r="Z268" s="13">
        <f t="shared" si="1039"/>
        <v>0.06410696634</v>
      </c>
      <c r="AA268" s="13">
        <f t="shared" si="1040"/>
        <v>0.1444895173</v>
      </c>
      <c r="AB268" s="13">
        <f t="shared" si="1041"/>
        <v>-0.04824976348</v>
      </c>
    </row>
    <row r="269" ht="14.25" customHeight="1">
      <c r="B269" s="31" t="s">
        <v>630</v>
      </c>
      <c r="C269" s="31" t="s">
        <v>820</v>
      </c>
      <c r="D269" s="31" t="s">
        <v>821</v>
      </c>
      <c r="E269" s="31" t="s">
        <v>822</v>
      </c>
      <c r="F269" s="31" t="s">
        <v>823</v>
      </c>
      <c r="G269" s="21" t="s">
        <v>824</v>
      </c>
      <c r="H269" s="30">
        <v>40434.0</v>
      </c>
      <c r="I269" s="27">
        <v>1344.0</v>
      </c>
      <c r="J269" s="21" t="s">
        <v>715</v>
      </c>
      <c r="K269" s="12">
        <f t="shared" ref="K269:K271" si="1042">(0.00023+0.045)/0.0031091263510296</f>
        <v>14.54749499</v>
      </c>
      <c r="L269" s="37">
        <v>0.039</v>
      </c>
      <c r="M269" s="13">
        <f t="shared" ref="M269:M271" si="1043">364.426/115142.921</f>
        <v>0.003164988319</v>
      </c>
      <c r="N269" s="13">
        <f t="shared" ref="N269:N271" si="1044">364.426/53482.06</f>
        <v>0.006813985849</v>
      </c>
      <c r="O269" s="13">
        <f t="shared" ref="O269:O271" si="1045">6041.21/120620.252</f>
        <v>0.05008454136</v>
      </c>
      <c r="P269" s="13">
        <v>0.093</v>
      </c>
      <c r="Q269" s="13">
        <f t="shared" ref="Q269:Q271" si="1046">(6041.21/0.093)/120620.252</f>
        <v>0.5385434555</v>
      </c>
      <c r="R269" s="13">
        <f t="shared" ref="R269:R271" si="1047">131.71775/88757.997</f>
        <v>0.001484009942</v>
      </c>
      <c r="S269" s="13">
        <f t="shared" ref="S269:S271" si="1048">1571.324/120620.252</f>
        <v>0.01302703297</v>
      </c>
      <c r="T269" s="13">
        <f t="shared" ref="T269:T271" si="1049">25212.915/120620.252</f>
        <v>0.2090272121</v>
      </c>
      <c r="U269" s="13">
        <f t="shared" ref="U269:U271" si="1050">ln(126003.799)</f>
        <v>11.74406734</v>
      </c>
      <c r="V269" s="13">
        <f t="shared" ref="V269:V271" si="1051">19291.141/126003.799</f>
        <v>0.1530996776</v>
      </c>
      <c r="W269" s="13">
        <f t="shared" ref="W269:W271" si="1052">100835.579/126003.799</f>
        <v>0.8002582446</v>
      </c>
      <c r="X269" s="24">
        <v>1.934</v>
      </c>
      <c r="Y269" s="13">
        <f t="shared" ref="Y269:Y271" si="1053">52151.73/126003.799</f>
        <v>0.4138901399</v>
      </c>
      <c r="Z269" s="13">
        <f t="shared" ref="Z269:Z271" si="1054">5642.032/126003.799</f>
        <v>0.04477668169</v>
      </c>
      <c r="AA269" s="13">
        <f t="shared" ref="AA269:AA271" si="1055">126003.799/3252000</f>
        <v>0.03874655566</v>
      </c>
      <c r="AB269" s="13">
        <f t="shared" ref="AB269:AB271" si="1056">(762.08-726.55)/726.55</f>
        <v>0.04890234671</v>
      </c>
    </row>
    <row r="270" ht="14.25" customHeight="1">
      <c r="B270" s="31" t="s">
        <v>630</v>
      </c>
      <c r="C270" s="31" t="s">
        <v>820</v>
      </c>
      <c r="D270" s="31" t="s">
        <v>821</v>
      </c>
      <c r="E270" s="31" t="s">
        <v>825</v>
      </c>
      <c r="F270" s="31" t="s">
        <v>826</v>
      </c>
      <c r="G270" s="21" t="s">
        <v>824</v>
      </c>
      <c r="H270" s="30">
        <v>40434.0</v>
      </c>
      <c r="I270" s="21">
        <v>96.0</v>
      </c>
      <c r="J270" s="21" t="s">
        <v>715</v>
      </c>
      <c r="K270" s="12">
        <f t="shared" si="1042"/>
        <v>14.54749499</v>
      </c>
      <c r="L270" s="37">
        <v>0.039</v>
      </c>
      <c r="M270" s="13">
        <f t="shared" si="1043"/>
        <v>0.003164988319</v>
      </c>
      <c r="N270" s="13">
        <f t="shared" si="1044"/>
        <v>0.006813985849</v>
      </c>
      <c r="O270" s="13">
        <f t="shared" si="1045"/>
        <v>0.05008454136</v>
      </c>
      <c r="P270" s="13">
        <v>0.093</v>
      </c>
      <c r="Q270" s="13">
        <f t="shared" si="1046"/>
        <v>0.5385434555</v>
      </c>
      <c r="R270" s="13">
        <f t="shared" si="1047"/>
        <v>0.001484009942</v>
      </c>
      <c r="S270" s="13">
        <f t="shared" si="1048"/>
        <v>0.01302703297</v>
      </c>
      <c r="T270" s="13">
        <f t="shared" si="1049"/>
        <v>0.2090272121</v>
      </c>
      <c r="U270" s="13">
        <f t="shared" si="1050"/>
        <v>11.74406734</v>
      </c>
      <c r="V270" s="13">
        <f t="shared" si="1051"/>
        <v>0.1530996776</v>
      </c>
      <c r="W270" s="13">
        <f t="shared" si="1052"/>
        <v>0.8002582446</v>
      </c>
      <c r="X270" s="24">
        <v>1.934</v>
      </c>
      <c r="Y270" s="13">
        <f t="shared" si="1053"/>
        <v>0.4138901399</v>
      </c>
      <c r="Z270" s="13">
        <f t="shared" si="1054"/>
        <v>0.04477668169</v>
      </c>
      <c r="AA270" s="13">
        <f t="shared" si="1055"/>
        <v>0.03874655566</v>
      </c>
      <c r="AB270" s="13">
        <f t="shared" si="1056"/>
        <v>0.04890234671</v>
      </c>
    </row>
    <row r="271" ht="14.25" customHeight="1">
      <c r="B271" s="31" t="s">
        <v>630</v>
      </c>
      <c r="C271" s="31" t="s">
        <v>820</v>
      </c>
      <c r="D271" s="31" t="s">
        <v>821</v>
      </c>
      <c r="E271" s="31" t="s">
        <v>827</v>
      </c>
      <c r="F271" s="31" t="s">
        <v>828</v>
      </c>
      <c r="G271" s="21" t="s">
        <v>824</v>
      </c>
      <c r="H271" s="30">
        <v>40434.0</v>
      </c>
      <c r="I271" s="21">
        <v>160.0</v>
      </c>
      <c r="J271" s="21" t="s">
        <v>715</v>
      </c>
      <c r="K271" s="12">
        <f t="shared" si="1042"/>
        <v>14.54749499</v>
      </c>
      <c r="L271" s="37">
        <v>0.039</v>
      </c>
      <c r="M271" s="13">
        <f t="shared" si="1043"/>
        <v>0.003164988319</v>
      </c>
      <c r="N271" s="13">
        <f t="shared" si="1044"/>
        <v>0.006813985849</v>
      </c>
      <c r="O271" s="13">
        <f t="shared" si="1045"/>
        <v>0.05008454136</v>
      </c>
      <c r="P271" s="13">
        <v>0.093</v>
      </c>
      <c r="Q271" s="13">
        <f t="shared" si="1046"/>
        <v>0.5385434555</v>
      </c>
      <c r="R271" s="13">
        <f t="shared" si="1047"/>
        <v>0.001484009942</v>
      </c>
      <c r="S271" s="13">
        <f t="shared" si="1048"/>
        <v>0.01302703297</v>
      </c>
      <c r="T271" s="13">
        <f t="shared" si="1049"/>
        <v>0.2090272121</v>
      </c>
      <c r="U271" s="13">
        <f t="shared" si="1050"/>
        <v>11.74406734</v>
      </c>
      <c r="V271" s="13">
        <f t="shared" si="1051"/>
        <v>0.1530996776</v>
      </c>
      <c r="W271" s="13">
        <f t="shared" si="1052"/>
        <v>0.8002582446</v>
      </c>
      <c r="X271" s="24">
        <v>1.934</v>
      </c>
      <c r="Y271" s="13">
        <f t="shared" si="1053"/>
        <v>0.4138901399</v>
      </c>
      <c r="Z271" s="13">
        <f t="shared" si="1054"/>
        <v>0.04477668169</v>
      </c>
      <c r="AA271" s="13">
        <f t="shared" si="1055"/>
        <v>0.03874655566</v>
      </c>
      <c r="AB271" s="13">
        <f t="shared" si="1056"/>
        <v>0.04890234671</v>
      </c>
    </row>
    <row r="272" ht="14.25" customHeight="1">
      <c r="B272" s="31" t="s">
        <v>630</v>
      </c>
      <c r="C272" s="31" t="s">
        <v>829</v>
      </c>
      <c r="D272" s="31" t="s">
        <v>830</v>
      </c>
      <c r="E272" s="31" t="s">
        <v>831</v>
      </c>
      <c r="F272" s="31" t="s">
        <v>832</v>
      </c>
      <c r="G272" s="21" t="s">
        <v>824</v>
      </c>
      <c r="H272" s="30">
        <v>40840.0</v>
      </c>
      <c r="I272" s="21">
        <v>935.0</v>
      </c>
      <c r="J272" s="21" t="s">
        <v>361</v>
      </c>
      <c r="K272" s="12">
        <f t="shared" ref="K272:K274" si="1057">(0.001+0.051)/0.0031622776601684</f>
        <v>16.44384383</v>
      </c>
      <c r="L272" s="37">
        <v>0.049</v>
      </c>
      <c r="M272" s="13">
        <f t="shared" ref="M272:M274" si="1058">399.413/103421.557</f>
        <v>0.003861989817</v>
      </c>
      <c r="N272" s="13">
        <f t="shared" ref="N272:N274" si="1059">399.413/54403.697</f>
        <v>0.0073416518</v>
      </c>
      <c r="O272" s="13">
        <f t="shared" ref="O272:O274" si="1060">5581.829/108876.462</f>
        <v>0.05126754578</v>
      </c>
      <c r="P272" s="13">
        <v>0.095</v>
      </c>
      <c r="Q272" s="13">
        <f t="shared" ref="Q272:Q274" si="1061">(5581.829/0.095)/108876.462</f>
        <v>0.5396583766</v>
      </c>
      <c r="R272" s="13">
        <f t="shared" ref="R272:R274" si="1062">289.736/78245.182</f>
        <v>0.003702924482</v>
      </c>
      <c r="S272" s="13">
        <f t="shared" ref="S272:S274" si="1063">6262.93/108876.462</f>
        <v>0.0575232689</v>
      </c>
      <c r="T272" s="13">
        <f t="shared" ref="T272:T274" si="1064">20268.907/108876.462</f>
        <v>0.1861642694</v>
      </c>
      <c r="U272" s="13">
        <f t="shared" ref="U272:U274" si="1065">ln(108848.072)</f>
        <v>11.59770835</v>
      </c>
      <c r="V272" s="13">
        <f t="shared" ref="V272:V274" si="1066">9289.482/108848.072</f>
        <v>0.08534356033</v>
      </c>
      <c r="W272" s="13">
        <f t="shared" ref="W272:W274" si="1067">71234.345/108848.072</f>
        <v>0.6544382798</v>
      </c>
      <c r="X272" s="24">
        <v>1.454</v>
      </c>
      <c r="Y272" s="13">
        <f t="shared" ref="Y272:Y274" si="1068">48977.859/108848.072</f>
        <v>0.4499653333</v>
      </c>
      <c r="Z272" s="13">
        <f t="shared" ref="Z272:Z274" si="1069">5442.302/108848.072</f>
        <v>0.04999906659</v>
      </c>
      <c r="AA272" s="13">
        <f t="shared" ref="AA272:AA274" si="1070">108848.072/3400000</f>
        <v>0.03201413882</v>
      </c>
      <c r="AB272" s="13">
        <f t="shared" ref="AB272:AB274" si="1071">(695.93-745.65)/745.65</f>
        <v>-0.06668007778</v>
      </c>
    </row>
    <row r="273" ht="14.25" customHeight="1">
      <c r="B273" s="31" t="s">
        <v>630</v>
      </c>
      <c r="C273" s="31" t="s">
        <v>829</v>
      </c>
      <c r="D273" s="31" t="s">
        <v>830</v>
      </c>
      <c r="E273" s="31" t="s">
        <v>833</v>
      </c>
      <c r="F273" s="31" t="s">
        <v>834</v>
      </c>
      <c r="G273" s="21" t="s">
        <v>824</v>
      </c>
      <c r="H273" s="30">
        <v>40840.0</v>
      </c>
      <c r="I273" s="21">
        <v>165.0</v>
      </c>
      <c r="J273" s="21" t="s">
        <v>361</v>
      </c>
      <c r="K273" s="12">
        <f t="shared" si="1057"/>
        <v>16.44384383</v>
      </c>
      <c r="L273" s="37">
        <v>0.049</v>
      </c>
      <c r="M273" s="13">
        <f t="shared" si="1058"/>
        <v>0.003861989817</v>
      </c>
      <c r="N273" s="13">
        <f t="shared" si="1059"/>
        <v>0.0073416518</v>
      </c>
      <c r="O273" s="13">
        <f t="shared" si="1060"/>
        <v>0.05126754578</v>
      </c>
      <c r="P273" s="13">
        <v>0.095</v>
      </c>
      <c r="Q273" s="13">
        <f t="shared" si="1061"/>
        <v>0.5396583766</v>
      </c>
      <c r="R273" s="13">
        <f t="shared" si="1062"/>
        <v>0.003702924482</v>
      </c>
      <c r="S273" s="13">
        <f t="shared" si="1063"/>
        <v>0.0575232689</v>
      </c>
      <c r="T273" s="13">
        <f t="shared" si="1064"/>
        <v>0.1861642694</v>
      </c>
      <c r="U273" s="13">
        <f t="shared" si="1065"/>
        <v>11.59770835</v>
      </c>
      <c r="V273" s="13">
        <f t="shared" si="1066"/>
        <v>0.08534356033</v>
      </c>
      <c r="W273" s="13">
        <f t="shared" si="1067"/>
        <v>0.6544382798</v>
      </c>
      <c r="X273" s="24">
        <v>1.454</v>
      </c>
      <c r="Y273" s="13">
        <f t="shared" si="1068"/>
        <v>0.4499653333</v>
      </c>
      <c r="Z273" s="13">
        <f t="shared" si="1069"/>
        <v>0.04999906659</v>
      </c>
      <c r="AA273" s="13">
        <f t="shared" si="1070"/>
        <v>0.03201413882</v>
      </c>
      <c r="AB273" s="13">
        <f t="shared" si="1071"/>
        <v>-0.06668007778</v>
      </c>
    </row>
    <row r="274" ht="14.25" customHeight="1">
      <c r="B274" s="31" t="s">
        <v>630</v>
      </c>
      <c r="C274" s="31" t="s">
        <v>829</v>
      </c>
      <c r="D274" s="31" t="s">
        <v>830</v>
      </c>
      <c r="E274" s="31" t="s">
        <v>835</v>
      </c>
      <c r="F274" s="31" t="s">
        <v>836</v>
      </c>
      <c r="G274" s="21" t="s">
        <v>824</v>
      </c>
      <c r="H274" s="30">
        <v>40840.0</v>
      </c>
      <c r="I274" s="21">
        <v>264.0</v>
      </c>
      <c r="J274" s="21" t="s">
        <v>361</v>
      </c>
      <c r="K274" s="12">
        <f t="shared" si="1057"/>
        <v>16.44384383</v>
      </c>
      <c r="L274" s="37">
        <v>0.049</v>
      </c>
      <c r="M274" s="13">
        <f t="shared" si="1058"/>
        <v>0.003861989817</v>
      </c>
      <c r="N274" s="13">
        <f t="shared" si="1059"/>
        <v>0.0073416518</v>
      </c>
      <c r="O274" s="13">
        <f t="shared" si="1060"/>
        <v>0.05126754578</v>
      </c>
      <c r="P274" s="13">
        <v>0.095</v>
      </c>
      <c r="Q274" s="13">
        <f t="shared" si="1061"/>
        <v>0.5396583766</v>
      </c>
      <c r="R274" s="13">
        <f t="shared" si="1062"/>
        <v>0.003702924482</v>
      </c>
      <c r="S274" s="13">
        <f t="shared" si="1063"/>
        <v>0.0575232689</v>
      </c>
      <c r="T274" s="13">
        <f t="shared" si="1064"/>
        <v>0.1861642694</v>
      </c>
      <c r="U274" s="13">
        <f t="shared" si="1065"/>
        <v>11.59770835</v>
      </c>
      <c r="V274" s="13">
        <f t="shared" si="1066"/>
        <v>0.08534356033</v>
      </c>
      <c r="W274" s="13">
        <f t="shared" si="1067"/>
        <v>0.6544382798</v>
      </c>
      <c r="X274" s="24">
        <v>1.454</v>
      </c>
      <c r="Y274" s="13">
        <f t="shared" si="1068"/>
        <v>0.4499653333</v>
      </c>
      <c r="Z274" s="13">
        <f t="shared" si="1069"/>
        <v>0.04999906659</v>
      </c>
      <c r="AA274" s="13">
        <f t="shared" si="1070"/>
        <v>0.03201413882</v>
      </c>
      <c r="AB274" s="13">
        <f t="shared" si="1071"/>
        <v>-0.06668007778</v>
      </c>
    </row>
    <row r="275" ht="14.25" customHeight="1">
      <c r="B275" s="31" t="s">
        <v>630</v>
      </c>
      <c r="C275" s="31" t="s">
        <v>837</v>
      </c>
      <c r="D275" s="31" t="s">
        <v>838</v>
      </c>
      <c r="E275" s="31" t="s">
        <v>839</v>
      </c>
      <c r="F275" s="31" t="s">
        <v>840</v>
      </c>
      <c r="G275" s="21" t="s">
        <v>841</v>
      </c>
      <c r="H275" s="30">
        <v>42348.0</v>
      </c>
      <c r="I275" s="27">
        <v>2100.0</v>
      </c>
      <c r="J275" s="21" t="s">
        <v>201</v>
      </c>
      <c r="K275" s="12">
        <f t="shared" ref="K275:K277" si="1072">(0.006+0.074)/0.0033166247903554</f>
        <v>24.12090757</v>
      </c>
      <c r="L275" s="24">
        <v>0.043</v>
      </c>
      <c r="M275" s="13">
        <f t="shared" ref="M275:M277" si="1073">5936/1225419</f>
        <v>0.00484405742</v>
      </c>
      <c r="N275" s="13">
        <f t="shared" ref="N275:N277" si="1074">5936/830830</f>
        <v>0.007144662566</v>
      </c>
      <c r="O275" s="13">
        <f t="shared" ref="O275:O277" si="1075">70694/1324200</f>
        <v>0.05338619544</v>
      </c>
      <c r="P275" s="13">
        <v>0.124</v>
      </c>
      <c r="Q275" s="13">
        <f t="shared" ref="Q275:Q277" si="1076">(70694/0.124)/1324200</f>
        <v>0.4305338342</v>
      </c>
      <c r="R275" s="13">
        <f t="shared" ref="R275:R277" si="1077">2699/831312</f>
        <v>0.003246675135</v>
      </c>
      <c r="S275" s="13">
        <f t="shared" ref="S275:S277" si="1078">6826/1324200</f>
        <v>0.005154810452</v>
      </c>
      <c r="T275" s="13">
        <f t="shared" ref="T275:T277" si="1079">350489/1324200</f>
        <v>0.2646798067</v>
      </c>
      <c r="U275" s="13">
        <f t="shared" ref="U275:U277" si="1080">ln(1340260)</f>
        <v>14.10837418</v>
      </c>
      <c r="V275" s="13">
        <f t="shared" ref="V275:V277" si="1081">196148/1340260</f>
        <v>0.1463507081</v>
      </c>
      <c r="W275" s="13">
        <f t="shared" ref="W275:W277" si="1082">834429/1340260</f>
        <v>0.6225874084</v>
      </c>
      <c r="X275" s="24">
        <v>0.985</v>
      </c>
      <c r="Y275" s="13">
        <f t="shared" ref="Y275:Y277" si="1083">847073/1340260</f>
        <v>0.6320213988</v>
      </c>
      <c r="Z275" s="13">
        <f t="shared" ref="Z275:Z277" si="1084">98753/1340260</f>
        <v>0.07368197215</v>
      </c>
      <c r="AA275" s="13">
        <f t="shared" ref="AA275:AA277" si="1085">1340260/2760000</f>
        <v>0.4856014493</v>
      </c>
      <c r="AB275" s="13">
        <f t="shared" ref="AB275:AB277" si="1086">(727.93-762.57)/762.57</f>
        <v>-0.045425338</v>
      </c>
    </row>
    <row r="276" ht="14.25" customHeight="1">
      <c r="B276" s="31" t="s">
        <v>630</v>
      </c>
      <c r="C276" s="31" t="s">
        <v>837</v>
      </c>
      <c r="D276" s="31" t="s">
        <v>838</v>
      </c>
      <c r="E276" s="31" t="s">
        <v>842</v>
      </c>
      <c r="F276" s="31" t="s">
        <v>843</v>
      </c>
      <c r="G276" s="21" t="s">
        <v>841</v>
      </c>
      <c r="H276" s="30">
        <v>42348.0</v>
      </c>
      <c r="I276" s="21">
        <v>700.0</v>
      </c>
      <c r="J276" s="21" t="s">
        <v>201</v>
      </c>
      <c r="K276" s="12">
        <f t="shared" si="1072"/>
        <v>24.12090757</v>
      </c>
      <c r="L276" s="24">
        <v>0.043</v>
      </c>
      <c r="M276" s="13">
        <f t="shared" si="1073"/>
        <v>0.00484405742</v>
      </c>
      <c r="N276" s="13">
        <f t="shared" si="1074"/>
        <v>0.007144662566</v>
      </c>
      <c r="O276" s="13">
        <f t="shared" si="1075"/>
        <v>0.05338619544</v>
      </c>
      <c r="P276" s="13">
        <v>0.124</v>
      </c>
      <c r="Q276" s="13">
        <f t="shared" si="1076"/>
        <v>0.4305338342</v>
      </c>
      <c r="R276" s="13">
        <f t="shared" si="1077"/>
        <v>0.003246675135</v>
      </c>
      <c r="S276" s="13">
        <f t="shared" si="1078"/>
        <v>0.005154810452</v>
      </c>
      <c r="T276" s="13">
        <f t="shared" si="1079"/>
        <v>0.2646798067</v>
      </c>
      <c r="U276" s="13">
        <f t="shared" si="1080"/>
        <v>14.10837418</v>
      </c>
      <c r="V276" s="13">
        <f t="shared" si="1081"/>
        <v>0.1463507081</v>
      </c>
      <c r="W276" s="13">
        <f t="shared" si="1082"/>
        <v>0.6225874084</v>
      </c>
      <c r="X276" s="24">
        <v>0.985</v>
      </c>
      <c r="Y276" s="13">
        <f t="shared" si="1083"/>
        <v>0.6320213988</v>
      </c>
      <c r="Z276" s="13">
        <f t="shared" si="1084"/>
        <v>0.07368197215</v>
      </c>
      <c r="AA276" s="13">
        <f t="shared" si="1085"/>
        <v>0.4856014493</v>
      </c>
      <c r="AB276" s="13">
        <f t="shared" si="1086"/>
        <v>-0.045425338</v>
      </c>
    </row>
    <row r="277" ht="14.25" customHeight="1">
      <c r="B277" s="31" t="s">
        <v>630</v>
      </c>
      <c r="C277" s="31" t="s">
        <v>837</v>
      </c>
      <c r="D277" s="31" t="s">
        <v>838</v>
      </c>
      <c r="E277" s="31" t="s">
        <v>844</v>
      </c>
      <c r="F277" s="31" t="s">
        <v>845</v>
      </c>
      <c r="G277" s="21" t="s">
        <v>841</v>
      </c>
      <c r="H277" s="30">
        <v>42348.0</v>
      </c>
      <c r="I277" s="21">
        <v>140.0</v>
      </c>
      <c r="J277" s="21" t="s">
        <v>201</v>
      </c>
      <c r="K277" s="12">
        <f t="shared" si="1072"/>
        <v>24.12090757</v>
      </c>
      <c r="L277" s="24">
        <v>0.043</v>
      </c>
      <c r="M277" s="13">
        <f t="shared" si="1073"/>
        <v>0.00484405742</v>
      </c>
      <c r="N277" s="13">
        <f t="shared" si="1074"/>
        <v>0.007144662566</v>
      </c>
      <c r="O277" s="13">
        <f t="shared" si="1075"/>
        <v>0.05338619544</v>
      </c>
      <c r="P277" s="13">
        <v>0.124</v>
      </c>
      <c r="Q277" s="13">
        <f t="shared" si="1076"/>
        <v>0.4305338342</v>
      </c>
      <c r="R277" s="13">
        <f t="shared" si="1077"/>
        <v>0.003246675135</v>
      </c>
      <c r="S277" s="13">
        <f t="shared" si="1078"/>
        <v>0.005154810452</v>
      </c>
      <c r="T277" s="13">
        <f t="shared" si="1079"/>
        <v>0.2646798067</v>
      </c>
      <c r="U277" s="13">
        <f t="shared" si="1080"/>
        <v>14.10837418</v>
      </c>
      <c r="V277" s="13">
        <f t="shared" si="1081"/>
        <v>0.1463507081</v>
      </c>
      <c r="W277" s="13">
        <f t="shared" si="1082"/>
        <v>0.6225874084</v>
      </c>
      <c r="X277" s="24">
        <v>0.985</v>
      </c>
      <c r="Y277" s="13">
        <f t="shared" si="1083"/>
        <v>0.6320213988</v>
      </c>
      <c r="Z277" s="13">
        <f t="shared" si="1084"/>
        <v>0.07368197215</v>
      </c>
      <c r="AA277" s="13">
        <f t="shared" si="1085"/>
        <v>0.4856014493</v>
      </c>
      <c r="AB277" s="13">
        <f t="shared" si="1086"/>
        <v>-0.045425338</v>
      </c>
    </row>
    <row r="278" ht="14.25" customHeight="1">
      <c r="B278" s="31" t="s">
        <v>630</v>
      </c>
      <c r="C278" s="31" t="s">
        <v>846</v>
      </c>
      <c r="D278" s="31" t="s">
        <v>847</v>
      </c>
      <c r="E278" s="31" t="s">
        <v>848</v>
      </c>
      <c r="F278" s="31" t="s">
        <v>849</v>
      </c>
      <c r="G278" s="21" t="s">
        <v>841</v>
      </c>
      <c r="H278" s="30">
        <v>43125.0</v>
      </c>
      <c r="I278" s="32">
        <v>2254.5</v>
      </c>
      <c r="J278" s="21" t="s">
        <v>850</v>
      </c>
      <c r="K278" s="12">
        <f t="shared" ref="K278:K280" si="1087">(0.006+0.073)/0.00081649658092773</f>
        <v>96.75484484</v>
      </c>
      <c r="L278" s="37">
        <v>0.04</v>
      </c>
      <c r="M278" s="13">
        <f t="shared" ref="M278:M280" si="1088">5087/1329388</f>
        <v>0.003826572829</v>
      </c>
      <c r="N278" s="13">
        <f t="shared" ref="N278:N280" si="1089">5087/956347</f>
        <v>0.005319198994</v>
      </c>
      <c r="O278" s="13">
        <f t="shared" ref="O278:O280" si="1090">75043/1433833</f>
        <v>0.05233733636</v>
      </c>
      <c r="P278" s="13">
        <v>0.126</v>
      </c>
      <c r="Q278" s="13">
        <f t="shared" ref="Q278:Q280" si="1091">(75043/0.126)/1433833</f>
        <v>0.4153756854</v>
      </c>
      <c r="R278" s="13">
        <v>0.003305097054346546</v>
      </c>
      <c r="S278" s="13">
        <f t="shared" ref="S278:S280" si="1092">107687/1433833</f>
        <v>0.07510428341</v>
      </c>
      <c r="T278" s="13">
        <f t="shared" ref="T278:T280" si="1093">345361/1433833</f>
        <v>0.240865568</v>
      </c>
      <c r="U278" s="13">
        <f t="shared" ref="U278:U280" si="1094">ln(1438470)</f>
        <v>14.17909061</v>
      </c>
      <c r="V278" s="13">
        <f t="shared" ref="V278:V280" si="1095">184908/1438470</f>
        <v>0.1285449123</v>
      </c>
      <c r="W278" s="13">
        <f t="shared" ref="W278:W280" si="1096">874407/1438470</f>
        <v>0.6078729483</v>
      </c>
      <c r="X278" s="24">
        <v>0.93</v>
      </c>
      <c r="Y278" s="13">
        <f t="shared" ref="Y278:Y280" si="1097">940167/1438470</f>
        <v>0.6535881874</v>
      </c>
      <c r="Z278" s="13">
        <f t="shared" ref="Z278:Z280" si="1098">105466/1438470</f>
        <v>0.07331817834</v>
      </c>
      <c r="AA278" s="13">
        <f t="shared" ref="AA278:AA280" si="1099">1438470/2576000</f>
        <v>0.5584122671</v>
      </c>
      <c r="AB278" s="13">
        <f t="shared" ref="AB278:AB280" si="1100">(809.61-764.56)/764.56</f>
        <v>0.05892277911</v>
      </c>
    </row>
    <row r="279" ht="14.25" customHeight="1">
      <c r="B279" s="31" t="s">
        <v>630</v>
      </c>
      <c r="C279" s="31" t="s">
        <v>846</v>
      </c>
      <c r="D279" s="31" t="s">
        <v>847</v>
      </c>
      <c r="E279" s="31" t="s">
        <v>851</v>
      </c>
      <c r="F279" s="31" t="s">
        <v>852</v>
      </c>
      <c r="G279" s="21" t="s">
        <v>841</v>
      </c>
      <c r="H279" s="30">
        <v>43125.0</v>
      </c>
      <c r="I279" s="21">
        <v>445.5</v>
      </c>
      <c r="J279" s="21" t="s">
        <v>850</v>
      </c>
      <c r="K279" s="12">
        <f t="shared" si="1087"/>
        <v>96.75484484</v>
      </c>
      <c r="L279" s="37">
        <v>0.04</v>
      </c>
      <c r="M279" s="13">
        <f t="shared" si="1088"/>
        <v>0.003826572829</v>
      </c>
      <c r="N279" s="13">
        <f t="shared" si="1089"/>
        <v>0.005319198994</v>
      </c>
      <c r="O279" s="13">
        <f t="shared" si="1090"/>
        <v>0.05233733636</v>
      </c>
      <c r="P279" s="13">
        <v>0.126</v>
      </c>
      <c r="Q279" s="13">
        <f t="shared" si="1091"/>
        <v>0.4153756854</v>
      </c>
      <c r="R279" s="13">
        <v>0.003305097054346546</v>
      </c>
      <c r="S279" s="13">
        <f t="shared" si="1092"/>
        <v>0.07510428341</v>
      </c>
      <c r="T279" s="13">
        <f t="shared" si="1093"/>
        <v>0.240865568</v>
      </c>
      <c r="U279" s="13">
        <f t="shared" si="1094"/>
        <v>14.17909061</v>
      </c>
      <c r="V279" s="13">
        <f t="shared" si="1095"/>
        <v>0.1285449123</v>
      </c>
      <c r="W279" s="13">
        <f t="shared" si="1096"/>
        <v>0.6078729483</v>
      </c>
      <c r="X279" s="24">
        <v>0.93</v>
      </c>
      <c r="Y279" s="13">
        <f t="shared" si="1097"/>
        <v>0.6535881874</v>
      </c>
      <c r="Z279" s="13">
        <f t="shared" si="1098"/>
        <v>0.07331817834</v>
      </c>
      <c r="AA279" s="13">
        <f t="shared" si="1099"/>
        <v>0.5584122671</v>
      </c>
      <c r="AB279" s="13">
        <f t="shared" si="1100"/>
        <v>0.05892277911</v>
      </c>
    </row>
    <row r="280" ht="14.25" customHeight="1">
      <c r="B280" s="31" t="s">
        <v>630</v>
      </c>
      <c r="C280" s="31" t="s">
        <v>846</v>
      </c>
      <c r="D280" s="31" t="s">
        <v>847</v>
      </c>
      <c r="E280" s="31" t="s">
        <v>853</v>
      </c>
      <c r="F280" s="31" t="s">
        <v>854</v>
      </c>
      <c r="G280" s="21" t="s">
        <v>841</v>
      </c>
      <c r="H280" s="30">
        <v>43125.0</v>
      </c>
      <c r="I280" s="21">
        <v>135.0</v>
      </c>
      <c r="J280" s="21" t="s">
        <v>850</v>
      </c>
      <c r="K280" s="12">
        <f t="shared" si="1087"/>
        <v>96.75484484</v>
      </c>
      <c r="L280" s="37">
        <v>0.04</v>
      </c>
      <c r="M280" s="13">
        <f t="shared" si="1088"/>
        <v>0.003826572829</v>
      </c>
      <c r="N280" s="13">
        <f t="shared" si="1089"/>
        <v>0.005319198994</v>
      </c>
      <c r="O280" s="13">
        <f t="shared" si="1090"/>
        <v>0.05233733636</v>
      </c>
      <c r="P280" s="13">
        <v>0.126</v>
      </c>
      <c r="Q280" s="13">
        <f t="shared" si="1091"/>
        <v>0.4153756854</v>
      </c>
      <c r="R280" s="13">
        <v>0.003305097054346546</v>
      </c>
      <c r="S280" s="13">
        <f t="shared" si="1092"/>
        <v>0.07510428341</v>
      </c>
      <c r="T280" s="13">
        <f t="shared" si="1093"/>
        <v>0.240865568</v>
      </c>
      <c r="U280" s="13">
        <f t="shared" si="1094"/>
        <v>14.17909061</v>
      </c>
      <c r="V280" s="13">
        <f t="shared" si="1095"/>
        <v>0.1285449123</v>
      </c>
      <c r="W280" s="13">
        <f t="shared" si="1096"/>
        <v>0.6078729483</v>
      </c>
      <c r="X280" s="24">
        <v>0.93</v>
      </c>
      <c r="Y280" s="13">
        <f t="shared" si="1097"/>
        <v>0.6535881874</v>
      </c>
      <c r="Z280" s="13">
        <f t="shared" si="1098"/>
        <v>0.07331817834</v>
      </c>
      <c r="AA280" s="13">
        <f t="shared" si="1099"/>
        <v>0.5584122671</v>
      </c>
      <c r="AB280" s="13">
        <f t="shared" si="1100"/>
        <v>0.05892277911</v>
      </c>
    </row>
    <row r="281" ht="14.25" customHeight="1">
      <c r="B281" s="31" t="s">
        <v>630</v>
      </c>
      <c r="C281" s="31" t="s">
        <v>855</v>
      </c>
      <c r="D281" s="31" t="s">
        <v>856</v>
      </c>
      <c r="E281" s="31" t="s">
        <v>857</v>
      </c>
      <c r="F281" s="31" t="s">
        <v>858</v>
      </c>
      <c r="G281" s="21" t="s">
        <v>841</v>
      </c>
      <c r="H281" s="30">
        <v>41597.0</v>
      </c>
      <c r="I281" s="21">
        <v>234.6</v>
      </c>
      <c r="J281" s="21" t="s">
        <v>189</v>
      </c>
      <c r="K281" s="12">
        <f t="shared" ref="K281:K286" si="1101">(0.005+0.071)/0.00057735026918963</f>
        <v>131.6358614</v>
      </c>
      <c r="L281" s="37">
        <v>0.055</v>
      </c>
      <c r="M281" s="13">
        <f t="shared" ref="M281:M286" si="1102">6053/1086196</f>
        <v>0.005572659078</v>
      </c>
      <c r="N281" s="13">
        <f t="shared" ref="N281:N286" si="1103">6053/717781</f>
        <v>0.008432934279</v>
      </c>
      <c r="O281" s="13">
        <f t="shared" ref="O281:O286" si="1104">58524/1168718</f>
        <v>0.05007538174</v>
      </c>
      <c r="P281" s="13">
        <v>0.108</v>
      </c>
      <c r="Q281" s="13">
        <f t="shared" ref="Q281:Q286" si="1105">(58524/0.108)/1168718</f>
        <v>0.4636609421</v>
      </c>
      <c r="R281" s="13">
        <f t="shared" ref="R281:R286" si="1106">2569/751307</f>
        <v>0.003419374503</v>
      </c>
      <c r="S281" s="13">
        <f t="shared" ref="S281:S286" si="1107">5506/1168718</f>
        <v>0.004711145032</v>
      </c>
      <c r="T281" s="13">
        <f t="shared" ref="T281:T286" si="1108">277816/1168718</f>
        <v>0.2377100378</v>
      </c>
      <c r="U281" s="13">
        <f t="shared" ref="U281:U286" si="1109">ln(1115763)</f>
        <v>13.92504903</v>
      </c>
      <c r="V281" s="13">
        <f t="shared" ref="V281:V286" si="1110">138413/1115763</f>
        <v>0.1240523301</v>
      </c>
      <c r="W281" s="13">
        <f t="shared" ref="W281:W286" si="1111">675484/1115763</f>
        <v>0.6054009678</v>
      </c>
      <c r="X281" s="24">
        <v>0.969</v>
      </c>
      <c r="Y281" s="13">
        <f t="shared" ref="Y281:Y286" si="1112">697400/1115763</f>
        <v>0.6250431319</v>
      </c>
      <c r="Z281" s="13">
        <f t="shared" ref="Z281:Z286" si="1113">79642/1115763</f>
        <v>0.07137895772</v>
      </c>
      <c r="AA281" s="13">
        <f t="shared" ref="AA281:AA286" si="1114">1115763/3026000</f>
        <v>0.36872538</v>
      </c>
      <c r="AB281" s="13">
        <f t="shared" ref="AB281:AB286" si="1115">(680.55-716.8)/716.8</f>
        <v>-0.05057198661</v>
      </c>
    </row>
    <row r="282" ht="14.25" customHeight="1">
      <c r="B282" s="31" t="s">
        <v>630</v>
      </c>
      <c r="C282" s="31" t="s">
        <v>855</v>
      </c>
      <c r="D282" s="31" t="s">
        <v>856</v>
      </c>
      <c r="E282" s="31" t="s">
        <v>859</v>
      </c>
      <c r="F282" s="31" t="s">
        <v>860</v>
      </c>
      <c r="G282" s="21" t="s">
        <v>841</v>
      </c>
      <c r="H282" s="30">
        <v>41597.0</v>
      </c>
      <c r="I282" s="21">
        <v>105.4</v>
      </c>
      <c r="J282" s="21" t="s">
        <v>189</v>
      </c>
      <c r="K282" s="12">
        <f t="shared" si="1101"/>
        <v>131.6358614</v>
      </c>
      <c r="L282" s="37">
        <v>0.055</v>
      </c>
      <c r="M282" s="13">
        <f t="shared" si="1102"/>
        <v>0.005572659078</v>
      </c>
      <c r="N282" s="13">
        <f t="shared" si="1103"/>
        <v>0.008432934279</v>
      </c>
      <c r="O282" s="13">
        <f t="shared" si="1104"/>
        <v>0.05007538174</v>
      </c>
      <c r="P282" s="13">
        <v>0.108</v>
      </c>
      <c r="Q282" s="13">
        <f t="shared" si="1105"/>
        <v>0.4636609421</v>
      </c>
      <c r="R282" s="13">
        <f t="shared" si="1106"/>
        <v>0.003419374503</v>
      </c>
      <c r="S282" s="13">
        <f t="shared" si="1107"/>
        <v>0.004711145032</v>
      </c>
      <c r="T282" s="13">
        <f t="shared" si="1108"/>
        <v>0.2377100378</v>
      </c>
      <c r="U282" s="13">
        <f t="shared" si="1109"/>
        <v>13.92504903</v>
      </c>
      <c r="V282" s="13">
        <f t="shared" si="1110"/>
        <v>0.1240523301</v>
      </c>
      <c r="W282" s="13">
        <f t="shared" si="1111"/>
        <v>0.6054009678</v>
      </c>
      <c r="X282" s="24">
        <v>0.969</v>
      </c>
      <c r="Y282" s="13">
        <f t="shared" si="1112"/>
        <v>0.6250431319</v>
      </c>
      <c r="Z282" s="13">
        <f t="shared" si="1113"/>
        <v>0.07137895772</v>
      </c>
      <c r="AA282" s="13">
        <f t="shared" si="1114"/>
        <v>0.36872538</v>
      </c>
      <c r="AB282" s="13">
        <f t="shared" si="1115"/>
        <v>-0.05057198661</v>
      </c>
    </row>
    <row r="283" ht="14.25" customHeight="1">
      <c r="B283" s="31" t="s">
        <v>630</v>
      </c>
      <c r="C283" s="31" t="s">
        <v>855</v>
      </c>
      <c r="D283" s="31" t="s">
        <v>856</v>
      </c>
      <c r="E283" s="31" t="s">
        <v>861</v>
      </c>
      <c r="F283" s="31" t="s">
        <v>862</v>
      </c>
      <c r="G283" s="21" t="s">
        <v>841</v>
      </c>
      <c r="H283" s="30">
        <v>41597.0</v>
      </c>
      <c r="I283" s="21">
        <v>68.0</v>
      </c>
      <c r="J283" s="21" t="s">
        <v>189</v>
      </c>
      <c r="K283" s="12">
        <f t="shared" si="1101"/>
        <v>131.6358614</v>
      </c>
      <c r="L283" s="37">
        <v>0.055</v>
      </c>
      <c r="M283" s="13">
        <f t="shared" si="1102"/>
        <v>0.005572659078</v>
      </c>
      <c r="N283" s="13">
        <f t="shared" si="1103"/>
        <v>0.008432934279</v>
      </c>
      <c r="O283" s="13">
        <f t="shared" si="1104"/>
        <v>0.05007538174</v>
      </c>
      <c r="P283" s="13">
        <v>0.108</v>
      </c>
      <c r="Q283" s="13">
        <f t="shared" si="1105"/>
        <v>0.4636609421</v>
      </c>
      <c r="R283" s="13">
        <f t="shared" si="1106"/>
        <v>0.003419374503</v>
      </c>
      <c r="S283" s="13">
        <f t="shared" si="1107"/>
        <v>0.004711145032</v>
      </c>
      <c r="T283" s="13">
        <f t="shared" si="1108"/>
        <v>0.2377100378</v>
      </c>
      <c r="U283" s="13">
        <f t="shared" si="1109"/>
        <v>13.92504903</v>
      </c>
      <c r="V283" s="13">
        <f t="shared" si="1110"/>
        <v>0.1240523301</v>
      </c>
      <c r="W283" s="13">
        <f t="shared" si="1111"/>
        <v>0.6054009678</v>
      </c>
      <c r="X283" s="24">
        <v>0.969</v>
      </c>
      <c r="Y283" s="13">
        <f t="shared" si="1112"/>
        <v>0.6250431319</v>
      </c>
      <c r="Z283" s="13">
        <f t="shared" si="1113"/>
        <v>0.07137895772</v>
      </c>
      <c r="AA283" s="13">
        <f t="shared" si="1114"/>
        <v>0.36872538</v>
      </c>
      <c r="AB283" s="13">
        <f t="shared" si="1115"/>
        <v>-0.05057198661</v>
      </c>
    </row>
    <row r="284" ht="14.25" customHeight="1">
      <c r="B284" s="31" t="s">
        <v>630</v>
      </c>
      <c r="C284" s="31" t="s">
        <v>863</v>
      </c>
      <c r="D284" s="31" t="s">
        <v>864</v>
      </c>
      <c r="E284" s="31" t="s">
        <v>865</v>
      </c>
      <c r="F284" s="31" t="s">
        <v>866</v>
      </c>
      <c r="G284" s="21" t="s">
        <v>841</v>
      </c>
      <c r="H284" s="30">
        <v>41603.0</v>
      </c>
      <c r="I284" s="27">
        <v>1360.0</v>
      </c>
      <c r="J284" s="21" t="s">
        <v>189</v>
      </c>
      <c r="K284" s="12">
        <f t="shared" si="1101"/>
        <v>131.6358614</v>
      </c>
      <c r="L284" s="37">
        <v>0.055</v>
      </c>
      <c r="M284" s="13">
        <f t="shared" si="1102"/>
        <v>0.005572659078</v>
      </c>
      <c r="N284" s="13">
        <f t="shared" si="1103"/>
        <v>0.008432934279</v>
      </c>
      <c r="O284" s="13">
        <f t="shared" si="1104"/>
        <v>0.05007538174</v>
      </c>
      <c r="P284" s="13">
        <v>0.108</v>
      </c>
      <c r="Q284" s="13">
        <f t="shared" si="1105"/>
        <v>0.4636609421</v>
      </c>
      <c r="R284" s="13">
        <f t="shared" si="1106"/>
        <v>0.003419374503</v>
      </c>
      <c r="S284" s="13">
        <f t="shared" si="1107"/>
        <v>0.004711145032</v>
      </c>
      <c r="T284" s="13">
        <f t="shared" si="1108"/>
        <v>0.2377100378</v>
      </c>
      <c r="U284" s="13">
        <f t="shared" si="1109"/>
        <v>13.92504903</v>
      </c>
      <c r="V284" s="13">
        <f t="shared" si="1110"/>
        <v>0.1240523301</v>
      </c>
      <c r="W284" s="13">
        <f t="shared" si="1111"/>
        <v>0.6054009678</v>
      </c>
      <c r="X284" s="24">
        <v>0.969</v>
      </c>
      <c r="Y284" s="13">
        <f t="shared" si="1112"/>
        <v>0.6250431319</v>
      </c>
      <c r="Z284" s="13">
        <f t="shared" si="1113"/>
        <v>0.07137895772</v>
      </c>
      <c r="AA284" s="13">
        <f t="shared" si="1114"/>
        <v>0.36872538</v>
      </c>
      <c r="AB284" s="13">
        <f t="shared" si="1115"/>
        <v>-0.05057198661</v>
      </c>
    </row>
    <row r="285" ht="14.25" customHeight="1">
      <c r="B285" s="31" t="s">
        <v>630</v>
      </c>
      <c r="C285" s="31" t="s">
        <v>863</v>
      </c>
      <c r="D285" s="31" t="s">
        <v>864</v>
      </c>
      <c r="E285" s="31" t="s">
        <v>867</v>
      </c>
      <c r="F285" s="31" t="s">
        <v>868</v>
      </c>
      <c r="G285" s="21" t="s">
        <v>841</v>
      </c>
      <c r="H285" s="30">
        <v>41603.0</v>
      </c>
      <c r="I285" s="21">
        <v>340.0</v>
      </c>
      <c r="J285" s="21" t="s">
        <v>189</v>
      </c>
      <c r="K285" s="12">
        <f t="shared" si="1101"/>
        <v>131.6358614</v>
      </c>
      <c r="L285" s="37">
        <v>0.055</v>
      </c>
      <c r="M285" s="13">
        <f t="shared" si="1102"/>
        <v>0.005572659078</v>
      </c>
      <c r="N285" s="13">
        <f t="shared" si="1103"/>
        <v>0.008432934279</v>
      </c>
      <c r="O285" s="13">
        <f t="shared" si="1104"/>
        <v>0.05007538174</v>
      </c>
      <c r="P285" s="13">
        <v>0.108</v>
      </c>
      <c r="Q285" s="13">
        <f t="shared" si="1105"/>
        <v>0.4636609421</v>
      </c>
      <c r="R285" s="13">
        <f t="shared" si="1106"/>
        <v>0.003419374503</v>
      </c>
      <c r="S285" s="13">
        <f t="shared" si="1107"/>
        <v>0.004711145032</v>
      </c>
      <c r="T285" s="13">
        <f t="shared" si="1108"/>
        <v>0.2377100378</v>
      </c>
      <c r="U285" s="13">
        <f t="shared" si="1109"/>
        <v>13.92504903</v>
      </c>
      <c r="V285" s="13">
        <f t="shared" si="1110"/>
        <v>0.1240523301</v>
      </c>
      <c r="W285" s="13">
        <f t="shared" si="1111"/>
        <v>0.6054009678</v>
      </c>
      <c r="X285" s="24">
        <v>0.969</v>
      </c>
      <c r="Y285" s="13">
        <f t="shared" si="1112"/>
        <v>0.6250431319</v>
      </c>
      <c r="Z285" s="13">
        <f t="shared" si="1113"/>
        <v>0.07137895772</v>
      </c>
      <c r="AA285" s="13">
        <f t="shared" si="1114"/>
        <v>0.36872538</v>
      </c>
      <c r="AB285" s="13">
        <f t="shared" si="1115"/>
        <v>-0.05057198661</v>
      </c>
    </row>
    <row r="286" ht="14.25" customHeight="1">
      <c r="B286" s="31" t="s">
        <v>630</v>
      </c>
      <c r="C286" s="31" t="s">
        <v>863</v>
      </c>
      <c r="D286" s="31" t="s">
        <v>864</v>
      </c>
      <c r="E286" s="31" t="s">
        <v>869</v>
      </c>
      <c r="F286" s="31" t="s">
        <v>870</v>
      </c>
      <c r="G286" s="21" t="s">
        <v>841</v>
      </c>
      <c r="H286" s="30">
        <v>41603.0</v>
      </c>
      <c r="I286" s="21">
        <v>340.0</v>
      </c>
      <c r="J286" s="21" t="s">
        <v>189</v>
      </c>
      <c r="K286" s="12">
        <f t="shared" si="1101"/>
        <v>131.6358614</v>
      </c>
      <c r="L286" s="37">
        <v>0.055</v>
      </c>
      <c r="M286" s="13">
        <f t="shared" si="1102"/>
        <v>0.005572659078</v>
      </c>
      <c r="N286" s="13">
        <f t="shared" si="1103"/>
        <v>0.008432934279</v>
      </c>
      <c r="O286" s="13">
        <f t="shared" si="1104"/>
        <v>0.05007538174</v>
      </c>
      <c r="P286" s="13">
        <v>0.108</v>
      </c>
      <c r="Q286" s="13">
        <f t="shared" si="1105"/>
        <v>0.4636609421</v>
      </c>
      <c r="R286" s="13">
        <f t="shared" si="1106"/>
        <v>0.003419374503</v>
      </c>
      <c r="S286" s="13">
        <f t="shared" si="1107"/>
        <v>0.004711145032</v>
      </c>
      <c r="T286" s="13">
        <f t="shared" si="1108"/>
        <v>0.2377100378</v>
      </c>
      <c r="U286" s="13">
        <f t="shared" si="1109"/>
        <v>13.92504903</v>
      </c>
      <c r="V286" s="13">
        <f t="shared" si="1110"/>
        <v>0.1240523301</v>
      </c>
      <c r="W286" s="13">
        <f t="shared" si="1111"/>
        <v>0.6054009678</v>
      </c>
      <c r="X286" s="24">
        <v>0.969</v>
      </c>
      <c r="Y286" s="13">
        <f t="shared" si="1112"/>
        <v>0.6250431319</v>
      </c>
      <c r="Z286" s="13">
        <f t="shared" si="1113"/>
        <v>0.07137895772</v>
      </c>
      <c r="AA286" s="13">
        <f t="shared" si="1114"/>
        <v>0.36872538</v>
      </c>
      <c r="AB286" s="13">
        <f t="shared" si="1115"/>
        <v>-0.05057198661</v>
      </c>
    </row>
    <row r="287" ht="14.25" customHeight="1">
      <c r="B287" s="31" t="s">
        <v>630</v>
      </c>
      <c r="C287" s="31" t="s">
        <v>871</v>
      </c>
      <c r="D287" s="31" t="s">
        <v>872</v>
      </c>
      <c r="E287" s="31" t="s">
        <v>873</v>
      </c>
      <c r="F287" s="31" t="s">
        <v>874</v>
      </c>
      <c r="G287" s="21" t="s">
        <v>792</v>
      </c>
      <c r="H287" s="30">
        <v>40751.0</v>
      </c>
      <c r="I287" s="21">
        <v>960.5</v>
      </c>
      <c r="J287" s="21" t="s">
        <v>486</v>
      </c>
      <c r="K287" s="12">
        <f t="shared" ref="K287:K288" si="1116">(0.003+0.077)/0.010436314802969</f>
        <v>7.665541095</v>
      </c>
      <c r="L287" s="37">
        <v>0.055</v>
      </c>
      <c r="M287" s="13">
        <f t="shared" ref="M287:M288" si="1117">1194.9/249710.1</f>
        <v>0.004785148859</v>
      </c>
      <c r="N287" s="13">
        <f t="shared" ref="N287:N288" si="1118">1194.9/152784</f>
        <v>0.007820845115</v>
      </c>
      <c r="O287" s="13">
        <v>0.059976009596161534</v>
      </c>
      <c r="P287" s="13">
        <v>0.124</v>
      </c>
      <c r="Q287" s="13">
        <v>0.4836774967432382</v>
      </c>
      <c r="R287" s="13">
        <v>0.002003640036076322</v>
      </c>
      <c r="S287" s="13">
        <f t="shared" ref="S287:S288" si="1119">1118/270424.6</f>
        <v>0.004134239267</v>
      </c>
      <c r="T287" s="13">
        <f t="shared" ref="T287:T288" si="1120">76010.4/270424.6</f>
        <v>0.2810779789</v>
      </c>
      <c r="U287" s="13">
        <f t="shared" ref="U287:U288" si="1121">ln(267541)</f>
        <v>12.4970281</v>
      </c>
      <c r="V287" s="13">
        <f t="shared" ref="V287:V288" si="1122">3742/267541</f>
        <v>0.0139866413</v>
      </c>
      <c r="W287" s="13">
        <f t="shared" ref="W287:W288" si="1123">190217/267541</f>
        <v>0.7109826157</v>
      </c>
      <c r="X287" s="24">
        <v>1.258</v>
      </c>
      <c r="Y287" s="13">
        <f t="shared" ref="Y287:Y288" si="1124">151211/267541</f>
        <v>0.5651881394</v>
      </c>
      <c r="Z287" s="13">
        <f t="shared" ref="Z287:Z288" si="1125">20973/267541</f>
        <v>0.07839172314</v>
      </c>
      <c r="AA287" s="13">
        <f t="shared" ref="AA287:AA288" si="1126">267541/3400000</f>
        <v>0.07868852941</v>
      </c>
      <c r="AB287" s="13">
        <f t="shared" ref="AB287:AB288" si="1127">(745.65-721.74)/721.74</f>
        <v>0.03312827334</v>
      </c>
    </row>
    <row r="288" ht="14.25" customHeight="1">
      <c r="B288" s="31" t="s">
        <v>630</v>
      </c>
      <c r="C288" s="31" t="s">
        <v>871</v>
      </c>
      <c r="D288" s="31" t="s">
        <v>872</v>
      </c>
      <c r="E288" s="31" t="s">
        <v>875</v>
      </c>
      <c r="F288" s="31" t="s">
        <v>876</v>
      </c>
      <c r="G288" s="21" t="s">
        <v>792</v>
      </c>
      <c r="H288" s="30">
        <v>40751.0</v>
      </c>
      <c r="I288" s="21">
        <v>169.5</v>
      </c>
      <c r="J288" s="21" t="s">
        <v>486</v>
      </c>
      <c r="K288" s="12">
        <f t="shared" si="1116"/>
        <v>7.665541095</v>
      </c>
      <c r="L288" s="37">
        <v>0.055</v>
      </c>
      <c r="M288" s="13">
        <f t="shared" si="1117"/>
        <v>0.004785148859</v>
      </c>
      <c r="N288" s="13">
        <f t="shared" si="1118"/>
        <v>0.007820845115</v>
      </c>
      <c r="O288" s="13">
        <v>0.059976009596161534</v>
      </c>
      <c r="P288" s="13">
        <v>0.124</v>
      </c>
      <c r="Q288" s="13">
        <v>0.4836774967432382</v>
      </c>
      <c r="R288" s="13">
        <v>0.002003640036076322</v>
      </c>
      <c r="S288" s="13">
        <f t="shared" si="1119"/>
        <v>0.004134239267</v>
      </c>
      <c r="T288" s="13">
        <f t="shared" si="1120"/>
        <v>0.2810779789</v>
      </c>
      <c r="U288" s="13">
        <f t="shared" si="1121"/>
        <v>12.4970281</v>
      </c>
      <c r="V288" s="13">
        <f t="shared" si="1122"/>
        <v>0.0139866413</v>
      </c>
      <c r="W288" s="13">
        <f t="shared" si="1123"/>
        <v>0.7109826157</v>
      </c>
      <c r="X288" s="24">
        <v>1.258</v>
      </c>
      <c r="Y288" s="13">
        <f t="shared" si="1124"/>
        <v>0.5651881394</v>
      </c>
      <c r="Z288" s="13">
        <f t="shared" si="1125"/>
        <v>0.07839172314</v>
      </c>
      <c r="AA288" s="13">
        <f t="shared" si="1126"/>
        <v>0.07868852941</v>
      </c>
      <c r="AB288" s="13">
        <f t="shared" si="1127"/>
        <v>0.03312827334</v>
      </c>
    </row>
    <row r="289" ht="14.25" customHeight="1">
      <c r="B289" s="31" t="s">
        <v>630</v>
      </c>
      <c r="C289" s="31" t="s">
        <v>877</v>
      </c>
      <c r="D289" s="31" t="s">
        <v>878</v>
      </c>
      <c r="E289" s="31" t="s">
        <v>879</v>
      </c>
      <c r="F289" s="31" t="s">
        <v>880</v>
      </c>
      <c r="G289" s="21" t="s">
        <v>792</v>
      </c>
      <c r="H289" s="30">
        <v>41239.0</v>
      </c>
      <c r="I289" s="32">
        <v>2040.0</v>
      </c>
      <c r="J289" s="21" t="s">
        <v>339</v>
      </c>
      <c r="K289" s="12">
        <f t="shared" ref="K289:K290" si="1128">(0.004+0.065)/0.0017078251276599</f>
        <v>40.40226302</v>
      </c>
      <c r="L289" s="21">
        <v>0.096</v>
      </c>
      <c r="M289" s="13">
        <f t="shared" ref="M289:M290" si="1129">1479/344317</f>
        <v>0.004295460288</v>
      </c>
      <c r="N289" s="13">
        <f t="shared" ref="N289:N290" si="1130">1479/227519</f>
        <v>0.006500555998</v>
      </c>
      <c r="O289" s="13">
        <f t="shared" ref="O289:O290" si="1131">16938/367940</f>
        <v>0.04603467957</v>
      </c>
      <c r="P289" s="21">
        <v>0.106</v>
      </c>
      <c r="Q289" s="13">
        <f t="shared" ref="Q289:Q290" si="1132">(16938/0.106)/367940</f>
        <v>0.4342894299</v>
      </c>
      <c r="R289" s="13">
        <v>0.00401051849623786</v>
      </c>
      <c r="S289" s="13">
        <f t="shared" ref="S289:S290" si="1133">5005/367940</f>
        <v>0.01360276132</v>
      </c>
      <c r="T289" s="13">
        <f t="shared" ref="T289:T290" si="1134">111339/367940</f>
        <v>0.3026009675</v>
      </c>
      <c r="U289" s="13">
        <f t="shared" ref="U289:U290" si="1135">ln(348174.1)</f>
        <v>12.76045792</v>
      </c>
      <c r="V289" s="13">
        <f t="shared" ref="V289:V290" si="1136">22326.8/(348174.1)</f>
        <v>0.06412539014</v>
      </c>
      <c r="W289" s="13">
        <f t="shared" ref="W289:W290" si="1137">228250.9/(348174.1)</f>
        <v>0.6555654197</v>
      </c>
      <c r="X289" s="12">
        <v>1.307</v>
      </c>
      <c r="Y289" s="13">
        <f t="shared" ref="Y289:Y290" si="1138">174690.1/(348174.1)</f>
        <v>0.5017320358</v>
      </c>
      <c r="Z289" s="13">
        <f t="shared" ref="Z289:Z290" si="1139">22711.2/(348174.1)</f>
        <v>0.0652294355</v>
      </c>
      <c r="AA289" s="13">
        <f t="shared" ref="AA289:AA290" si="1140">348174.1/3423000</f>
        <v>0.1017160678</v>
      </c>
      <c r="AB289" s="13">
        <f t="shared" ref="AB289:AB290" si="1141">(675.27-720.71)/720.71</f>
        <v>-0.06304893785</v>
      </c>
    </row>
    <row r="290" ht="14.25" customHeight="1">
      <c r="B290" s="31" t="s">
        <v>630</v>
      </c>
      <c r="C290" s="31" t="s">
        <v>877</v>
      </c>
      <c r="D290" s="31" t="s">
        <v>878</v>
      </c>
      <c r="E290" s="31" t="s">
        <v>881</v>
      </c>
      <c r="F290" s="31" t="s">
        <v>882</v>
      </c>
      <c r="G290" s="21" t="s">
        <v>792</v>
      </c>
      <c r="H290" s="30">
        <v>41239.0</v>
      </c>
      <c r="I290" s="21">
        <v>360.0</v>
      </c>
      <c r="J290" s="21" t="s">
        <v>339</v>
      </c>
      <c r="K290" s="12">
        <f t="shared" si="1128"/>
        <v>40.40226302</v>
      </c>
      <c r="L290" s="21">
        <v>0.096</v>
      </c>
      <c r="M290" s="13">
        <f t="shared" si="1129"/>
        <v>0.004295460288</v>
      </c>
      <c r="N290" s="13">
        <f t="shared" si="1130"/>
        <v>0.006500555998</v>
      </c>
      <c r="O290" s="13">
        <f t="shared" si="1131"/>
        <v>0.04603467957</v>
      </c>
      <c r="P290" s="21">
        <v>0.106</v>
      </c>
      <c r="Q290" s="13">
        <f t="shared" si="1132"/>
        <v>0.4342894299</v>
      </c>
      <c r="R290" s="13">
        <v>0.00401051849623786</v>
      </c>
      <c r="S290" s="13">
        <f t="shared" si="1133"/>
        <v>0.01360276132</v>
      </c>
      <c r="T290" s="13">
        <f t="shared" si="1134"/>
        <v>0.3026009675</v>
      </c>
      <c r="U290" s="13">
        <f t="shared" si="1135"/>
        <v>12.76045792</v>
      </c>
      <c r="V290" s="13">
        <f t="shared" si="1136"/>
        <v>0.06412539014</v>
      </c>
      <c r="W290" s="13">
        <f t="shared" si="1137"/>
        <v>0.6555654197</v>
      </c>
      <c r="X290" s="12">
        <v>1.307</v>
      </c>
      <c r="Y290" s="13">
        <f t="shared" si="1138"/>
        <v>0.5017320358</v>
      </c>
      <c r="Z290" s="13">
        <f t="shared" si="1139"/>
        <v>0.0652294355</v>
      </c>
      <c r="AA290" s="13">
        <f t="shared" si="1140"/>
        <v>0.1017160678</v>
      </c>
      <c r="AB290" s="13">
        <f t="shared" si="1141"/>
        <v>-0.06304893785</v>
      </c>
    </row>
    <row r="291" ht="14.25" customHeight="1">
      <c r="B291" s="31" t="s">
        <v>630</v>
      </c>
      <c r="C291" s="31" t="s">
        <v>883</v>
      </c>
      <c r="D291" s="31" t="s">
        <v>884</v>
      </c>
      <c r="E291" s="31" t="s">
        <v>885</v>
      </c>
      <c r="F291" s="31" t="s">
        <v>886</v>
      </c>
      <c r="G291" s="21" t="s">
        <v>792</v>
      </c>
      <c r="H291" s="30">
        <v>41603.0</v>
      </c>
      <c r="I291" s="21">
        <v>516.0</v>
      </c>
      <c r="J291" s="21" t="s">
        <v>189</v>
      </c>
      <c r="K291" s="12">
        <f t="shared" ref="K291:K292" si="1142">(0.002+0.072)/0.00057735026918963</f>
        <v>128.1717598</v>
      </c>
      <c r="L291" s="21">
        <v>0.117</v>
      </c>
      <c r="M291" s="13">
        <f t="shared" ref="M291:M292" si="1143">1158/306909</f>
        <v>0.003773105383</v>
      </c>
      <c r="N291" s="13">
        <f t="shared" ref="N291:N292" si="1144">1158/205606</f>
        <v>0.005632131358</v>
      </c>
      <c r="O291" s="13">
        <f t="shared" ref="O291:O292" si="1145">18316/331376</f>
        <v>0.05527256048</v>
      </c>
      <c r="P291" s="21">
        <v>0.124</v>
      </c>
      <c r="Q291" s="13">
        <f t="shared" ref="Q291:Q292" si="1146">(18316/0.124)/331376</f>
        <v>0.4457464554</v>
      </c>
      <c r="R291" s="13">
        <f t="shared" ref="R291:R292" si="1147">1144/205030</f>
        <v>0.005579671268</v>
      </c>
      <c r="S291" s="13">
        <f t="shared" ref="S291:S292" si="1148">3032/331376</f>
        <v>0.009149727198</v>
      </c>
      <c r="T291" s="13">
        <f t="shared" ref="T291:T292" si="1149">103326/331376</f>
        <v>0.3118089421</v>
      </c>
      <c r="U291" s="13">
        <f t="shared" ref="U291:U292" si="1150">ln(340320.1)</f>
        <v>12.73764192</v>
      </c>
      <c r="V291" s="13">
        <f t="shared" ref="V291:V292" si="1151">14655.2/(340320.1)</f>
        <v>0.04306298688</v>
      </c>
      <c r="W291" s="13">
        <f t="shared" ref="W291:W292" si="1152">214329.5/(340320.1)</f>
        <v>0.6297879555</v>
      </c>
      <c r="X291" s="13">
        <v>1.13</v>
      </c>
      <c r="Y291" s="13">
        <f t="shared" ref="Y291:Y292" si="1153">189612.8/(340320.1)</f>
        <v>0.557160156</v>
      </c>
      <c r="Z291" s="13">
        <f t="shared" ref="Z291:Z292" si="1154">23946.6/(340320.1)</f>
        <v>0.07036492996</v>
      </c>
      <c r="AA291" s="13">
        <f t="shared" ref="AA291:AA292" si="1155">340320.1/3026000</f>
        <v>0.1124653338</v>
      </c>
      <c r="AB291" s="13">
        <f t="shared" ref="AB291:AB292" si="1156">(680.55-716.8)/716.8</f>
        <v>-0.05057198661</v>
      </c>
    </row>
    <row r="292" ht="14.25" customHeight="1">
      <c r="B292" s="31" t="s">
        <v>630</v>
      </c>
      <c r="C292" s="31" t="s">
        <v>883</v>
      </c>
      <c r="D292" s="31" t="s">
        <v>884</v>
      </c>
      <c r="E292" s="31" t="s">
        <v>887</v>
      </c>
      <c r="F292" s="31" t="s">
        <v>888</v>
      </c>
      <c r="G292" s="21" t="s">
        <v>792</v>
      </c>
      <c r="H292" s="30">
        <v>41603.0</v>
      </c>
      <c r="I292" s="21">
        <v>129.0</v>
      </c>
      <c r="J292" s="21" t="s">
        <v>189</v>
      </c>
      <c r="K292" s="12">
        <f t="shared" si="1142"/>
        <v>128.1717598</v>
      </c>
      <c r="L292" s="21">
        <v>0.117</v>
      </c>
      <c r="M292" s="13">
        <f t="shared" si="1143"/>
        <v>0.003773105383</v>
      </c>
      <c r="N292" s="13">
        <f t="shared" si="1144"/>
        <v>0.005632131358</v>
      </c>
      <c r="O292" s="13">
        <f t="shared" si="1145"/>
        <v>0.05527256048</v>
      </c>
      <c r="P292" s="21">
        <v>0.124</v>
      </c>
      <c r="Q292" s="13">
        <f t="shared" si="1146"/>
        <v>0.4457464554</v>
      </c>
      <c r="R292" s="13">
        <f t="shared" si="1147"/>
        <v>0.005579671268</v>
      </c>
      <c r="S292" s="13">
        <f t="shared" si="1148"/>
        <v>0.009149727198</v>
      </c>
      <c r="T292" s="13">
        <f t="shared" si="1149"/>
        <v>0.3118089421</v>
      </c>
      <c r="U292" s="13">
        <f t="shared" si="1150"/>
        <v>12.73764192</v>
      </c>
      <c r="V292" s="13">
        <f t="shared" si="1151"/>
        <v>0.04306298688</v>
      </c>
      <c r="W292" s="13">
        <f t="shared" si="1152"/>
        <v>0.6297879555</v>
      </c>
      <c r="X292" s="13">
        <v>1.13</v>
      </c>
      <c r="Y292" s="13">
        <f t="shared" si="1153"/>
        <v>0.557160156</v>
      </c>
      <c r="Z292" s="13">
        <f t="shared" si="1154"/>
        <v>0.07036492996</v>
      </c>
      <c r="AA292" s="13">
        <f t="shared" si="1155"/>
        <v>0.1124653338</v>
      </c>
      <c r="AB292" s="13">
        <f t="shared" si="1156"/>
        <v>-0.05057198661</v>
      </c>
    </row>
    <row r="293" ht="14.25" customHeight="1">
      <c r="B293" s="31" t="s">
        <v>630</v>
      </c>
      <c r="C293" s="31" t="s">
        <v>889</v>
      </c>
      <c r="D293" s="31" t="s">
        <v>890</v>
      </c>
      <c r="E293" s="31" t="s">
        <v>891</v>
      </c>
      <c r="F293" s="31" t="s">
        <v>892</v>
      </c>
      <c r="G293" s="21" t="s">
        <v>792</v>
      </c>
      <c r="H293" s="30">
        <v>41971.0</v>
      </c>
      <c r="I293" s="32">
        <v>1555.5</v>
      </c>
      <c r="J293" s="21" t="s">
        <v>238</v>
      </c>
      <c r="K293" s="12">
        <f t="shared" ref="K293:K294" si="1157">(0.004+0.074)/0.0017320508075689</f>
        <v>45.033321</v>
      </c>
      <c r="L293" s="21">
        <v>0.101</v>
      </c>
      <c r="M293" s="13">
        <f t="shared" ref="M293:M294" si="1158">1222/329108</f>
        <v>0.003713066835</v>
      </c>
      <c r="N293" s="13">
        <f t="shared" ref="N293:N294" si="1159">1222/219025</f>
        <v>0.005579271773</v>
      </c>
      <c r="O293" s="13">
        <f t="shared" ref="O293:O294" si="1160">18537/355557</f>
        <v>0.0521351007</v>
      </c>
      <c r="P293" s="13">
        <v>0.121</v>
      </c>
      <c r="Q293" s="13">
        <f t="shared" ref="Q293:Q294" si="1161">(18537/0.121)/355557</f>
        <v>0.4308686008</v>
      </c>
      <c r="R293" s="13">
        <f t="shared" ref="R293:R294" si="1162">1343/214297</f>
        <v>0.006267003271</v>
      </c>
      <c r="S293" s="13">
        <f t="shared" ref="S293:S294" si="1163">4061/355557</f>
        <v>0.0114215161</v>
      </c>
      <c r="T293" s="13">
        <f t="shared" ref="T293:T294" si="1164">111059/355557</f>
        <v>0.3123521686</v>
      </c>
      <c r="U293" s="13">
        <f t="shared" ref="U293:U294" si="1165">ln(338623.4)</f>
        <v>12.73264385</v>
      </c>
      <c r="V293" s="13">
        <f t="shared" ref="V293:V294" si="1166">17551.5/(338623.4)</f>
        <v>0.05183191711</v>
      </c>
      <c r="W293" s="13">
        <f t="shared" ref="W293:W294" si="1167">202255.3/(338623.4)</f>
        <v>0.5972868384</v>
      </c>
      <c r="X293" s="13">
        <v>0.974</v>
      </c>
      <c r="Y293" s="13">
        <f t="shared" ref="Y293:Y294" si="1168">207561.8/(338623.4)</f>
        <v>0.6129576397</v>
      </c>
      <c r="Z293" s="13">
        <f t="shared" ref="Z293:Z294" si="1169">25232.6/(338623.4)</f>
        <v>0.07451522842</v>
      </c>
      <c r="AA293" s="13">
        <f t="shared" ref="AA293:AA294" si="1170">338623.4/2913000</f>
        <v>0.1162455887</v>
      </c>
      <c r="AB293" s="13">
        <f t="shared" ref="AB293:AB294" si="1171">(702.27-732.89)/732.89</f>
        <v>-0.04177980324</v>
      </c>
    </row>
    <row r="294" ht="14.25" customHeight="1">
      <c r="B294" s="31" t="s">
        <v>630</v>
      </c>
      <c r="C294" s="31" t="s">
        <v>889</v>
      </c>
      <c r="D294" s="31" t="s">
        <v>890</v>
      </c>
      <c r="E294" s="31" t="s">
        <v>893</v>
      </c>
      <c r="F294" s="31" t="s">
        <v>894</v>
      </c>
      <c r="G294" s="21" t="s">
        <v>792</v>
      </c>
      <c r="H294" s="30">
        <v>41971.0</v>
      </c>
      <c r="I294" s="21">
        <v>274.5</v>
      </c>
      <c r="J294" s="21" t="s">
        <v>238</v>
      </c>
      <c r="K294" s="12">
        <f t="shared" si="1157"/>
        <v>45.033321</v>
      </c>
      <c r="L294" s="21">
        <v>0.101</v>
      </c>
      <c r="M294" s="13">
        <f t="shared" si="1158"/>
        <v>0.003713066835</v>
      </c>
      <c r="N294" s="13">
        <f t="shared" si="1159"/>
        <v>0.005579271773</v>
      </c>
      <c r="O294" s="13">
        <f t="shared" si="1160"/>
        <v>0.0521351007</v>
      </c>
      <c r="P294" s="13">
        <v>0.121</v>
      </c>
      <c r="Q294" s="13">
        <f t="shared" si="1161"/>
        <v>0.4308686008</v>
      </c>
      <c r="R294" s="13">
        <f t="shared" si="1162"/>
        <v>0.006267003271</v>
      </c>
      <c r="S294" s="13">
        <f t="shared" si="1163"/>
        <v>0.0114215161</v>
      </c>
      <c r="T294" s="13">
        <f t="shared" si="1164"/>
        <v>0.3123521686</v>
      </c>
      <c r="U294" s="13">
        <f t="shared" si="1165"/>
        <v>12.73264385</v>
      </c>
      <c r="V294" s="13">
        <f t="shared" si="1166"/>
        <v>0.05183191711</v>
      </c>
      <c r="W294" s="13">
        <f t="shared" si="1167"/>
        <v>0.5972868384</v>
      </c>
      <c r="X294" s="13">
        <v>0.974</v>
      </c>
      <c r="Y294" s="13">
        <f t="shared" si="1168"/>
        <v>0.6129576397</v>
      </c>
      <c r="Z294" s="13">
        <f t="shared" si="1169"/>
        <v>0.07451522842</v>
      </c>
      <c r="AA294" s="13">
        <f t="shared" si="1170"/>
        <v>0.1162455887</v>
      </c>
      <c r="AB294" s="13">
        <f t="shared" si="1171"/>
        <v>-0.04177980324</v>
      </c>
    </row>
    <row r="295" ht="14.25" customHeight="1">
      <c r="B295" s="31" t="s">
        <v>630</v>
      </c>
      <c r="C295" s="31" t="s">
        <v>895</v>
      </c>
      <c r="D295" s="31" t="s">
        <v>896</v>
      </c>
      <c r="E295" s="31" t="s">
        <v>897</v>
      </c>
      <c r="F295" s="31" t="s">
        <v>898</v>
      </c>
      <c r="G295" s="21" t="s">
        <v>792</v>
      </c>
      <c r="H295" s="30">
        <v>42299.0</v>
      </c>
      <c r="I295" s="21">
        <v>918.4</v>
      </c>
      <c r="J295" s="21" t="s">
        <v>201</v>
      </c>
      <c r="K295" s="12">
        <f t="shared" ref="K295:K298" si="1172">(0.003+0.073)/0.00057735026918963</f>
        <v>131.6358614</v>
      </c>
      <c r="L295" s="21">
        <v>0.079</v>
      </c>
      <c r="M295" s="13">
        <f t="shared" ref="M295:M298" si="1173">679/316392</f>
        <v>0.002146071961</v>
      </c>
      <c r="N295" s="13">
        <f t="shared" ref="N295:N298" si="1174">679/215389</f>
        <v>0.003152435825</v>
      </c>
      <c r="O295" s="13">
        <f t="shared" ref="O295:O298" si="1175">17875/341363</f>
        <v>0.05236361293</v>
      </c>
      <c r="P295" s="13">
        <v>0.128</v>
      </c>
      <c r="Q295" s="13">
        <f t="shared" ref="Q295:Q298" si="1176">(17875/0.128)/341363</f>
        <v>0.409090726</v>
      </c>
      <c r="R295" s="13">
        <f t="shared" ref="R295:R298" si="1177">567/207962</f>
        <v>0.002726459642</v>
      </c>
      <c r="S295" s="13">
        <f t="shared" ref="S295:S298" si="1178">4385/341363</f>
        <v>0.01284556323</v>
      </c>
      <c r="T295" s="13">
        <f t="shared" ref="T295:T298" si="1179">101814/341363</f>
        <v>0.2982572804</v>
      </c>
      <c r="U295" s="13">
        <f t="shared" ref="U295:U298" si="1180">ln(344255.5)</f>
        <v>12.74913939</v>
      </c>
      <c r="V295" s="13">
        <f t="shared" ref="V295:V298" si="1181">17233/(344255.5)</f>
        <v>0.05005874997</v>
      </c>
      <c r="W295" s="13">
        <f t="shared" ref="W295:W298" si="1182">218553.5/(344255.5)</f>
        <v>0.6348584118</v>
      </c>
      <c r="X295" s="13">
        <v>0.99</v>
      </c>
      <c r="Y295" s="13">
        <f t="shared" ref="Y295:Y298" si="1183">220732.2/(344255.5)</f>
        <v>0.6411871415</v>
      </c>
      <c r="Z295" s="13">
        <f t="shared" ref="Z295:Z298" si="1184">25204.6/(344255.5)</f>
        <v>0.07321480703</v>
      </c>
      <c r="AA295" s="13">
        <f t="shared" ref="AA295:AA298" si="1185">344255.5/2760000</f>
        <v>0.1247302536</v>
      </c>
      <c r="AB295" s="13">
        <f t="shared" ref="AB295:AB298" si="1186">(727.93-762.57)/762.57</f>
        <v>-0.045425338</v>
      </c>
    </row>
    <row r="296" ht="14.25" customHeight="1">
      <c r="B296" s="31" t="s">
        <v>630</v>
      </c>
      <c r="C296" s="31" t="s">
        <v>895</v>
      </c>
      <c r="D296" s="31" t="s">
        <v>896</v>
      </c>
      <c r="E296" s="31" t="s">
        <v>899</v>
      </c>
      <c r="F296" s="31" t="s">
        <v>900</v>
      </c>
      <c r="G296" s="21" t="s">
        <v>792</v>
      </c>
      <c r="H296" s="30">
        <v>42299.0</v>
      </c>
      <c r="I296" s="21">
        <v>201.6</v>
      </c>
      <c r="J296" s="21" t="s">
        <v>201</v>
      </c>
      <c r="K296" s="12">
        <f t="shared" si="1172"/>
        <v>131.6358614</v>
      </c>
      <c r="L296" s="21">
        <v>0.079</v>
      </c>
      <c r="M296" s="13">
        <f t="shared" si="1173"/>
        <v>0.002146071961</v>
      </c>
      <c r="N296" s="13">
        <f t="shared" si="1174"/>
        <v>0.003152435825</v>
      </c>
      <c r="O296" s="13">
        <f t="shared" si="1175"/>
        <v>0.05236361293</v>
      </c>
      <c r="P296" s="13">
        <v>0.128</v>
      </c>
      <c r="Q296" s="13">
        <f t="shared" si="1176"/>
        <v>0.409090726</v>
      </c>
      <c r="R296" s="13">
        <f t="shared" si="1177"/>
        <v>0.002726459642</v>
      </c>
      <c r="S296" s="13">
        <f t="shared" si="1178"/>
        <v>0.01284556323</v>
      </c>
      <c r="T296" s="13">
        <f t="shared" si="1179"/>
        <v>0.2982572804</v>
      </c>
      <c r="U296" s="13">
        <f t="shared" si="1180"/>
        <v>12.74913939</v>
      </c>
      <c r="V296" s="13">
        <f t="shared" si="1181"/>
        <v>0.05005874997</v>
      </c>
      <c r="W296" s="13">
        <f t="shared" si="1182"/>
        <v>0.6348584118</v>
      </c>
      <c r="X296" s="13">
        <v>0.99</v>
      </c>
      <c r="Y296" s="13">
        <f t="shared" si="1183"/>
        <v>0.6411871415</v>
      </c>
      <c r="Z296" s="13">
        <f t="shared" si="1184"/>
        <v>0.07321480703</v>
      </c>
      <c r="AA296" s="13">
        <f t="shared" si="1185"/>
        <v>0.1247302536</v>
      </c>
      <c r="AB296" s="13">
        <f t="shared" si="1186"/>
        <v>-0.045425338</v>
      </c>
    </row>
    <row r="297" ht="14.25" customHeight="1">
      <c r="B297" s="31" t="s">
        <v>630</v>
      </c>
      <c r="C297" s="31" t="s">
        <v>901</v>
      </c>
      <c r="D297" s="31" t="s">
        <v>902</v>
      </c>
      <c r="E297" s="31" t="s">
        <v>903</v>
      </c>
      <c r="F297" s="31" t="s">
        <v>904</v>
      </c>
      <c r="G297" s="21" t="s">
        <v>792</v>
      </c>
      <c r="H297" s="30">
        <v>42339.0</v>
      </c>
      <c r="I297" s="32">
        <v>2150.5</v>
      </c>
      <c r="J297" s="21" t="s">
        <v>201</v>
      </c>
      <c r="K297" s="12">
        <f t="shared" si="1172"/>
        <v>131.6358614</v>
      </c>
      <c r="L297" s="21">
        <v>0.079</v>
      </c>
      <c r="M297" s="13">
        <f t="shared" si="1173"/>
        <v>0.002146071961</v>
      </c>
      <c r="N297" s="13">
        <f t="shared" si="1174"/>
        <v>0.003152435825</v>
      </c>
      <c r="O297" s="13">
        <f t="shared" si="1175"/>
        <v>0.05236361293</v>
      </c>
      <c r="P297" s="13">
        <v>0.128</v>
      </c>
      <c r="Q297" s="13">
        <f t="shared" si="1176"/>
        <v>0.409090726</v>
      </c>
      <c r="R297" s="13">
        <f t="shared" si="1177"/>
        <v>0.002726459642</v>
      </c>
      <c r="S297" s="13">
        <f t="shared" si="1178"/>
        <v>0.01284556323</v>
      </c>
      <c r="T297" s="13">
        <f t="shared" si="1179"/>
        <v>0.2982572804</v>
      </c>
      <c r="U297" s="13">
        <f t="shared" si="1180"/>
        <v>12.74913939</v>
      </c>
      <c r="V297" s="13">
        <f t="shared" si="1181"/>
        <v>0.05005874997</v>
      </c>
      <c r="W297" s="13">
        <f t="shared" si="1182"/>
        <v>0.6348584118</v>
      </c>
      <c r="X297" s="13">
        <v>0.99</v>
      </c>
      <c r="Y297" s="13">
        <f t="shared" si="1183"/>
        <v>0.6411871415</v>
      </c>
      <c r="Z297" s="13">
        <f t="shared" si="1184"/>
        <v>0.07321480703</v>
      </c>
      <c r="AA297" s="13">
        <f t="shared" si="1185"/>
        <v>0.1247302536</v>
      </c>
      <c r="AB297" s="13">
        <f t="shared" si="1186"/>
        <v>-0.045425338</v>
      </c>
    </row>
    <row r="298" ht="14.25" customHeight="1">
      <c r="B298" s="31" t="s">
        <v>630</v>
      </c>
      <c r="C298" s="31" t="s">
        <v>901</v>
      </c>
      <c r="D298" s="31" t="s">
        <v>902</v>
      </c>
      <c r="E298" s="31" t="s">
        <v>905</v>
      </c>
      <c r="F298" s="31" t="s">
        <v>906</v>
      </c>
      <c r="G298" s="21" t="s">
        <v>792</v>
      </c>
      <c r="H298" s="30">
        <v>42339.0</v>
      </c>
      <c r="I298" s="21">
        <v>379.5</v>
      </c>
      <c r="J298" s="21" t="s">
        <v>201</v>
      </c>
      <c r="K298" s="12">
        <f t="shared" si="1172"/>
        <v>131.6358614</v>
      </c>
      <c r="L298" s="21">
        <v>0.079</v>
      </c>
      <c r="M298" s="13">
        <f t="shared" si="1173"/>
        <v>0.002146071961</v>
      </c>
      <c r="N298" s="13">
        <f t="shared" si="1174"/>
        <v>0.003152435825</v>
      </c>
      <c r="O298" s="13">
        <f t="shared" si="1175"/>
        <v>0.05236361293</v>
      </c>
      <c r="P298" s="13">
        <v>0.128</v>
      </c>
      <c r="Q298" s="13">
        <f t="shared" si="1176"/>
        <v>0.409090726</v>
      </c>
      <c r="R298" s="13">
        <f t="shared" si="1177"/>
        <v>0.002726459642</v>
      </c>
      <c r="S298" s="13">
        <f t="shared" si="1178"/>
        <v>0.01284556323</v>
      </c>
      <c r="T298" s="13">
        <f t="shared" si="1179"/>
        <v>0.2982572804</v>
      </c>
      <c r="U298" s="13">
        <f t="shared" si="1180"/>
        <v>12.74913939</v>
      </c>
      <c r="V298" s="13">
        <f t="shared" si="1181"/>
        <v>0.05005874997</v>
      </c>
      <c r="W298" s="13">
        <f t="shared" si="1182"/>
        <v>0.6348584118</v>
      </c>
      <c r="X298" s="13">
        <v>0.99</v>
      </c>
      <c r="Y298" s="13">
        <f t="shared" si="1183"/>
        <v>0.6411871415</v>
      </c>
      <c r="Z298" s="13">
        <f t="shared" si="1184"/>
        <v>0.07321480703</v>
      </c>
      <c r="AA298" s="13">
        <f t="shared" si="1185"/>
        <v>0.1247302536</v>
      </c>
      <c r="AB298" s="13">
        <f t="shared" si="1186"/>
        <v>-0.045425338</v>
      </c>
    </row>
    <row r="299" ht="14.25" customHeight="1">
      <c r="B299" s="31" t="s">
        <v>630</v>
      </c>
      <c r="C299" s="31" t="s">
        <v>907</v>
      </c>
      <c r="D299" s="31" t="s">
        <v>908</v>
      </c>
      <c r="E299" s="31" t="s">
        <v>909</v>
      </c>
      <c r="F299" s="31" t="s">
        <v>910</v>
      </c>
      <c r="G299" s="21" t="s">
        <v>841</v>
      </c>
      <c r="H299" s="30">
        <v>37888.0</v>
      </c>
      <c r="I299" s="32">
        <v>1014.3</v>
      </c>
      <c r="J299" s="21" t="s">
        <v>911</v>
      </c>
      <c r="K299" s="12">
        <f t="shared" ref="K299:K303" si="1187">(0.004+0.088)/0.0052915026221292</f>
        <v>17.38636576</v>
      </c>
      <c r="L299" s="21">
        <v>0.018</v>
      </c>
      <c r="M299" s="13">
        <f t="shared" ref="M299:M303" si="1188">2245.3/321289.8</f>
        <v>0.006988394901</v>
      </c>
      <c r="N299" s="13">
        <f t="shared" ref="N299:N303" si="1189">2245.3/164923.9</f>
        <v>0.0136141578</v>
      </c>
      <c r="O299" s="13">
        <f t="shared" ref="O299:O303" si="1190">17087.6/349033.6</f>
        <v>0.04895689126</v>
      </c>
      <c r="P299" s="21">
        <v>0.083</v>
      </c>
      <c r="Q299" s="13">
        <f t="shared" ref="Q299:Q303" si="1191">(17087.6/0.083)/349033.6</f>
        <v>0.5898420633</v>
      </c>
      <c r="R299" s="13">
        <f t="shared" ref="R299:R303" si="1192">249/192186.1</f>
        <v>0.001295619194</v>
      </c>
      <c r="S299" s="13">
        <f t="shared" ref="S299:S303" si="1193">5317.8/351790.5</f>
        <v>0.01511638319</v>
      </c>
      <c r="T299" s="13">
        <f t="shared" ref="T299:T303" si="1194">128411.2/351790.5</f>
        <v>0.3650217956</v>
      </c>
      <c r="U299" s="13">
        <f t="shared" ref="U299:U303" si="1195">ln(345067.1)</f>
        <v>12.75149417</v>
      </c>
      <c r="V299" s="13">
        <f t="shared" ref="V299:V303" si="1196">0/(345067.1)</f>
        <v>0</v>
      </c>
      <c r="W299" s="13">
        <f t="shared" ref="W299:W303" si="1197">174055/(345067.1)</f>
        <v>0.5044091425</v>
      </c>
      <c r="X299" s="13">
        <v>1.077</v>
      </c>
      <c r="Y299" s="13">
        <f t="shared" ref="Y299:Y303" si="1198">129201.5/(345067.1)</f>
        <v>0.3744242786</v>
      </c>
      <c r="Z299" s="13">
        <f t="shared" ref="Z299:Z303" si="1199">30544.6/(345067.1)</f>
        <v>0.08851785638</v>
      </c>
      <c r="AA299" s="13">
        <f t="shared" ref="AA299:AA303" si="1200">345067.1/1684833.1</f>
        <v>0.2048078828</v>
      </c>
      <c r="AB299" s="39">
        <f t="shared" ref="AB299:AB303" si="1201">(686.81-645.1)/645.1</f>
        <v>0.06465664238</v>
      </c>
    </row>
    <row r="300" ht="14.25" customHeight="1">
      <c r="B300" s="31" t="s">
        <v>630</v>
      </c>
      <c r="C300" s="31" t="s">
        <v>907</v>
      </c>
      <c r="D300" s="31" t="s">
        <v>908</v>
      </c>
      <c r="E300" s="31" t="s">
        <v>912</v>
      </c>
      <c r="F300" s="31" t="s">
        <v>913</v>
      </c>
      <c r="G300" s="21" t="s">
        <v>841</v>
      </c>
      <c r="H300" s="30">
        <v>37888.0</v>
      </c>
      <c r="I300" s="21">
        <v>537.1</v>
      </c>
      <c r="J300" s="21" t="s">
        <v>911</v>
      </c>
      <c r="K300" s="12">
        <f t="shared" si="1187"/>
        <v>17.38636576</v>
      </c>
      <c r="L300" s="21">
        <v>0.018</v>
      </c>
      <c r="M300" s="13">
        <f t="shared" si="1188"/>
        <v>0.006988394901</v>
      </c>
      <c r="N300" s="13">
        <f t="shared" si="1189"/>
        <v>0.0136141578</v>
      </c>
      <c r="O300" s="13">
        <f t="shared" si="1190"/>
        <v>0.04895689126</v>
      </c>
      <c r="P300" s="21">
        <v>0.083</v>
      </c>
      <c r="Q300" s="13">
        <f t="shared" si="1191"/>
        <v>0.5898420633</v>
      </c>
      <c r="R300" s="13">
        <f t="shared" si="1192"/>
        <v>0.001295619194</v>
      </c>
      <c r="S300" s="13">
        <f t="shared" si="1193"/>
        <v>0.01511638319</v>
      </c>
      <c r="T300" s="13">
        <f t="shared" si="1194"/>
        <v>0.3650217956</v>
      </c>
      <c r="U300" s="13">
        <f t="shared" si="1195"/>
        <v>12.75149417</v>
      </c>
      <c r="V300" s="13">
        <f t="shared" si="1196"/>
        <v>0</v>
      </c>
      <c r="W300" s="13">
        <f t="shared" si="1197"/>
        <v>0.5044091425</v>
      </c>
      <c r="X300" s="13">
        <v>1.077</v>
      </c>
      <c r="Y300" s="13">
        <f t="shared" si="1198"/>
        <v>0.3744242786</v>
      </c>
      <c r="Z300" s="13">
        <f t="shared" si="1199"/>
        <v>0.08851785638</v>
      </c>
      <c r="AA300" s="13">
        <f t="shared" si="1200"/>
        <v>0.2048078828</v>
      </c>
      <c r="AB300" s="39">
        <f t="shared" si="1201"/>
        <v>0.06465664238</v>
      </c>
    </row>
    <row r="301" ht="14.25" customHeight="1">
      <c r="B301" s="31" t="s">
        <v>630</v>
      </c>
      <c r="C301" s="31" t="s">
        <v>907</v>
      </c>
      <c r="D301" s="31" t="s">
        <v>908</v>
      </c>
      <c r="E301" s="31" t="s">
        <v>914</v>
      </c>
      <c r="F301" s="31" t="s">
        <v>915</v>
      </c>
      <c r="G301" s="21" t="s">
        <v>841</v>
      </c>
      <c r="H301" s="30">
        <v>37888.0</v>
      </c>
      <c r="I301" s="21">
        <v>134.3</v>
      </c>
      <c r="J301" s="21" t="s">
        <v>911</v>
      </c>
      <c r="K301" s="12">
        <f t="shared" si="1187"/>
        <v>17.38636576</v>
      </c>
      <c r="L301" s="21">
        <v>0.018</v>
      </c>
      <c r="M301" s="13">
        <f t="shared" si="1188"/>
        <v>0.006988394901</v>
      </c>
      <c r="N301" s="13">
        <f t="shared" si="1189"/>
        <v>0.0136141578</v>
      </c>
      <c r="O301" s="13">
        <f t="shared" si="1190"/>
        <v>0.04895689126</v>
      </c>
      <c r="P301" s="21">
        <v>0.083</v>
      </c>
      <c r="Q301" s="13">
        <f t="shared" si="1191"/>
        <v>0.5898420633</v>
      </c>
      <c r="R301" s="13">
        <f t="shared" si="1192"/>
        <v>0.001295619194</v>
      </c>
      <c r="S301" s="13">
        <f t="shared" si="1193"/>
        <v>0.01511638319</v>
      </c>
      <c r="T301" s="13">
        <f t="shared" si="1194"/>
        <v>0.3650217956</v>
      </c>
      <c r="U301" s="13">
        <f t="shared" si="1195"/>
        <v>12.75149417</v>
      </c>
      <c r="V301" s="13">
        <f t="shared" si="1196"/>
        <v>0</v>
      </c>
      <c r="W301" s="13">
        <f t="shared" si="1197"/>
        <v>0.5044091425</v>
      </c>
      <c r="X301" s="13">
        <v>1.077</v>
      </c>
      <c r="Y301" s="13">
        <f t="shared" si="1198"/>
        <v>0.3744242786</v>
      </c>
      <c r="Z301" s="13">
        <f t="shared" si="1199"/>
        <v>0.08851785638</v>
      </c>
      <c r="AA301" s="13">
        <f t="shared" si="1200"/>
        <v>0.2048078828</v>
      </c>
      <c r="AB301" s="39">
        <f t="shared" si="1201"/>
        <v>0.06465664238</v>
      </c>
    </row>
    <row r="302" ht="14.25" customHeight="1">
      <c r="B302" s="31" t="s">
        <v>630</v>
      </c>
      <c r="C302" s="31" t="s">
        <v>907</v>
      </c>
      <c r="D302" s="31" t="s">
        <v>908</v>
      </c>
      <c r="E302" s="31" t="s">
        <v>916</v>
      </c>
      <c r="F302" s="31" t="s">
        <v>917</v>
      </c>
      <c r="G302" s="21" t="s">
        <v>841</v>
      </c>
      <c r="H302" s="30">
        <v>37888.0</v>
      </c>
      <c r="I302" s="21">
        <v>27.0</v>
      </c>
      <c r="J302" s="21" t="s">
        <v>911</v>
      </c>
      <c r="K302" s="12">
        <f t="shared" si="1187"/>
        <v>17.38636576</v>
      </c>
      <c r="L302" s="21">
        <v>0.018</v>
      </c>
      <c r="M302" s="13">
        <f t="shared" si="1188"/>
        <v>0.006988394901</v>
      </c>
      <c r="N302" s="13">
        <f t="shared" si="1189"/>
        <v>0.0136141578</v>
      </c>
      <c r="O302" s="13">
        <f t="shared" si="1190"/>
        <v>0.04895689126</v>
      </c>
      <c r="P302" s="21">
        <v>0.083</v>
      </c>
      <c r="Q302" s="13">
        <f t="shared" si="1191"/>
        <v>0.5898420633</v>
      </c>
      <c r="R302" s="13">
        <f t="shared" si="1192"/>
        <v>0.001295619194</v>
      </c>
      <c r="S302" s="13">
        <f t="shared" si="1193"/>
        <v>0.01511638319</v>
      </c>
      <c r="T302" s="13">
        <f t="shared" si="1194"/>
        <v>0.3650217956</v>
      </c>
      <c r="U302" s="13">
        <f t="shared" si="1195"/>
        <v>12.75149417</v>
      </c>
      <c r="V302" s="13">
        <f t="shared" si="1196"/>
        <v>0</v>
      </c>
      <c r="W302" s="13">
        <f t="shared" si="1197"/>
        <v>0.5044091425</v>
      </c>
      <c r="X302" s="13">
        <v>1.077</v>
      </c>
      <c r="Y302" s="13">
        <f t="shared" si="1198"/>
        <v>0.3744242786</v>
      </c>
      <c r="Z302" s="13">
        <f t="shared" si="1199"/>
        <v>0.08851785638</v>
      </c>
      <c r="AA302" s="13">
        <f t="shared" si="1200"/>
        <v>0.2048078828</v>
      </c>
      <c r="AB302" s="39">
        <f t="shared" si="1201"/>
        <v>0.06465664238</v>
      </c>
    </row>
    <row r="303" ht="14.25" customHeight="1">
      <c r="B303" s="31" t="s">
        <v>630</v>
      </c>
      <c r="C303" s="31" t="s">
        <v>907</v>
      </c>
      <c r="D303" s="31" t="s">
        <v>908</v>
      </c>
      <c r="E303" s="31" t="s">
        <v>918</v>
      </c>
      <c r="F303" s="31" t="s">
        <v>919</v>
      </c>
      <c r="G303" s="21" t="s">
        <v>841</v>
      </c>
      <c r="H303" s="30">
        <v>37888.0</v>
      </c>
      <c r="I303" s="21">
        <v>87.3</v>
      </c>
      <c r="J303" s="21" t="s">
        <v>911</v>
      </c>
      <c r="K303" s="12">
        <f t="shared" si="1187"/>
        <v>17.38636576</v>
      </c>
      <c r="L303" s="21">
        <v>0.018</v>
      </c>
      <c r="M303" s="13">
        <f t="shared" si="1188"/>
        <v>0.006988394901</v>
      </c>
      <c r="N303" s="13">
        <f t="shared" si="1189"/>
        <v>0.0136141578</v>
      </c>
      <c r="O303" s="13">
        <f t="shared" si="1190"/>
        <v>0.04895689126</v>
      </c>
      <c r="P303" s="21">
        <v>0.083</v>
      </c>
      <c r="Q303" s="13">
        <f t="shared" si="1191"/>
        <v>0.5898420633</v>
      </c>
      <c r="R303" s="13">
        <f t="shared" si="1192"/>
        <v>0.001295619194</v>
      </c>
      <c r="S303" s="13">
        <f t="shared" si="1193"/>
        <v>0.01511638319</v>
      </c>
      <c r="T303" s="13">
        <f t="shared" si="1194"/>
        <v>0.3650217956</v>
      </c>
      <c r="U303" s="13">
        <f t="shared" si="1195"/>
        <v>12.75149417</v>
      </c>
      <c r="V303" s="13">
        <f t="shared" si="1196"/>
        <v>0</v>
      </c>
      <c r="W303" s="13">
        <f t="shared" si="1197"/>
        <v>0.5044091425</v>
      </c>
      <c r="X303" s="13">
        <v>1.077</v>
      </c>
      <c r="Y303" s="13">
        <f t="shared" si="1198"/>
        <v>0.3744242786</v>
      </c>
      <c r="Z303" s="13">
        <f t="shared" si="1199"/>
        <v>0.08851785638</v>
      </c>
      <c r="AA303" s="13">
        <f t="shared" si="1200"/>
        <v>0.2048078828</v>
      </c>
      <c r="AB303" s="39">
        <f t="shared" si="1201"/>
        <v>0.06465664238</v>
      </c>
    </row>
    <row r="304" ht="14.25" customHeight="1">
      <c r="B304" s="31" t="s">
        <v>630</v>
      </c>
      <c r="C304" s="31" t="s">
        <v>920</v>
      </c>
      <c r="D304" s="31" t="s">
        <v>921</v>
      </c>
      <c r="E304" s="31" t="s">
        <v>922</v>
      </c>
      <c r="F304" s="31" t="s">
        <v>923</v>
      </c>
      <c r="G304" s="21" t="s">
        <v>841</v>
      </c>
      <c r="H304" s="30">
        <v>38286.0</v>
      </c>
      <c r="I304" s="32">
        <v>1228.5</v>
      </c>
      <c r="J304" s="21" t="s">
        <v>740</v>
      </c>
      <c r="K304" s="12">
        <f t="shared" ref="K304:K308" si="1202">(0.008+0.061)/0.0029439202887759</f>
        <v>23.43813461</v>
      </c>
      <c r="L304" s="21">
        <v>0.011</v>
      </c>
      <c r="M304" s="13">
        <f t="shared" ref="M304:M308" si="1203">(10271.9/4)/654164</f>
        <v>0.003925582881</v>
      </c>
      <c r="N304" s="13">
        <f t="shared" ref="N304:N308" si="1204">(10271.9/4)/258860</f>
        <v>0.009920323727</v>
      </c>
      <c r="O304" s="13">
        <f t="shared" ref="O304:O308" si="1205">25992/698581</f>
        <v>0.03720685218</v>
      </c>
      <c r="P304" s="21">
        <v>0.072</v>
      </c>
      <c r="Q304" s="13">
        <f t="shared" ref="Q304:Q308" si="1206">(25992/0.072)/698581</f>
        <v>0.5167618358</v>
      </c>
      <c r="R304" s="13">
        <f t="shared" ref="R304:R308" si="1207">395/397219       </f>
        <v>0.000994413661</v>
      </c>
      <c r="S304" s="13">
        <f t="shared" ref="S304:S308" si="1208">10205/698581</f>
        <v>0.01460818431</v>
      </c>
      <c r="T304" s="13">
        <f t="shared" ref="T304:T308" si="1209">240669/698581</f>
        <v>0.3445112306</v>
      </c>
      <c r="U304" s="13">
        <f t="shared" ref="U304:U308" si="1210">ln(664486.3)</f>
        <v>13.40676954</v>
      </c>
      <c r="V304" s="13">
        <f t="shared" ref="V304:V308" si="1211">127396.5/(664486.3)</f>
        <v>0.1917217857</v>
      </c>
      <c r="W304" s="13">
        <f t="shared" ref="W304:W308" si="1212">392427.6/(664486.3)</f>
        <v>0.5905728982</v>
      </c>
      <c r="X304" s="13">
        <v>1.492</v>
      </c>
      <c r="Y304" s="13">
        <f t="shared" ref="Y304:Y308" si="1213">321196/(664486.3)</f>
        <v>0.4833749018</v>
      </c>
      <c r="Z304" s="13">
        <f t="shared" ref="Z304:Z308" si="1214">38624.5/(664486.3)</f>
        <v>0.05812685679</v>
      </c>
      <c r="AA304" s="13">
        <f t="shared" ref="AA304:AA308" si="1215">664486.3/2484833.1</f>
        <v>0.267416874</v>
      </c>
      <c r="AB304" s="13">
        <f t="shared" ref="AB304:AB308" si="1216">(671.35-708.39)/708.39</f>
        <v>-0.0522875817</v>
      </c>
    </row>
    <row r="305" ht="14.25" customHeight="1">
      <c r="B305" s="31" t="s">
        <v>630</v>
      </c>
      <c r="C305" s="31" t="s">
        <v>920</v>
      </c>
      <c r="D305" s="31" t="s">
        <v>921</v>
      </c>
      <c r="E305" s="31" t="s">
        <v>924</v>
      </c>
      <c r="F305" s="31" t="s">
        <v>925</v>
      </c>
      <c r="G305" s="21" t="s">
        <v>841</v>
      </c>
      <c r="H305" s="30">
        <v>38286.0</v>
      </c>
      <c r="I305" s="21">
        <v>373.5</v>
      </c>
      <c r="J305" s="21" t="s">
        <v>740</v>
      </c>
      <c r="K305" s="12">
        <f t="shared" si="1202"/>
        <v>23.43813461</v>
      </c>
      <c r="L305" s="21">
        <v>0.011</v>
      </c>
      <c r="M305" s="13">
        <f t="shared" si="1203"/>
        <v>0.003925582881</v>
      </c>
      <c r="N305" s="13">
        <f t="shared" si="1204"/>
        <v>0.009920323727</v>
      </c>
      <c r="O305" s="13">
        <f t="shared" si="1205"/>
        <v>0.03720685218</v>
      </c>
      <c r="P305" s="21">
        <v>0.072</v>
      </c>
      <c r="Q305" s="13">
        <f t="shared" si="1206"/>
        <v>0.5167618358</v>
      </c>
      <c r="R305" s="13">
        <f t="shared" si="1207"/>
        <v>0.000994413661</v>
      </c>
      <c r="S305" s="13">
        <f t="shared" si="1208"/>
        <v>0.01460818431</v>
      </c>
      <c r="T305" s="13">
        <f t="shared" si="1209"/>
        <v>0.3445112306</v>
      </c>
      <c r="U305" s="13">
        <f t="shared" si="1210"/>
        <v>13.40676954</v>
      </c>
      <c r="V305" s="13">
        <f t="shared" si="1211"/>
        <v>0.1917217857</v>
      </c>
      <c r="W305" s="13">
        <f t="shared" si="1212"/>
        <v>0.5905728982</v>
      </c>
      <c r="X305" s="13">
        <v>1.492</v>
      </c>
      <c r="Y305" s="13">
        <f t="shared" si="1213"/>
        <v>0.4833749018</v>
      </c>
      <c r="Z305" s="13">
        <f t="shared" si="1214"/>
        <v>0.05812685679</v>
      </c>
      <c r="AA305" s="13">
        <f t="shared" si="1215"/>
        <v>0.267416874</v>
      </c>
      <c r="AB305" s="13">
        <f t="shared" si="1216"/>
        <v>-0.0522875817</v>
      </c>
    </row>
    <row r="306" ht="14.25" customHeight="1">
      <c r="B306" s="31" t="s">
        <v>630</v>
      </c>
      <c r="C306" s="31" t="s">
        <v>920</v>
      </c>
      <c r="D306" s="31" t="s">
        <v>921</v>
      </c>
      <c r="E306" s="31" t="s">
        <v>926</v>
      </c>
      <c r="F306" s="31" t="s">
        <v>927</v>
      </c>
      <c r="G306" s="21" t="s">
        <v>841</v>
      </c>
      <c r="H306" s="30">
        <v>38286.0</v>
      </c>
      <c r="I306" s="21">
        <v>81.0</v>
      </c>
      <c r="J306" s="21" t="s">
        <v>740</v>
      </c>
      <c r="K306" s="12">
        <f t="shared" si="1202"/>
        <v>23.43813461</v>
      </c>
      <c r="L306" s="21">
        <v>0.011</v>
      </c>
      <c r="M306" s="13">
        <f t="shared" si="1203"/>
        <v>0.003925582881</v>
      </c>
      <c r="N306" s="13">
        <f t="shared" si="1204"/>
        <v>0.009920323727</v>
      </c>
      <c r="O306" s="13">
        <f t="shared" si="1205"/>
        <v>0.03720685218</v>
      </c>
      <c r="P306" s="21">
        <v>0.072</v>
      </c>
      <c r="Q306" s="13">
        <f t="shared" si="1206"/>
        <v>0.5167618358</v>
      </c>
      <c r="R306" s="13">
        <f t="shared" si="1207"/>
        <v>0.000994413661</v>
      </c>
      <c r="S306" s="13">
        <f t="shared" si="1208"/>
        <v>0.01460818431</v>
      </c>
      <c r="T306" s="13">
        <f t="shared" si="1209"/>
        <v>0.3445112306</v>
      </c>
      <c r="U306" s="13">
        <f t="shared" si="1210"/>
        <v>13.40676954</v>
      </c>
      <c r="V306" s="13">
        <f t="shared" si="1211"/>
        <v>0.1917217857</v>
      </c>
      <c r="W306" s="13">
        <f t="shared" si="1212"/>
        <v>0.5905728982</v>
      </c>
      <c r="X306" s="13">
        <v>1.492</v>
      </c>
      <c r="Y306" s="13">
        <f t="shared" si="1213"/>
        <v>0.4833749018</v>
      </c>
      <c r="Z306" s="13">
        <f t="shared" si="1214"/>
        <v>0.05812685679</v>
      </c>
      <c r="AA306" s="13">
        <f t="shared" si="1215"/>
        <v>0.267416874</v>
      </c>
      <c r="AB306" s="13">
        <f t="shared" si="1216"/>
        <v>-0.0522875817</v>
      </c>
    </row>
    <row r="307" ht="14.25" customHeight="1">
      <c r="B307" s="31" t="s">
        <v>630</v>
      </c>
      <c r="C307" s="31" t="s">
        <v>920</v>
      </c>
      <c r="D307" s="31" t="s">
        <v>921</v>
      </c>
      <c r="E307" s="31" t="s">
        <v>928</v>
      </c>
      <c r="F307" s="31" t="s">
        <v>929</v>
      </c>
      <c r="G307" s="21" t="s">
        <v>841</v>
      </c>
      <c r="H307" s="30">
        <v>38286.0</v>
      </c>
      <c r="I307" s="21">
        <v>58.5</v>
      </c>
      <c r="J307" s="21" t="s">
        <v>740</v>
      </c>
      <c r="K307" s="12">
        <f t="shared" si="1202"/>
        <v>23.43813461</v>
      </c>
      <c r="L307" s="21">
        <v>0.011</v>
      </c>
      <c r="M307" s="13">
        <f t="shared" si="1203"/>
        <v>0.003925582881</v>
      </c>
      <c r="N307" s="13">
        <f t="shared" si="1204"/>
        <v>0.009920323727</v>
      </c>
      <c r="O307" s="13">
        <f t="shared" si="1205"/>
        <v>0.03720685218</v>
      </c>
      <c r="P307" s="21">
        <v>0.072</v>
      </c>
      <c r="Q307" s="13">
        <f t="shared" si="1206"/>
        <v>0.5167618358</v>
      </c>
      <c r="R307" s="13">
        <f t="shared" si="1207"/>
        <v>0.000994413661</v>
      </c>
      <c r="S307" s="13">
        <f t="shared" si="1208"/>
        <v>0.01460818431</v>
      </c>
      <c r="T307" s="13">
        <f t="shared" si="1209"/>
        <v>0.3445112306</v>
      </c>
      <c r="U307" s="13">
        <f t="shared" si="1210"/>
        <v>13.40676954</v>
      </c>
      <c r="V307" s="13">
        <f t="shared" si="1211"/>
        <v>0.1917217857</v>
      </c>
      <c r="W307" s="13">
        <f t="shared" si="1212"/>
        <v>0.5905728982</v>
      </c>
      <c r="X307" s="13">
        <v>1.492</v>
      </c>
      <c r="Y307" s="13">
        <f t="shared" si="1213"/>
        <v>0.4833749018</v>
      </c>
      <c r="Z307" s="13">
        <f t="shared" si="1214"/>
        <v>0.05812685679</v>
      </c>
      <c r="AA307" s="13">
        <f t="shared" si="1215"/>
        <v>0.267416874</v>
      </c>
      <c r="AB307" s="13">
        <f t="shared" si="1216"/>
        <v>-0.0522875817</v>
      </c>
    </row>
    <row r="308" ht="14.25" customHeight="1">
      <c r="B308" s="31" t="s">
        <v>630</v>
      </c>
      <c r="C308" s="31" t="s">
        <v>920</v>
      </c>
      <c r="D308" s="31" t="s">
        <v>921</v>
      </c>
      <c r="E308" s="31" t="s">
        <v>930</v>
      </c>
      <c r="F308" s="31" t="s">
        <v>931</v>
      </c>
      <c r="G308" s="21" t="s">
        <v>841</v>
      </c>
      <c r="H308" s="30">
        <v>38286.0</v>
      </c>
      <c r="I308" s="21">
        <v>58.5</v>
      </c>
      <c r="J308" s="21" t="s">
        <v>740</v>
      </c>
      <c r="K308" s="12">
        <f t="shared" si="1202"/>
        <v>23.43813461</v>
      </c>
      <c r="L308" s="21">
        <v>0.011</v>
      </c>
      <c r="M308" s="13">
        <f t="shared" si="1203"/>
        <v>0.003925582881</v>
      </c>
      <c r="N308" s="13">
        <f t="shared" si="1204"/>
        <v>0.009920323727</v>
      </c>
      <c r="O308" s="13">
        <f t="shared" si="1205"/>
        <v>0.03720685218</v>
      </c>
      <c r="P308" s="21">
        <v>0.072</v>
      </c>
      <c r="Q308" s="13">
        <f t="shared" si="1206"/>
        <v>0.5167618358</v>
      </c>
      <c r="R308" s="13">
        <f t="shared" si="1207"/>
        <v>0.000994413661</v>
      </c>
      <c r="S308" s="13">
        <f t="shared" si="1208"/>
        <v>0.01460818431</v>
      </c>
      <c r="T308" s="13">
        <f t="shared" si="1209"/>
        <v>0.3445112306</v>
      </c>
      <c r="U308" s="13">
        <f t="shared" si="1210"/>
        <v>13.40676954</v>
      </c>
      <c r="V308" s="13">
        <f t="shared" si="1211"/>
        <v>0.1917217857</v>
      </c>
      <c r="W308" s="13">
        <f t="shared" si="1212"/>
        <v>0.5905728982</v>
      </c>
      <c r="X308" s="13">
        <v>1.492</v>
      </c>
      <c r="Y308" s="13">
        <f t="shared" si="1213"/>
        <v>0.4833749018</v>
      </c>
      <c r="Z308" s="13">
        <f t="shared" si="1214"/>
        <v>0.05812685679</v>
      </c>
      <c r="AA308" s="13">
        <f t="shared" si="1215"/>
        <v>0.267416874</v>
      </c>
      <c r="AB308" s="13">
        <f t="shared" si="1216"/>
        <v>-0.0522875817</v>
      </c>
    </row>
    <row r="309" ht="14.25" customHeight="1">
      <c r="B309" s="31" t="s">
        <v>630</v>
      </c>
      <c r="C309" s="31" t="s">
        <v>932</v>
      </c>
      <c r="D309" s="31" t="s">
        <v>933</v>
      </c>
      <c r="E309" s="31" t="s">
        <v>934</v>
      </c>
      <c r="F309" s="31" t="s">
        <v>935</v>
      </c>
      <c r="G309" s="21" t="s">
        <v>824</v>
      </c>
      <c r="H309" s="30">
        <v>39044.0</v>
      </c>
      <c r="I309" s="21">
        <v>400.0</v>
      </c>
      <c r="J309" s="21" t="s">
        <v>762</v>
      </c>
      <c r="K309" s="12">
        <f t="shared" ref="K309:K312" si="1217">(0.007+0.043)/0.00057735026918963</f>
        <v>86.60254038</v>
      </c>
      <c r="L309" s="21">
        <v>0.004</v>
      </c>
      <c r="M309" s="13">
        <f t="shared" ref="M309:M312" si="1218">696.928/97994.784</f>
        <v>0.007111888731</v>
      </c>
      <c r="N309" s="13">
        <f t="shared" ref="N309:N312" si="1219">696.928/44528.374</f>
        <v>0.01565132381</v>
      </c>
      <c r="O309" s="13">
        <f t="shared" ref="O309:O312" si="1220">4842.036/102544.439</f>
        <v>0.0472189038</v>
      </c>
      <c r="P309" s="21">
        <v>0.073</v>
      </c>
      <c r="Q309" s="13">
        <f t="shared" ref="Q309:Q312" si="1221">(4842.036/0.073)/102544.439</f>
        <v>0.6468342986</v>
      </c>
      <c r="R309" s="13">
        <f t="shared" ref="R309:R312" si="1222">15.355/85254.13</f>
        <v>0.0001801085766</v>
      </c>
      <c r="S309" s="13">
        <f t="shared" ref="S309:S312" si="1223">475.041/102544.439</f>
        <v>0.004632537899</v>
      </c>
      <c r="T309" s="13">
        <f t="shared" ref="T309:T312" si="1224">13355.186/102544.439</f>
        <v>0.1302380327</v>
      </c>
      <c r="U309" s="13">
        <f t="shared" ref="U309:U312" si="1225">ln(105347.608)</f>
        <v>11.56502071</v>
      </c>
      <c r="V309" s="13">
        <f t="shared" ref="V309:V312" si="1226">5713.458/(105347.608)</f>
        <v>0.05423434009</v>
      </c>
      <c r="W309" s="13">
        <f t="shared" ref="W309:W312" si="1227">85590.146/(105347.608)</f>
        <v>0.8124545742</v>
      </c>
      <c r="X309" s="13">
        <v>1.915</v>
      </c>
      <c r="Y309" s="13">
        <f t="shared" ref="Y309:Y312" si="1228">37225.778/(105347.608)</f>
        <v>0.3533613976</v>
      </c>
      <c r="Z309" s="13">
        <f t="shared" ref="Z309:Z312" si="1229">4372.242/(105347.608)</f>
        <v>0.04150300214</v>
      </c>
      <c r="AA309" s="13">
        <f t="shared" ref="AA309:AA312" si="1230">105347.608/3083408</f>
        <v>0.03416596441</v>
      </c>
      <c r="AB309" s="13">
        <f t="shared" ref="AB309:AB312" si="1231">(727.62-765.56)/765.56</f>
        <v>-0.04955849313</v>
      </c>
    </row>
    <row r="310" ht="14.25" customHeight="1">
      <c r="B310" s="31" t="s">
        <v>630</v>
      </c>
      <c r="C310" s="31" t="s">
        <v>932</v>
      </c>
      <c r="D310" s="31" t="s">
        <v>933</v>
      </c>
      <c r="E310" s="31" t="s">
        <v>936</v>
      </c>
      <c r="F310" s="31" t="s">
        <v>937</v>
      </c>
      <c r="G310" s="21" t="s">
        <v>824</v>
      </c>
      <c r="H310" s="30">
        <v>39044.0</v>
      </c>
      <c r="I310" s="21">
        <v>541.7</v>
      </c>
      <c r="J310" s="21" t="s">
        <v>762</v>
      </c>
      <c r="K310" s="12">
        <f t="shared" si="1217"/>
        <v>86.60254038</v>
      </c>
      <c r="L310" s="21">
        <v>0.004</v>
      </c>
      <c r="M310" s="13">
        <f t="shared" si="1218"/>
        <v>0.007111888731</v>
      </c>
      <c r="N310" s="13">
        <f t="shared" si="1219"/>
        <v>0.01565132381</v>
      </c>
      <c r="O310" s="13">
        <f t="shared" si="1220"/>
        <v>0.0472189038</v>
      </c>
      <c r="P310" s="21">
        <v>0.073</v>
      </c>
      <c r="Q310" s="13">
        <f t="shared" si="1221"/>
        <v>0.6468342986</v>
      </c>
      <c r="R310" s="13">
        <f t="shared" si="1222"/>
        <v>0.0001801085766</v>
      </c>
      <c r="S310" s="13">
        <f t="shared" si="1223"/>
        <v>0.004632537899</v>
      </c>
      <c r="T310" s="13">
        <f t="shared" si="1224"/>
        <v>0.1302380327</v>
      </c>
      <c r="U310" s="13">
        <f t="shared" si="1225"/>
        <v>11.56502071</v>
      </c>
      <c r="V310" s="13">
        <f t="shared" si="1226"/>
        <v>0.05423434009</v>
      </c>
      <c r="W310" s="13">
        <f t="shared" si="1227"/>
        <v>0.8124545742</v>
      </c>
      <c r="X310" s="13">
        <v>1.915</v>
      </c>
      <c r="Y310" s="13">
        <f t="shared" si="1228"/>
        <v>0.3533613976</v>
      </c>
      <c r="Z310" s="13">
        <f t="shared" si="1229"/>
        <v>0.04150300214</v>
      </c>
      <c r="AA310" s="13">
        <f t="shared" si="1230"/>
        <v>0.03416596441</v>
      </c>
      <c r="AB310" s="13">
        <f t="shared" si="1231"/>
        <v>-0.04955849313</v>
      </c>
    </row>
    <row r="311" ht="14.25" customHeight="1">
      <c r="B311" s="31" t="s">
        <v>630</v>
      </c>
      <c r="C311" s="31" t="s">
        <v>932</v>
      </c>
      <c r="D311" s="31" t="s">
        <v>933</v>
      </c>
      <c r="E311" s="31" t="s">
        <v>938</v>
      </c>
      <c r="F311" s="31" t="s">
        <v>939</v>
      </c>
      <c r="G311" s="21" t="s">
        <v>824</v>
      </c>
      <c r="H311" s="30">
        <v>39044.0</v>
      </c>
      <c r="I311" s="21">
        <v>24.3</v>
      </c>
      <c r="J311" s="21" t="s">
        <v>762</v>
      </c>
      <c r="K311" s="12">
        <f t="shared" si="1217"/>
        <v>86.60254038</v>
      </c>
      <c r="L311" s="21">
        <v>0.004</v>
      </c>
      <c r="M311" s="13">
        <f t="shared" si="1218"/>
        <v>0.007111888731</v>
      </c>
      <c r="N311" s="13">
        <f t="shared" si="1219"/>
        <v>0.01565132381</v>
      </c>
      <c r="O311" s="13">
        <f t="shared" si="1220"/>
        <v>0.0472189038</v>
      </c>
      <c r="P311" s="21">
        <v>0.073</v>
      </c>
      <c r="Q311" s="13">
        <f t="shared" si="1221"/>
        <v>0.6468342986</v>
      </c>
      <c r="R311" s="13">
        <f t="shared" si="1222"/>
        <v>0.0001801085766</v>
      </c>
      <c r="S311" s="13">
        <f t="shared" si="1223"/>
        <v>0.004632537899</v>
      </c>
      <c r="T311" s="13">
        <f t="shared" si="1224"/>
        <v>0.1302380327</v>
      </c>
      <c r="U311" s="13">
        <f t="shared" si="1225"/>
        <v>11.56502071</v>
      </c>
      <c r="V311" s="13">
        <f t="shared" si="1226"/>
        <v>0.05423434009</v>
      </c>
      <c r="W311" s="13">
        <f t="shared" si="1227"/>
        <v>0.8124545742</v>
      </c>
      <c r="X311" s="13">
        <v>1.915</v>
      </c>
      <c r="Y311" s="13">
        <f t="shared" si="1228"/>
        <v>0.3533613976</v>
      </c>
      <c r="Z311" s="13">
        <f t="shared" si="1229"/>
        <v>0.04150300214</v>
      </c>
      <c r="AA311" s="13">
        <f t="shared" si="1230"/>
        <v>0.03416596441</v>
      </c>
      <c r="AB311" s="13">
        <f t="shared" si="1231"/>
        <v>-0.04955849313</v>
      </c>
    </row>
    <row r="312" ht="14.25" customHeight="1">
      <c r="B312" s="31" t="s">
        <v>630</v>
      </c>
      <c r="C312" s="31" t="s">
        <v>932</v>
      </c>
      <c r="D312" s="31" t="s">
        <v>933</v>
      </c>
      <c r="E312" s="31" t="s">
        <v>940</v>
      </c>
      <c r="F312" s="31" t="s">
        <v>941</v>
      </c>
      <c r="G312" s="21" t="s">
        <v>824</v>
      </c>
      <c r="H312" s="30">
        <v>39044.0</v>
      </c>
      <c r="I312" s="21">
        <v>34.0</v>
      </c>
      <c r="J312" s="21" t="s">
        <v>762</v>
      </c>
      <c r="K312" s="12">
        <f t="shared" si="1217"/>
        <v>86.60254038</v>
      </c>
      <c r="L312" s="21">
        <v>0.004</v>
      </c>
      <c r="M312" s="13">
        <f t="shared" si="1218"/>
        <v>0.007111888731</v>
      </c>
      <c r="N312" s="13">
        <f t="shared" si="1219"/>
        <v>0.01565132381</v>
      </c>
      <c r="O312" s="13">
        <f t="shared" si="1220"/>
        <v>0.0472189038</v>
      </c>
      <c r="P312" s="21">
        <v>0.073</v>
      </c>
      <c r="Q312" s="13">
        <f t="shared" si="1221"/>
        <v>0.6468342986</v>
      </c>
      <c r="R312" s="13">
        <f t="shared" si="1222"/>
        <v>0.0001801085766</v>
      </c>
      <c r="S312" s="13">
        <f t="shared" si="1223"/>
        <v>0.004632537899</v>
      </c>
      <c r="T312" s="13">
        <f t="shared" si="1224"/>
        <v>0.1302380327</v>
      </c>
      <c r="U312" s="13">
        <f t="shared" si="1225"/>
        <v>11.56502071</v>
      </c>
      <c r="V312" s="13">
        <f t="shared" si="1226"/>
        <v>0.05423434009</v>
      </c>
      <c r="W312" s="13">
        <f t="shared" si="1227"/>
        <v>0.8124545742</v>
      </c>
      <c r="X312" s="13">
        <v>1.915</v>
      </c>
      <c r="Y312" s="13">
        <f t="shared" si="1228"/>
        <v>0.3533613976</v>
      </c>
      <c r="Z312" s="13">
        <f t="shared" si="1229"/>
        <v>0.04150300214</v>
      </c>
      <c r="AA312" s="13">
        <f t="shared" si="1230"/>
        <v>0.03416596441</v>
      </c>
      <c r="AB312" s="13">
        <f t="shared" si="1231"/>
        <v>-0.04955849313</v>
      </c>
    </row>
    <row r="313" ht="14.25" customHeight="1">
      <c r="B313" s="31" t="s">
        <v>630</v>
      </c>
      <c r="C313" s="31" t="s">
        <v>942</v>
      </c>
      <c r="D313" s="31" t="s">
        <v>943</v>
      </c>
      <c r="E313" s="31" t="s">
        <v>944</v>
      </c>
      <c r="F313" s="31" t="s">
        <v>945</v>
      </c>
      <c r="G313" s="21" t="s">
        <v>841</v>
      </c>
      <c r="H313" s="30">
        <v>41107.0</v>
      </c>
      <c r="I313" s="32">
        <v>1303.1</v>
      </c>
      <c r="J313" s="21" t="s">
        <v>49</v>
      </c>
      <c r="K313" s="12">
        <f t="shared" ref="K313:K315" si="1232">(0.002+0.064)/0.0023804761428476</f>
        <v>27.72554566</v>
      </c>
      <c r="L313" s="21">
        <v>0.049</v>
      </c>
      <c r="M313" s="13">
        <f t="shared" ref="M313:M315" si="1233">(28868/4)/1188325</f>
        <v>0.006073254371</v>
      </c>
      <c r="N313" s="13">
        <f t="shared" ref="N313:N315" si="1234">(28868/4)/662791</f>
        <v>0.01088880205</v>
      </c>
      <c r="O313" s="13">
        <f t="shared" ref="O313:O315" si="1235">62234/1269600</f>
        <v>0.04901858853</v>
      </c>
      <c r="P313" s="21">
        <f t="shared" ref="P313:P315" si="1236">0.112</f>
        <v>0.112</v>
      </c>
      <c r="Q313" s="13">
        <f t="shared" ref="Q313:Q315" si="1237">(62234/0.112)/1269600</f>
        <v>0.437665969</v>
      </c>
      <c r="R313" s="13">
        <f t="shared" ref="R313:R318" si="1238">2829/696904</f>
        <v>0.004059382641</v>
      </c>
      <c r="S313" s="13">
        <f t="shared" ref="S313:S315" si="1239">7214/1269600</f>
        <v>0.0056821046</v>
      </c>
      <c r="T313" s="13">
        <f t="shared" ref="T313:T315" si="1240">374047/1269600</f>
        <v>0.2946179899</v>
      </c>
      <c r="U313" s="13">
        <f t="shared" ref="U313:U315" si="1241">ln(1300632)</f>
        <v>14.07836086</v>
      </c>
      <c r="V313" s="13">
        <f t="shared" ref="V313:V315" si="1242">215515/(1300632)</f>
        <v>0.1657002134</v>
      </c>
      <c r="W313" s="13">
        <f t="shared" ref="W313:W315" si="1243">741948/(1300632)</f>
        <v>0.5704519034</v>
      </c>
      <c r="X313" s="13">
        <v>1.088</v>
      </c>
      <c r="Y313" s="13">
        <f t="shared" ref="Y313:Y315" si="1244">757950/(1300632)</f>
        <v>0.5827551529</v>
      </c>
      <c r="Z313" s="13">
        <f t="shared" ref="Z313:Z315" si="1245">84362/(1300632)</f>
        <v>0.06486231309</v>
      </c>
      <c r="AA313" s="13">
        <f t="shared" ref="AA313:AA315" si="1246">1300632/3423000</f>
        <v>0.3799684487</v>
      </c>
      <c r="AB313" s="13">
        <f t="shared" ref="AB313:AB315" si="1247">(720.71-700.72)/700.72</f>
        <v>0.02852779998</v>
      </c>
    </row>
    <row r="314" ht="14.25" customHeight="1">
      <c r="B314" s="31" t="s">
        <v>630</v>
      </c>
      <c r="C314" s="31" t="s">
        <v>942</v>
      </c>
      <c r="D314" s="31" t="s">
        <v>943</v>
      </c>
      <c r="E314" s="31" t="s">
        <v>946</v>
      </c>
      <c r="F314" s="31" t="s">
        <v>947</v>
      </c>
      <c r="G314" s="21" t="s">
        <v>841</v>
      </c>
      <c r="H314" s="30">
        <v>41107.0</v>
      </c>
      <c r="I314" s="21">
        <v>266.9</v>
      </c>
      <c r="J314" s="21" t="s">
        <v>49</v>
      </c>
      <c r="K314" s="12">
        <f t="shared" si="1232"/>
        <v>27.72554566</v>
      </c>
      <c r="L314" s="21">
        <v>0.049</v>
      </c>
      <c r="M314" s="13">
        <f t="shared" si="1233"/>
        <v>0.006073254371</v>
      </c>
      <c r="N314" s="13">
        <f t="shared" si="1234"/>
        <v>0.01088880205</v>
      </c>
      <c r="O314" s="13">
        <f t="shared" si="1235"/>
        <v>0.04901858853</v>
      </c>
      <c r="P314" s="21">
        <f t="shared" si="1236"/>
        <v>0.112</v>
      </c>
      <c r="Q314" s="13">
        <f t="shared" si="1237"/>
        <v>0.437665969</v>
      </c>
      <c r="R314" s="13">
        <f t="shared" si="1238"/>
        <v>0.004059382641</v>
      </c>
      <c r="S314" s="13">
        <f t="shared" si="1239"/>
        <v>0.0056821046</v>
      </c>
      <c r="T314" s="13">
        <f t="shared" si="1240"/>
        <v>0.2946179899</v>
      </c>
      <c r="U314" s="13">
        <f t="shared" si="1241"/>
        <v>14.07836086</v>
      </c>
      <c r="V314" s="13">
        <f t="shared" si="1242"/>
        <v>0.1657002134</v>
      </c>
      <c r="W314" s="13">
        <f t="shared" si="1243"/>
        <v>0.5704519034</v>
      </c>
      <c r="X314" s="13">
        <v>1.088</v>
      </c>
      <c r="Y314" s="13">
        <f t="shared" si="1244"/>
        <v>0.5827551529</v>
      </c>
      <c r="Z314" s="13">
        <f t="shared" si="1245"/>
        <v>0.06486231309</v>
      </c>
      <c r="AA314" s="13">
        <f t="shared" si="1246"/>
        <v>0.3799684487</v>
      </c>
      <c r="AB314" s="13">
        <f t="shared" si="1247"/>
        <v>0.02852779998</v>
      </c>
    </row>
    <row r="315" ht="14.25" customHeight="1">
      <c r="B315" s="31" t="s">
        <v>630</v>
      </c>
      <c r="C315" s="31" t="s">
        <v>942</v>
      </c>
      <c r="D315" s="31" t="s">
        <v>943</v>
      </c>
      <c r="E315" s="31" t="s">
        <v>948</v>
      </c>
      <c r="F315" s="31" t="s">
        <v>949</v>
      </c>
      <c r="G315" s="21" t="s">
        <v>841</v>
      </c>
      <c r="H315" s="30">
        <v>41107.0</v>
      </c>
      <c r="I315" s="21">
        <v>314.0</v>
      </c>
      <c r="J315" s="21" t="s">
        <v>49</v>
      </c>
      <c r="K315" s="12">
        <f t="shared" si="1232"/>
        <v>27.72554566</v>
      </c>
      <c r="L315" s="21">
        <v>0.049</v>
      </c>
      <c r="M315" s="13">
        <f t="shared" si="1233"/>
        <v>0.006073254371</v>
      </c>
      <c r="N315" s="13">
        <f t="shared" si="1234"/>
        <v>0.01088880205</v>
      </c>
      <c r="O315" s="13">
        <f t="shared" si="1235"/>
        <v>0.04901858853</v>
      </c>
      <c r="P315" s="21">
        <f t="shared" si="1236"/>
        <v>0.112</v>
      </c>
      <c r="Q315" s="13">
        <f t="shared" si="1237"/>
        <v>0.437665969</v>
      </c>
      <c r="R315" s="13">
        <f t="shared" si="1238"/>
        <v>0.004059382641</v>
      </c>
      <c r="S315" s="13">
        <f t="shared" si="1239"/>
        <v>0.0056821046</v>
      </c>
      <c r="T315" s="13">
        <f t="shared" si="1240"/>
        <v>0.2946179899</v>
      </c>
      <c r="U315" s="13">
        <f t="shared" si="1241"/>
        <v>14.07836086</v>
      </c>
      <c r="V315" s="13">
        <f t="shared" si="1242"/>
        <v>0.1657002134</v>
      </c>
      <c r="W315" s="13">
        <f t="shared" si="1243"/>
        <v>0.5704519034</v>
      </c>
      <c r="X315" s="13">
        <v>1.088</v>
      </c>
      <c r="Y315" s="13">
        <f t="shared" si="1244"/>
        <v>0.5827551529</v>
      </c>
      <c r="Z315" s="13">
        <f t="shared" si="1245"/>
        <v>0.06486231309</v>
      </c>
      <c r="AA315" s="13">
        <f t="shared" si="1246"/>
        <v>0.3799684487</v>
      </c>
      <c r="AB315" s="13">
        <f t="shared" si="1247"/>
        <v>0.02852779998</v>
      </c>
    </row>
    <row r="316" ht="14.25" customHeight="1">
      <c r="B316" s="31" t="s">
        <v>630</v>
      </c>
      <c r="C316" s="31" t="s">
        <v>950</v>
      </c>
      <c r="D316" s="31" t="s">
        <v>951</v>
      </c>
      <c r="E316" s="31" t="s">
        <v>952</v>
      </c>
      <c r="F316" s="31" t="s">
        <v>953</v>
      </c>
      <c r="G316" s="21" t="s">
        <v>841</v>
      </c>
      <c r="H316" s="30">
        <v>41226.0</v>
      </c>
      <c r="I316" s="32">
        <v>2252.5</v>
      </c>
      <c r="J316" s="21" t="s">
        <v>339</v>
      </c>
      <c r="K316" s="12">
        <f t="shared" ref="K316:K318" si="1248">(0.005+0.065)/0.0018929694486001</f>
        <v>36.97893807</v>
      </c>
      <c r="L316" s="21">
        <v>0.055</v>
      </c>
      <c r="M316" s="13">
        <f t="shared" ref="M316:M318" si="1249">6574/1197157</f>
        <v>0.005491343241</v>
      </c>
      <c r="N316" s="13">
        <f t="shared" ref="N316:N318" si="1250">6574/765701</f>
        <v>0.008585596728</v>
      </c>
      <c r="O316" s="13">
        <f t="shared" ref="O316:O318" si="1251">65313/1281698</f>
        <v>0.05095818204</v>
      </c>
      <c r="P316" s="21">
        <v>0.115</v>
      </c>
      <c r="Q316" s="13">
        <f t="shared" ref="Q316:Q318" si="1252">(65313/0.115)/1281698</f>
        <v>0.4431146264</v>
      </c>
      <c r="R316" s="13">
        <f t="shared" si="1238"/>
        <v>0.004059382641</v>
      </c>
      <c r="S316" s="13">
        <f t="shared" ref="S316:S318" si="1253">79202/1281698</f>
        <v>0.06179458812</v>
      </c>
      <c r="T316" s="13">
        <f t="shared" ref="T316:T318" si="1254">411044/1281698</f>
        <v>0.3207026928</v>
      </c>
      <c r="U316" s="13">
        <f t="shared" ref="U316:U318" si="1255">ln(1269600)</f>
        <v>14.05421245</v>
      </c>
      <c r="V316" s="13">
        <f t="shared" ref="V316:V318" si="1256">202063/(1269600)</f>
        <v>0.1591548519</v>
      </c>
      <c r="W316" s="13">
        <f t="shared" ref="W316:W318" si="1257">721436/(1269600)</f>
        <v>0.5682388154</v>
      </c>
      <c r="X316" s="13">
        <v>0.91</v>
      </c>
      <c r="Y316" s="13">
        <f t="shared" ref="Y316:Y318" si="1258">662791/(1269600)</f>
        <v>0.5220471014</v>
      </c>
      <c r="Z316" s="13">
        <f t="shared" ref="Z316:Z318" si="1259">81275/(1269600)</f>
        <v>0.06401622558</v>
      </c>
      <c r="AA316" s="13">
        <f t="shared" ref="AA316:AA318" si="1260">1269600/3423000</f>
        <v>0.3709027169</v>
      </c>
      <c r="AB316" s="13">
        <f t="shared" ref="AB316:AB318" si="1261">(675.27-720.71)/720.71</f>
        <v>-0.06304893785</v>
      </c>
    </row>
    <row r="317" ht="14.25" customHeight="1">
      <c r="B317" s="31" t="s">
        <v>630</v>
      </c>
      <c r="C317" s="31" t="s">
        <v>950</v>
      </c>
      <c r="D317" s="31" t="s">
        <v>951</v>
      </c>
      <c r="E317" s="31" t="s">
        <v>954</v>
      </c>
      <c r="F317" s="31" t="s">
        <v>955</v>
      </c>
      <c r="G317" s="21" t="s">
        <v>841</v>
      </c>
      <c r="H317" s="30">
        <v>41226.0</v>
      </c>
      <c r="I317" s="21">
        <v>397.5</v>
      </c>
      <c r="J317" s="21" t="s">
        <v>339</v>
      </c>
      <c r="K317" s="12">
        <f t="shared" si="1248"/>
        <v>36.97893807</v>
      </c>
      <c r="L317" s="21">
        <v>0.055</v>
      </c>
      <c r="M317" s="13">
        <f t="shared" si="1249"/>
        <v>0.005491343241</v>
      </c>
      <c r="N317" s="13">
        <f t="shared" si="1250"/>
        <v>0.008585596728</v>
      </c>
      <c r="O317" s="13">
        <f t="shared" si="1251"/>
        <v>0.05095818204</v>
      </c>
      <c r="P317" s="21">
        <v>0.115</v>
      </c>
      <c r="Q317" s="13">
        <f t="shared" si="1252"/>
        <v>0.4431146264</v>
      </c>
      <c r="R317" s="13">
        <f t="shared" si="1238"/>
        <v>0.004059382641</v>
      </c>
      <c r="S317" s="13">
        <f t="shared" si="1253"/>
        <v>0.06179458812</v>
      </c>
      <c r="T317" s="13">
        <f t="shared" si="1254"/>
        <v>0.3207026928</v>
      </c>
      <c r="U317" s="13">
        <f t="shared" si="1255"/>
        <v>14.05421245</v>
      </c>
      <c r="V317" s="13">
        <f t="shared" si="1256"/>
        <v>0.1591548519</v>
      </c>
      <c r="W317" s="13">
        <f t="shared" si="1257"/>
        <v>0.5682388154</v>
      </c>
      <c r="X317" s="13">
        <v>0.91</v>
      </c>
      <c r="Y317" s="13">
        <f t="shared" si="1258"/>
        <v>0.5220471014</v>
      </c>
      <c r="Z317" s="13">
        <f t="shared" si="1259"/>
        <v>0.06401622558</v>
      </c>
      <c r="AA317" s="13">
        <f t="shared" si="1260"/>
        <v>0.3709027169</v>
      </c>
      <c r="AB317" s="13">
        <f t="shared" si="1261"/>
        <v>-0.06304893785</v>
      </c>
    </row>
    <row r="318" ht="14.25" customHeight="1">
      <c r="B318" s="31" t="s">
        <v>630</v>
      </c>
      <c r="C318" s="31" t="s">
        <v>950</v>
      </c>
      <c r="D318" s="31" t="s">
        <v>951</v>
      </c>
      <c r="E318" s="31" t="s">
        <v>956</v>
      </c>
      <c r="F318" s="31" t="s">
        <v>957</v>
      </c>
      <c r="G318" s="21" t="s">
        <v>841</v>
      </c>
      <c r="H318" s="30">
        <v>41226.0</v>
      </c>
      <c r="I318" s="21">
        <v>530.0</v>
      </c>
      <c r="J318" s="21" t="s">
        <v>339</v>
      </c>
      <c r="K318" s="12">
        <f t="shared" si="1248"/>
        <v>36.97893807</v>
      </c>
      <c r="L318" s="21">
        <v>0.055</v>
      </c>
      <c r="M318" s="13">
        <f t="shared" si="1249"/>
        <v>0.005491343241</v>
      </c>
      <c r="N318" s="13">
        <f t="shared" si="1250"/>
        <v>0.008585596728</v>
      </c>
      <c r="O318" s="13">
        <f t="shared" si="1251"/>
        <v>0.05095818204</v>
      </c>
      <c r="P318" s="21">
        <v>0.115</v>
      </c>
      <c r="Q318" s="13">
        <f t="shared" si="1252"/>
        <v>0.4431146264</v>
      </c>
      <c r="R318" s="13">
        <f t="shared" si="1238"/>
        <v>0.004059382641</v>
      </c>
      <c r="S318" s="13">
        <f t="shared" si="1253"/>
        <v>0.06179458812</v>
      </c>
      <c r="T318" s="13">
        <f t="shared" si="1254"/>
        <v>0.3207026928</v>
      </c>
      <c r="U318" s="13">
        <f t="shared" si="1255"/>
        <v>14.05421245</v>
      </c>
      <c r="V318" s="13">
        <f t="shared" si="1256"/>
        <v>0.1591548519</v>
      </c>
      <c r="W318" s="13">
        <f t="shared" si="1257"/>
        <v>0.5682388154</v>
      </c>
      <c r="X318" s="13">
        <v>0.91</v>
      </c>
      <c r="Y318" s="13">
        <f t="shared" si="1258"/>
        <v>0.5220471014</v>
      </c>
      <c r="Z318" s="13">
        <f t="shared" si="1259"/>
        <v>0.06401622558</v>
      </c>
      <c r="AA318" s="13">
        <f t="shared" si="1260"/>
        <v>0.3709027169</v>
      </c>
      <c r="AB318" s="13">
        <f t="shared" si="1261"/>
        <v>-0.06304893785</v>
      </c>
    </row>
    <row r="319" ht="14.25" customHeight="1">
      <c r="B319" s="31" t="s">
        <v>630</v>
      </c>
      <c r="C319" s="31" t="s">
        <v>958</v>
      </c>
      <c r="D319" s="31" t="s">
        <v>959</v>
      </c>
      <c r="E319" s="31" t="s">
        <v>960</v>
      </c>
      <c r="F319" s="31" t="s">
        <v>961</v>
      </c>
      <c r="G319" s="21" t="s">
        <v>841</v>
      </c>
      <c r="H319" s="30">
        <v>43811.0</v>
      </c>
      <c r="I319" s="27">
        <v>2400.0</v>
      </c>
      <c r="J319" s="21" t="s">
        <v>163</v>
      </c>
      <c r="K319" s="12">
        <f t="shared" ref="K319:K321" si="1262">(0.002+0.071)/0.002872281323269</f>
        <v>25.41533777</v>
      </c>
      <c r="L319" s="21">
        <v>0.033</v>
      </c>
      <c r="M319" s="13">
        <f t="shared" ref="M319:M321" si="1263">4721/1434246</f>
        <v>0.003291625007</v>
      </c>
      <c r="N319" s="13">
        <f t="shared" ref="N319:N321" si="1264">4721/1004146</f>
        <v>0.00470150755</v>
      </c>
      <c r="O319" s="13">
        <f t="shared" ref="O319:O321" si="1265">77741/1540359</f>
        <v>0.05046940356</v>
      </c>
      <c r="P319" s="21">
        <v>0.132</v>
      </c>
      <c r="Q319" s="13">
        <f t="shared" ref="Q319:Q321" si="1266">(77741/0.132)/1540359</f>
        <v>0.3823439664</v>
      </c>
      <c r="R319" s="13">
        <f t="shared" ref="R319:R321" si="1267">2545/977998</f>
        <v>0.00260225481</v>
      </c>
      <c r="S319" s="13">
        <f t="shared" ref="S319:S321" si="1268">122456/1540359</f>
        <v>0.07949835071</v>
      </c>
      <c r="T319" s="13">
        <f t="shared" ref="T319:T321" si="1269">352713/1540359</f>
        <v>0.2289810362</v>
      </c>
      <c r="U319" s="13">
        <f t="shared" ref="U319:U321" si="1270">ln(1522695)</f>
        <v>14.23599235</v>
      </c>
      <c r="V319" s="13">
        <f t="shared" ref="V319:V321" si="1271">180471/(1522695)</f>
        <v>0.1185207806</v>
      </c>
      <c r="W319" s="13">
        <f t="shared" ref="W319:W321" si="1272">987935/(1522695)</f>
        <v>0.6488068852</v>
      </c>
      <c r="X319" s="13">
        <v>0.974</v>
      </c>
      <c r="Y319" s="13">
        <f t="shared" ref="Y319:Y321" si="1273">999528/(1522695)</f>
        <v>0.65642036</v>
      </c>
      <c r="Z319" s="13">
        <f t="shared" ref="Z319:Z321" si="1274">110659/(1522695)</f>
        <v>0.07267312233</v>
      </c>
      <c r="AA319" s="13">
        <f t="shared" ref="AA319:AA321" si="1275">1522695/2613000</f>
        <v>0.5827382319</v>
      </c>
      <c r="AB319" s="13">
        <f t="shared" ref="AB319:AB321" si="1276">(751.85-835.48)/835.48</f>
        <v>-0.1000981472</v>
      </c>
    </row>
    <row r="320" ht="14.25" customHeight="1">
      <c r="B320" s="31" t="s">
        <v>630</v>
      </c>
      <c r="C320" s="31" t="s">
        <v>958</v>
      </c>
      <c r="D320" s="31" t="s">
        <v>959</v>
      </c>
      <c r="E320" s="31" t="s">
        <v>962</v>
      </c>
      <c r="F320" s="31" t="s">
        <v>963</v>
      </c>
      <c r="G320" s="21" t="s">
        <v>841</v>
      </c>
      <c r="H320" s="30">
        <v>43811.0</v>
      </c>
      <c r="I320" s="21">
        <v>600.0</v>
      </c>
      <c r="J320" s="21" t="s">
        <v>163</v>
      </c>
      <c r="K320" s="12">
        <f t="shared" si="1262"/>
        <v>25.41533777</v>
      </c>
      <c r="L320" s="21">
        <v>0.033</v>
      </c>
      <c r="M320" s="13">
        <f t="shared" si="1263"/>
        <v>0.003291625007</v>
      </c>
      <c r="N320" s="13">
        <f t="shared" si="1264"/>
        <v>0.00470150755</v>
      </c>
      <c r="O320" s="13">
        <f t="shared" si="1265"/>
        <v>0.05046940356</v>
      </c>
      <c r="P320" s="21">
        <v>0.132</v>
      </c>
      <c r="Q320" s="13">
        <f t="shared" si="1266"/>
        <v>0.3823439664</v>
      </c>
      <c r="R320" s="13">
        <f t="shared" si="1267"/>
        <v>0.00260225481</v>
      </c>
      <c r="S320" s="13">
        <f t="shared" si="1268"/>
        <v>0.07949835071</v>
      </c>
      <c r="T320" s="13">
        <f t="shared" si="1269"/>
        <v>0.2289810362</v>
      </c>
      <c r="U320" s="13">
        <f t="shared" si="1270"/>
        <v>14.23599235</v>
      </c>
      <c r="V320" s="13">
        <f t="shared" si="1271"/>
        <v>0.1185207806</v>
      </c>
      <c r="W320" s="13">
        <f t="shared" si="1272"/>
        <v>0.6488068852</v>
      </c>
      <c r="X320" s="13">
        <v>0.974</v>
      </c>
      <c r="Y320" s="13">
        <f t="shared" si="1273"/>
        <v>0.65642036</v>
      </c>
      <c r="Z320" s="13">
        <f t="shared" si="1274"/>
        <v>0.07267312233</v>
      </c>
      <c r="AA320" s="13">
        <f t="shared" si="1275"/>
        <v>0.5827382319</v>
      </c>
      <c r="AB320" s="13">
        <f t="shared" si="1276"/>
        <v>-0.1000981472</v>
      </c>
    </row>
    <row r="321" ht="14.25" customHeight="1">
      <c r="B321" s="31" t="s">
        <v>630</v>
      </c>
      <c r="C321" s="31" t="s">
        <v>958</v>
      </c>
      <c r="D321" s="31" t="s">
        <v>959</v>
      </c>
      <c r="E321" s="31" t="s">
        <v>964</v>
      </c>
      <c r="F321" s="31" t="s">
        <v>965</v>
      </c>
      <c r="G321" s="21" t="s">
        <v>841</v>
      </c>
      <c r="H321" s="30">
        <v>43811.0</v>
      </c>
      <c r="I321" s="21">
        <v>150.0</v>
      </c>
      <c r="J321" s="21" t="s">
        <v>163</v>
      </c>
      <c r="K321" s="12">
        <f t="shared" si="1262"/>
        <v>25.41533777</v>
      </c>
      <c r="L321" s="21">
        <v>0.033</v>
      </c>
      <c r="M321" s="13">
        <f t="shared" si="1263"/>
        <v>0.003291625007</v>
      </c>
      <c r="N321" s="13">
        <f t="shared" si="1264"/>
        <v>0.00470150755</v>
      </c>
      <c r="O321" s="13">
        <f t="shared" si="1265"/>
        <v>0.05046940356</v>
      </c>
      <c r="P321" s="21">
        <v>0.132</v>
      </c>
      <c r="Q321" s="13">
        <f t="shared" si="1266"/>
        <v>0.3823439664</v>
      </c>
      <c r="R321" s="13">
        <f t="shared" si="1267"/>
        <v>0.00260225481</v>
      </c>
      <c r="S321" s="13">
        <f t="shared" si="1268"/>
        <v>0.07949835071</v>
      </c>
      <c r="T321" s="13">
        <f t="shared" si="1269"/>
        <v>0.2289810362</v>
      </c>
      <c r="U321" s="13">
        <f t="shared" si="1270"/>
        <v>14.23599235</v>
      </c>
      <c r="V321" s="13">
        <f t="shared" si="1271"/>
        <v>0.1185207806</v>
      </c>
      <c r="W321" s="13">
        <f t="shared" si="1272"/>
        <v>0.6488068852</v>
      </c>
      <c r="X321" s="13">
        <v>0.974</v>
      </c>
      <c r="Y321" s="13">
        <f t="shared" si="1273"/>
        <v>0.65642036</v>
      </c>
      <c r="Z321" s="13">
        <f t="shared" si="1274"/>
        <v>0.07267312233</v>
      </c>
      <c r="AA321" s="13">
        <f t="shared" si="1275"/>
        <v>0.5827382319</v>
      </c>
      <c r="AB321" s="13">
        <f t="shared" si="1276"/>
        <v>-0.1000981472</v>
      </c>
    </row>
    <row r="322" ht="14.25" customHeight="1">
      <c r="B322" s="31" t="s">
        <v>630</v>
      </c>
      <c r="C322" s="31" t="s">
        <v>966</v>
      </c>
      <c r="D322" s="31" t="s">
        <v>967</v>
      </c>
      <c r="E322" s="31" t="s">
        <v>968</v>
      </c>
      <c r="F322" s="31" t="s">
        <v>969</v>
      </c>
      <c r="G322" s="21" t="s">
        <v>841</v>
      </c>
      <c r="H322" s="30">
        <v>43432.0</v>
      </c>
      <c r="I322" s="32">
        <v>1941.5</v>
      </c>
      <c r="J322" s="21" t="s">
        <v>58</v>
      </c>
      <c r="K322" s="12">
        <f t="shared" ref="K322:K324" si="1277">(0.006+0.073)/0.00057735026918963</f>
        <v>136.8320138</v>
      </c>
      <c r="L322" s="21">
        <v>0.037</v>
      </c>
      <c r="M322" s="13">
        <f t="shared" ref="M322:M324" si="1278">5598/1395786</f>
        <v>0.004010643465</v>
      </c>
      <c r="N322" s="13">
        <f t="shared" ref="N322:N324" si="1279">5598/1004697</f>
        <v>0.005571829119</v>
      </c>
      <c r="O322" s="13">
        <f t="shared" ref="O322:O324" si="1280">78980/1506151</f>
        <v>0.05243830134</v>
      </c>
      <c r="P322" s="21">
        <v>0.13</v>
      </c>
      <c r="Q322" s="13">
        <f t="shared" ref="Q322:Q324" si="1281">(78980/0.13)/1506151</f>
        <v>0.4033715488</v>
      </c>
      <c r="R322" s="13">
        <f t="shared" ref="R322:R324" si="1282">2728/964282</f>
        <v>0.002829047934</v>
      </c>
      <c r="S322" s="13">
        <f t="shared" ref="S322:S324" si="1283">103500/1506151</f>
        <v>0.06871820953</v>
      </c>
      <c r="T322" s="13">
        <f t="shared" ref="T322:T324" si="1284">353426/1506151</f>
        <v>0.234655091</v>
      </c>
      <c r="U322" s="13">
        <f t="shared" ref="U322:U324" si="1285">ln(1459271)</f>
        <v>14.19344755</v>
      </c>
      <c r="V322" s="13">
        <f t="shared" ref="V322:V324" si="1286">158413/(1459271)</f>
        <v>0.1085562586</v>
      </c>
      <c r="W322" s="13">
        <f t="shared" ref="W322:W324" si="1287">916109/(1459271)</f>
        <v>0.6277853805</v>
      </c>
      <c r="X322" s="13">
        <v>0.96</v>
      </c>
      <c r="Y322" s="13">
        <f t="shared" ref="Y322:Y324" si="1288">968405/(1459271)</f>
        <v>0.6636224526</v>
      </c>
      <c r="Z322" s="13">
        <f t="shared" ref="Z322:Z324" si="1289">107361/(1459271)</f>
        <v>0.07357166695</v>
      </c>
      <c r="AA322" s="13">
        <f t="shared" ref="AA322:AA324" si="1290">1459271/2576000</f>
        <v>0.5664871894</v>
      </c>
      <c r="AB322" s="13">
        <f t="shared" ref="AB322:AB324" si="1291">(785.75-823.47)/823.47</f>
        <v>-0.04580616173</v>
      </c>
    </row>
    <row r="323" ht="14.25" customHeight="1">
      <c r="B323" s="31" t="s">
        <v>630</v>
      </c>
      <c r="C323" s="31" t="s">
        <v>966</v>
      </c>
      <c r="D323" s="31" t="s">
        <v>967</v>
      </c>
      <c r="E323" s="31" t="s">
        <v>970</v>
      </c>
      <c r="F323" s="31" t="s">
        <v>971</v>
      </c>
      <c r="G323" s="21" t="s">
        <v>841</v>
      </c>
      <c r="H323" s="30">
        <v>43432.0</v>
      </c>
      <c r="I323" s="21">
        <v>258.5</v>
      </c>
      <c r="J323" s="21" t="s">
        <v>58</v>
      </c>
      <c r="K323" s="12">
        <f t="shared" si="1277"/>
        <v>136.8320138</v>
      </c>
      <c r="L323" s="21">
        <v>0.037</v>
      </c>
      <c r="M323" s="13">
        <f t="shared" si="1278"/>
        <v>0.004010643465</v>
      </c>
      <c r="N323" s="13">
        <f t="shared" si="1279"/>
        <v>0.005571829119</v>
      </c>
      <c r="O323" s="13">
        <f t="shared" si="1280"/>
        <v>0.05243830134</v>
      </c>
      <c r="P323" s="21">
        <v>0.13</v>
      </c>
      <c r="Q323" s="13">
        <f t="shared" si="1281"/>
        <v>0.4033715488</v>
      </c>
      <c r="R323" s="13">
        <f t="shared" si="1282"/>
        <v>0.002829047934</v>
      </c>
      <c r="S323" s="13">
        <f t="shared" si="1283"/>
        <v>0.06871820953</v>
      </c>
      <c r="T323" s="13">
        <f t="shared" si="1284"/>
        <v>0.234655091</v>
      </c>
      <c r="U323" s="13">
        <f t="shared" si="1285"/>
        <v>14.19344755</v>
      </c>
      <c r="V323" s="13">
        <f t="shared" si="1286"/>
        <v>0.1085562586</v>
      </c>
      <c r="W323" s="13">
        <f t="shared" si="1287"/>
        <v>0.6277853805</v>
      </c>
      <c r="X323" s="13">
        <v>0.96</v>
      </c>
      <c r="Y323" s="13">
        <f t="shared" si="1288"/>
        <v>0.6636224526</v>
      </c>
      <c r="Z323" s="13">
        <f t="shared" si="1289"/>
        <v>0.07357166695</v>
      </c>
      <c r="AA323" s="13">
        <f t="shared" si="1290"/>
        <v>0.5664871894</v>
      </c>
      <c r="AB323" s="13">
        <f t="shared" si="1291"/>
        <v>-0.04580616173</v>
      </c>
    </row>
    <row r="324" ht="14.25" customHeight="1">
      <c r="B324" s="31" t="s">
        <v>630</v>
      </c>
      <c r="C324" s="31" t="s">
        <v>966</v>
      </c>
      <c r="D324" s="31" t="s">
        <v>967</v>
      </c>
      <c r="E324" s="31" t="s">
        <v>972</v>
      </c>
      <c r="F324" s="31" t="s">
        <v>973</v>
      </c>
      <c r="G324" s="21" t="s">
        <v>841</v>
      </c>
      <c r="H324" s="30">
        <v>43432.0</v>
      </c>
      <c r="I324" s="21">
        <v>110.0</v>
      </c>
      <c r="J324" s="21" t="s">
        <v>58</v>
      </c>
      <c r="K324" s="12">
        <f t="shared" si="1277"/>
        <v>136.8320138</v>
      </c>
      <c r="L324" s="21">
        <v>0.037</v>
      </c>
      <c r="M324" s="13">
        <f t="shared" si="1278"/>
        <v>0.004010643465</v>
      </c>
      <c r="N324" s="13">
        <f t="shared" si="1279"/>
        <v>0.005571829119</v>
      </c>
      <c r="O324" s="13">
        <f t="shared" si="1280"/>
        <v>0.05243830134</v>
      </c>
      <c r="P324" s="21">
        <v>0.13</v>
      </c>
      <c r="Q324" s="13">
        <f t="shared" si="1281"/>
        <v>0.4033715488</v>
      </c>
      <c r="R324" s="13">
        <f t="shared" si="1282"/>
        <v>0.002829047934</v>
      </c>
      <c r="S324" s="13">
        <f t="shared" si="1283"/>
        <v>0.06871820953</v>
      </c>
      <c r="T324" s="13">
        <f t="shared" si="1284"/>
        <v>0.234655091</v>
      </c>
      <c r="U324" s="13">
        <f t="shared" si="1285"/>
        <v>14.19344755</v>
      </c>
      <c r="V324" s="13">
        <f t="shared" si="1286"/>
        <v>0.1085562586</v>
      </c>
      <c r="W324" s="13">
        <f t="shared" si="1287"/>
        <v>0.6277853805</v>
      </c>
      <c r="X324" s="13">
        <v>0.96</v>
      </c>
      <c r="Y324" s="13">
        <f t="shared" si="1288"/>
        <v>0.6636224526</v>
      </c>
      <c r="Z324" s="13">
        <f t="shared" si="1289"/>
        <v>0.07357166695</v>
      </c>
      <c r="AA324" s="13">
        <f t="shared" si="1290"/>
        <v>0.5664871894</v>
      </c>
      <c r="AB324" s="13">
        <f t="shared" si="1291"/>
        <v>-0.04580616173</v>
      </c>
    </row>
    <row r="325" ht="14.25" customHeight="1">
      <c r="B325" s="31" t="s">
        <v>630</v>
      </c>
      <c r="C325" s="31" t="s">
        <v>974</v>
      </c>
      <c r="D325" s="31" t="s">
        <v>975</v>
      </c>
      <c r="E325" s="31" t="s">
        <v>976</v>
      </c>
      <c r="F325" s="31" t="s">
        <v>977</v>
      </c>
      <c r="G325" s="21" t="s">
        <v>841</v>
      </c>
      <c r="H325" s="29">
        <v>41977.0</v>
      </c>
      <c r="I325" s="27">
        <v>2907.0</v>
      </c>
      <c r="J325" s="21" t="s">
        <v>238</v>
      </c>
      <c r="K325" s="21">
        <f t="shared" ref="K325:K327" si="1292">(0.006+0.073)/0.0005</f>
        <v>158</v>
      </c>
      <c r="L325" s="21">
        <v>0.047</v>
      </c>
      <c r="M325" s="13">
        <f t="shared" ref="M325:M327" si="1293">6269/1267585</f>
        <v>0.004945624948</v>
      </c>
      <c r="N325" s="13">
        <f t="shared" ref="N325:N327" si="1294">6269/842631</f>
        <v>0.007439792744</v>
      </c>
      <c r="O325" s="13">
        <f t="shared" ref="O325:O327" si="1295">73596/1369690</f>
        <v>0.05373186633</v>
      </c>
      <c r="P325" s="21">
        <v>0.119</v>
      </c>
      <c r="Q325" s="13">
        <f t="shared" ref="Q325:Q327" si="1296">(73596/0.119)/1369690</f>
        <v>0.4515282885</v>
      </c>
      <c r="R325" s="13">
        <f t="shared" ref="R325:R327" si="1297">2715/868792</f>
        <v>0.003125028776</v>
      </c>
      <c r="S325" s="13">
        <f t="shared" ref="S325:S327" si="1298">6736/1369690</f>
        <v>0.004917901131</v>
      </c>
      <c r="T325" s="13">
        <f t="shared" ref="T325:T327" si="1299">362722/1369690</f>
        <v>0.2648205068</v>
      </c>
      <c r="U325" s="13">
        <f t="shared" ref="U325:U327" si="1300">ln(1266296)</f>
        <v>14.05160666</v>
      </c>
      <c r="V325" s="13">
        <f t="shared" ref="V325:V327" si="1301">166987/(1266296)</f>
        <v>0.1318704316</v>
      </c>
      <c r="W325" s="13">
        <f t="shared" ref="W325:W327" si="1302">750036/(1266296)</f>
        <v>0.5923070119</v>
      </c>
      <c r="X325" s="13">
        <v>1.031</v>
      </c>
      <c r="Y325" s="13">
        <f t="shared" ref="Y325:Y327" si="1303">789880/(1266296)</f>
        <v>0.6237720091</v>
      </c>
      <c r="Z325" s="13">
        <f t="shared" ref="Z325:Z327" si="1304">89714/(1266296)</f>
        <v>0.07084757434</v>
      </c>
      <c r="AA325" s="13">
        <f t="shared" ref="AA325:AA327" si="1305">1266296/2913000</f>
        <v>0.434705115</v>
      </c>
      <c r="AB325" s="13">
        <f t="shared" ref="AB325:AB327" si="1306">(702.27-732.89)/732.89</f>
        <v>-0.04177980324</v>
      </c>
    </row>
    <row r="326" ht="14.25" customHeight="1">
      <c r="B326" s="31" t="s">
        <v>630</v>
      </c>
      <c r="C326" s="31" t="s">
        <v>974</v>
      </c>
      <c r="D326" s="31" t="s">
        <v>975</v>
      </c>
      <c r="E326" s="31" t="s">
        <v>978</v>
      </c>
      <c r="F326" s="31" t="s">
        <v>979</v>
      </c>
      <c r="G326" s="21" t="s">
        <v>841</v>
      </c>
      <c r="H326" s="29">
        <v>41977.0</v>
      </c>
      <c r="I326" s="21">
        <v>893.0</v>
      </c>
      <c r="J326" s="21" t="s">
        <v>238</v>
      </c>
      <c r="K326" s="21">
        <f t="shared" si="1292"/>
        <v>158</v>
      </c>
      <c r="L326" s="21">
        <v>0.047</v>
      </c>
      <c r="M326" s="13">
        <f t="shared" si="1293"/>
        <v>0.004945624948</v>
      </c>
      <c r="N326" s="13">
        <f t="shared" si="1294"/>
        <v>0.007439792744</v>
      </c>
      <c r="O326" s="13">
        <f t="shared" si="1295"/>
        <v>0.05373186633</v>
      </c>
      <c r="P326" s="21">
        <v>0.119</v>
      </c>
      <c r="Q326" s="13">
        <f t="shared" si="1296"/>
        <v>0.4515282885</v>
      </c>
      <c r="R326" s="13">
        <f t="shared" si="1297"/>
        <v>0.003125028776</v>
      </c>
      <c r="S326" s="13">
        <f t="shared" si="1298"/>
        <v>0.004917901131</v>
      </c>
      <c r="T326" s="13">
        <f t="shared" si="1299"/>
        <v>0.2648205068</v>
      </c>
      <c r="U326" s="13">
        <f t="shared" si="1300"/>
        <v>14.05160666</v>
      </c>
      <c r="V326" s="13">
        <f t="shared" si="1301"/>
        <v>0.1318704316</v>
      </c>
      <c r="W326" s="13">
        <f t="shared" si="1302"/>
        <v>0.5923070119</v>
      </c>
      <c r="X326" s="13">
        <v>1.031</v>
      </c>
      <c r="Y326" s="13">
        <f t="shared" si="1303"/>
        <v>0.6237720091</v>
      </c>
      <c r="Z326" s="13">
        <f t="shared" si="1304"/>
        <v>0.07084757434</v>
      </c>
      <c r="AA326" s="13">
        <f t="shared" si="1305"/>
        <v>0.434705115</v>
      </c>
      <c r="AB326" s="13">
        <f t="shared" si="1306"/>
        <v>-0.04177980324</v>
      </c>
    </row>
    <row r="327" ht="14.25" customHeight="1">
      <c r="B327" s="31" t="s">
        <v>630</v>
      </c>
      <c r="C327" s="31" t="s">
        <v>974</v>
      </c>
      <c r="D327" s="31" t="s">
        <v>975</v>
      </c>
      <c r="E327" s="31" t="s">
        <v>980</v>
      </c>
      <c r="F327" s="31" t="s">
        <v>981</v>
      </c>
      <c r="G327" s="21" t="s">
        <v>841</v>
      </c>
      <c r="H327" s="29">
        <v>41977.0</v>
      </c>
      <c r="I327" s="21">
        <v>760.0</v>
      </c>
      <c r="J327" s="21" t="s">
        <v>238</v>
      </c>
      <c r="K327" s="21">
        <f t="shared" si="1292"/>
        <v>158</v>
      </c>
      <c r="L327" s="21">
        <v>0.047</v>
      </c>
      <c r="M327" s="13">
        <f t="shared" si="1293"/>
        <v>0.004945624948</v>
      </c>
      <c r="N327" s="13">
        <f t="shared" si="1294"/>
        <v>0.007439792744</v>
      </c>
      <c r="O327" s="13">
        <f t="shared" si="1295"/>
        <v>0.05373186633</v>
      </c>
      <c r="P327" s="21">
        <v>0.119</v>
      </c>
      <c r="Q327" s="13">
        <f t="shared" si="1296"/>
        <v>0.4515282885</v>
      </c>
      <c r="R327" s="13">
        <f t="shared" si="1297"/>
        <v>0.003125028776</v>
      </c>
      <c r="S327" s="13">
        <f t="shared" si="1298"/>
        <v>0.004917901131</v>
      </c>
      <c r="T327" s="13">
        <f t="shared" si="1299"/>
        <v>0.2648205068</v>
      </c>
      <c r="U327" s="13">
        <f t="shared" si="1300"/>
        <v>14.05160666</v>
      </c>
      <c r="V327" s="13">
        <f t="shared" si="1301"/>
        <v>0.1318704316</v>
      </c>
      <c r="W327" s="13">
        <f t="shared" si="1302"/>
        <v>0.5923070119</v>
      </c>
      <c r="X327" s="13">
        <v>1.031</v>
      </c>
      <c r="Y327" s="13">
        <f t="shared" si="1303"/>
        <v>0.6237720091</v>
      </c>
      <c r="Z327" s="13">
        <f t="shared" si="1304"/>
        <v>0.07084757434</v>
      </c>
      <c r="AA327" s="13">
        <f t="shared" si="1305"/>
        <v>0.434705115</v>
      </c>
      <c r="AB327" s="13">
        <f t="shared" si="1306"/>
        <v>-0.04177980324</v>
      </c>
    </row>
    <row r="328" ht="14.25" customHeight="1">
      <c r="B328" s="31" t="s">
        <v>630</v>
      </c>
      <c r="C328" s="31" t="s">
        <v>982</v>
      </c>
      <c r="D328" s="31" t="s">
        <v>983</v>
      </c>
      <c r="E328" s="31" t="s">
        <v>984</v>
      </c>
      <c r="F328" s="31" t="s">
        <v>985</v>
      </c>
      <c r="G328" s="21" t="s">
        <v>841</v>
      </c>
      <c r="H328" s="26">
        <v>42143.0</v>
      </c>
      <c r="I328" s="32">
        <v>2681.3</v>
      </c>
      <c r="J328" s="21" t="s">
        <v>125</v>
      </c>
      <c r="K328" s="21">
        <f t="shared" ref="K328:K330" si="1307">(0.006+0.075)/0.0015</f>
        <v>54</v>
      </c>
      <c r="L328" s="21">
        <v>0.044</v>
      </c>
      <c r="M328" s="13">
        <f t="shared" ref="M328:M330" si="1308">6105/1221740</f>
        <v>0.004996971532</v>
      </c>
      <c r="N328" s="13">
        <f t="shared" ref="N328:N330" si="1309">6105/829315</f>
        <v>0.007361497139</v>
      </c>
      <c r="O328" s="13">
        <f t="shared" ref="O328:O330" si="1310">72576/1320427</f>
        <v>0.05496403815</v>
      </c>
      <c r="P328" s="13">
        <v>0.124</v>
      </c>
      <c r="Q328" s="13">
        <f t="shared" ref="Q328:Q330" si="1311">(72576/0.124)/1320427</f>
        <v>0.4432583722</v>
      </c>
      <c r="R328" s="13">
        <f t="shared" ref="R328:R330" si="1312">2699/831312</f>
        <v>0.003246675135</v>
      </c>
      <c r="S328" s="13">
        <f t="shared" ref="S328:S330" si="1313">6288/1320427</f>
        <v>0.004762095898</v>
      </c>
      <c r="T328" s="13">
        <f t="shared" ref="T328:T330" si="1314">347291/1320427</f>
        <v>0.2630141613</v>
      </c>
      <c r="U328" s="13">
        <f t="shared" ref="U328:U330" si="1315">ln(1339376)</f>
        <v>14.10771439</v>
      </c>
      <c r="V328" s="13">
        <f t="shared" ref="V328:V330" si="1316">158725/(1339376)</f>
        <v>0.1185066777</v>
      </c>
      <c r="W328" s="13">
        <f t="shared" ref="W328:W330" si="1317">865606.8/(1339376)</f>
        <v>0.6462761764</v>
      </c>
      <c r="X328" s="13">
        <v>1.005</v>
      </c>
      <c r="Y328" s="13">
        <f t="shared" ref="Y328:Y330" si="1318">838735/(1339376)</f>
        <v>0.6262132515</v>
      </c>
      <c r="Z328" s="13">
        <f t="shared" ref="Z328:Z330" si="1319">101952/(1339376)</f>
        <v>0.07611902856</v>
      </c>
      <c r="AA328" s="13">
        <f t="shared" ref="AA328:AA330" si="1320">1339376/2760000</f>
        <v>0.4852811594</v>
      </c>
      <c r="AB328" s="13">
        <f t="shared" ref="AB328:AB330" si="1321">(735.55-741.03)/741.03</f>
        <v>-0.007395112209</v>
      </c>
    </row>
    <row r="329" ht="14.25" customHeight="1">
      <c r="B329" s="31" t="s">
        <v>630</v>
      </c>
      <c r="C329" s="31" t="s">
        <v>982</v>
      </c>
      <c r="D329" s="31" t="s">
        <v>983</v>
      </c>
      <c r="E329" s="31" t="s">
        <v>986</v>
      </c>
      <c r="F329" s="31" t="s">
        <v>987</v>
      </c>
      <c r="G329" s="21" t="s">
        <v>841</v>
      </c>
      <c r="H329" s="26">
        <v>42143.0</v>
      </c>
      <c r="I329" s="21">
        <v>893.7</v>
      </c>
      <c r="J329" s="21" t="s">
        <v>125</v>
      </c>
      <c r="K329" s="21">
        <f t="shared" si="1307"/>
        <v>54</v>
      </c>
      <c r="L329" s="21">
        <v>0.044</v>
      </c>
      <c r="M329" s="13">
        <f t="shared" si="1308"/>
        <v>0.004996971532</v>
      </c>
      <c r="N329" s="13">
        <f t="shared" si="1309"/>
        <v>0.007361497139</v>
      </c>
      <c r="O329" s="13">
        <f t="shared" si="1310"/>
        <v>0.05496403815</v>
      </c>
      <c r="P329" s="13">
        <v>0.124</v>
      </c>
      <c r="Q329" s="13">
        <f t="shared" si="1311"/>
        <v>0.4432583722</v>
      </c>
      <c r="R329" s="13">
        <f t="shared" si="1312"/>
        <v>0.003246675135</v>
      </c>
      <c r="S329" s="13">
        <f t="shared" si="1313"/>
        <v>0.004762095898</v>
      </c>
      <c r="T329" s="13">
        <f t="shared" si="1314"/>
        <v>0.2630141613</v>
      </c>
      <c r="U329" s="13">
        <f t="shared" si="1315"/>
        <v>14.10771439</v>
      </c>
      <c r="V329" s="13">
        <f t="shared" si="1316"/>
        <v>0.1185066777</v>
      </c>
      <c r="W329" s="13">
        <f t="shared" si="1317"/>
        <v>0.6462761764</v>
      </c>
      <c r="X329" s="13">
        <v>1.005</v>
      </c>
      <c r="Y329" s="13">
        <f t="shared" si="1318"/>
        <v>0.6262132515</v>
      </c>
      <c r="Z329" s="13">
        <f t="shared" si="1319"/>
        <v>0.07611902856</v>
      </c>
      <c r="AA329" s="13">
        <f t="shared" si="1320"/>
        <v>0.4852811594</v>
      </c>
      <c r="AB329" s="13">
        <f t="shared" si="1321"/>
        <v>-0.007395112209</v>
      </c>
    </row>
    <row r="330" ht="14.25" customHeight="1">
      <c r="B330" s="31" t="s">
        <v>630</v>
      </c>
      <c r="C330" s="31" t="s">
        <v>982</v>
      </c>
      <c r="D330" s="31" t="s">
        <v>983</v>
      </c>
      <c r="E330" s="31" t="s">
        <v>988</v>
      </c>
      <c r="F330" s="31" t="s">
        <v>989</v>
      </c>
      <c r="G330" s="21" t="s">
        <v>841</v>
      </c>
      <c r="H330" s="26">
        <v>42143.0</v>
      </c>
      <c r="I330" s="21">
        <v>178.8</v>
      </c>
      <c r="J330" s="21" t="s">
        <v>125</v>
      </c>
      <c r="K330" s="21">
        <f t="shared" si="1307"/>
        <v>54</v>
      </c>
      <c r="L330" s="21">
        <v>0.044</v>
      </c>
      <c r="M330" s="13">
        <f t="shared" si="1308"/>
        <v>0.004996971532</v>
      </c>
      <c r="N330" s="13">
        <f t="shared" si="1309"/>
        <v>0.007361497139</v>
      </c>
      <c r="O330" s="13">
        <f t="shared" si="1310"/>
        <v>0.05496403815</v>
      </c>
      <c r="P330" s="13">
        <v>0.124</v>
      </c>
      <c r="Q330" s="13">
        <f t="shared" si="1311"/>
        <v>0.4432583722</v>
      </c>
      <c r="R330" s="13">
        <f t="shared" si="1312"/>
        <v>0.003246675135</v>
      </c>
      <c r="S330" s="13">
        <f t="shared" si="1313"/>
        <v>0.004762095898</v>
      </c>
      <c r="T330" s="13">
        <f t="shared" si="1314"/>
        <v>0.2630141613</v>
      </c>
      <c r="U330" s="13">
        <f t="shared" si="1315"/>
        <v>14.10771439</v>
      </c>
      <c r="V330" s="13">
        <f t="shared" si="1316"/>
        <v>0.1185066777</v>
      </c>
      <c r="W330" s="13">
        <f t="shared" si="1317"/>
        <v>0.6462761764</v>
      </c>
      <c r="X330" s="13">
        <v>1.005</v>
      </c>
      <c r="Y330" s="13">
        <f t="shared" si="1318"/>
        <v>0.6262132515</v>
      </c>
      <c r="Z330" s="13">
        <f t="shared" si="1319"/>
        <v>0.07611902856</v>
      </c>
      <c r="AA330" s="13">
        <f t="shared" si="1320"/>
        <v>0.4852811594</v>
      </c>
      <c r="AB330" s="13">
        <f t="shared" si="1321"/>
        <v>-0.007395112209</v>
      </c>
    </row>
    <row r="331" ht="14.25" customHeight="1">
      <c r="B331" s="31" t="s">
        <v>630</v>
      </c>
      <c r="C331" s="31" t="s">
        <v>990</v>
      </c>
      <c r="D331" s="31" t="s">
        <v>991</v>
      </c>
      <c r="E331" s="31" t="s">
        <v>992</v>
      </c>
      <c r="F331" s="31" t="s">
        <v>993</v>
      </c>
      <c r="G331" s="21" t="s">
        <v>841</v>
      </c>
      <c r="H331" s="26">
        <v>41408.0</v>
      </c>
      <c r="I331" s="27">
        <v>1368.0</v>
      </c>
      <c r="J331" s="21" t="s">
        <v>116</v>
      </c>
      <c r="K331" s="12">
        <f t="shared" ref="K331:K333" si="1322">(0.004+0.068)/0.0015275252316519</f>
        <v>47.13506429</v>
      </c>
      <c r="L331" s="21">
        <v>0.06</v>
      </c>
      <c r="M331" s="13">
        <f t="shared" ref="M331:M333" si="1323">6585/1110542</f>
        <v>0.005929537109</v>
      </c>
      <c r="N331" s="13">
        <f t="shared" ref="N331:N333" si="1324">6585/731292</f>
        <v>0.009004611017</v>
      </c>
      <c r="O331" s="13">
        <f t="shared" ref="O331:O333" si="1325">62502/1192181</f>
        <v>0.05242660301</v>
      </c>
      <c r="P331" s="21">
        <v>0.124</v>
      </c>
      <c r="Q331" s="13">
        <f t="shared" ref="Q331:Q333" si="1326">(62502/0.124)/1192181</f>
        <v>0.4227951855</v>
      </c>
      <c r="R331" s="13">
        <f t="shared" ref="R331:R333" si="1327">2569/751307</f>
        <v>0.003419374503</v>
      </c>
      <c r="S331" s="13">
        <f t="shared" ref="S331:S333" si="1328">88099/1192181</f>
        <v>0.07389733606</v>
      </c>
      <c r="T331" s="13">
        <f t="shared" ref="T331:T333" si="1329">351181/1192181</f>
        <v>0.2945702037</v>
      </c>
      <c r="U331" s="13">
        <f t="shared" ref="U331:U333" si="1330">ln(1223118)</f>
        <v>14.01691389</v>
      </c>
      <c r="V331" s="13">
        <f t="shared" ref="V331:V333" si="1331">215750/(1223118)</f>
        <v>0.1763934469</v>
      </c>
      <c r="W331" s="13">
        <f t="shared" ref="W331:W333" si="1332">748871/(1223118)</f>
        <v>0.6122639026</v>
      </c>
      <c r="X331" s="13">
        <v>0.944</v>
      </c>
      <c r="Y331" s="13">
        <f t="shared" ref="Y331:Y333" si="1333">741678/(1223118)</f>
        <v>0.6063830309</v>
      </c>
      <c r="Z331" s="13">
        <f t="shared" ref="Z331:Z333" si="1334">81394/(1223118)</f>
        <v>0.06654631851</v>
      </c>
      <c r="AA331" s="13">
        <f t="shared" ref="AA331:AA333" si="1335">1223118/3026000</f>
        <v>0.4042029081</v>
      </c>
      <c r="AB331" s="13">
        <f t="shared" ref="AB331:AB333" si="1336">(694.37-707.27)/707.27</f>
        <v>-0.01823914488</v>
      </c>
    </row>
    <row r="332" ht="14.25" customHeight="1">
      <c r="B332" s="31" t="s">
        <v>630</v>
      </c>
      <c r="C332" s="31" t="s">
        <v>990</v>
      </c>
      <c r="D332" s="31" t="s">
        <v>991</v>
      </c>
      <c r="E332" s="31" t="s">
        <v>994</v>
      </c>
      <c r="F332" s="31" t="s">
        <v>995</v>
      </c>
      <c r="G332" s="21" t="s">
        <v>841</v>
      </c>
      <c r="H332" s="26">
        <v>41408.0</v>
      </c>
      <c r="I332" s="21">
        <v>342.0</v>
      </c>
      <c r="J332" s="21" t="s">
        <v>116</v>
      </c>
      <c r="K332" s="12">
        <f t="shared" si="1322"/>
        <v>47.13506429</v>
      </c>
      <c r="L332" s="21">
        <v>0.06</v>
      </c>
      <c r="M332" s="13">
        <f t="shared" si="1323"/>
        <v>0.005929537109</v>
      </c>
      <c r="N332" s="13">
        <f t="shared" si="1324"/>
        <v>0.009004611017</v>
      </c>
      <c r="O332" s="13">
        <f t="shared" si="1325"/>
        <v>0.05242660301</v>
      </c>
      <c r="P332" s="21">
        <v>0.124</v>
      </c>
      <c r="Q332" s="13">
        <f t="shared" si="1326"/>
        <v>0.4227951855</v>
      </c>
      <c r="R332" s="13">
        <f t="shared" si="1327"/>
        <v>0.003419374503</v>
      </c>
      <c r="S332" s="13">
        <f t="shared" si="1328"/>
        <v>0.07389733606</v>
      </c>
      <c r="T332" s="13">
        <f t="shared" si="1329"/>
        <v>0.2945702037</v>
      </c>
      <c r="U332" s="13">
        <f t="shared" si="1330"/>
        <v>14.01691389</v>
      </c>
      <c r="V332" s="13">
        <f t="shared" si="1331"/>
        <v>0.1763934469</v>
      </c>
      <c r="W332" s="13">
        <f t="shared" si="1332"/>
        <v>0.6122639026</v>
      </c>
      <c r="X332" s="13">
        <v>0.944</v>
      </c>
      <c r="Y332" s="13">
        <f t="shared" si="1333"/>
        <v>0.6063830309</v>
      </c>
      <c r="Z332" s="13">
        <f t="shared" si="1334"/>
        <v>0.06654631851</v>
      </c>
      <c r="AA332" s="13">
        <f t="shared" si="1335"/>
        <v>0.4042029081</v>
      </c>
      <c r="AB332" s="13">
        <f t="shared" si="1336"/>
        <v>-0.01823914488</v>
      </c>
    </row>
    <row r="333" ht="14.25" customHeight="1">
      <c r="B333" s="31" t="s">
        <v>630</v>
      </c>
      <c r="C333" s="31" t="s">
        <v>990</v>
      </c>
      <c r="D333" s="31" t="s">
        <v>991</v>
      </c>
      <c r="E333" s="31" t="s">
        <v>996</v>
      </c>
      <c r="F333" s="31" t="s">
        <v>997</v>
      </c>
      <c r="G333" s="21" t="s">
        <v>841</v>
      </c>
      <c r="H333" s="26">
        <v>41408.0</v>
      </c>
      <c r="I333" s="21">
        <v>342.0</v>
      </c>
      <c r="J333" s="21" t="s">
        <v>116</v>
      </c>
      <c r="K333" s="12">
        <f t="shared" si="1322"/>
        <v>47.13506429</v>
      </c>
      <c r="L333" s="21">
        <v>0.06</v>
      </c>
      <c r="M333" s="13">
        <f t="shared" si="1323"/>
        <v>0.005929537109</v>
      </c>
      <c r="N333" s="13">
        <f t="shared" si="1324"/>
        <v>0.009004611017</v>
      </c>
      <c r="O333" s="13">
        <f t="shared" si="1325"/>
        <v>0.05242660301</v>
      </c>
      <c r="P333" s="21">
        <v>0.124</v>
      </c>
      <c r="Q333" s="13">
        <f t="shared" si="1326"/>
        <v>0.4227951855</v>
      </c>
      <c r="R333" s="13">
        <f t="shared" si="1327"/>
        <v>0.003419374503</v>
      </c>
      <c r="S333" s="13">
        <f t="shared" si="1328"/>
        <v>0.07389733606</v>
      </c>
      <c r="T333" s="13">
        <f t="shared" si="1329"/>
        <v>0.2945702037</v>
      </c>
      <c r="U333" s="13">
        <f t="shared" si="1330"/>
        <v>14.01691389</v>
      </c>
      <c r="V333" s="13">
        <f t="shared" si="1331"/>
        <v>0.1763934469</v>
      </c>
      <c r="W333" s="13">
        <f t="shared" si="1332"/>
        <v>0.6122639026</v>
      </c>
      <c r="X333" s="13">
        <v>0.944</v>
      </c>
      <c r="Y333" s="13">
        <f t="shared" si="1333"/>
        <v>0.6063830309</v>
      </c>
      <c r="Z333" s="13">
        <f t="shared" si="1334"/>
        <v>0.06654631851</v>
      </c>
      <c r="AA333" s="13">
        <f t="shared" si="1335"/>
        <v>0.4042029081</v>
      </c>
      <c r="AB333" s="13">
        <f t="shared" si="1336"/>
        <v>-0.01823914488</v>
      </c>
    </row>
    <row r="334" ht="14.25" customHeight="1">
      <c r="B334" s="31" t="s">
        <v>630</v>
      </c>
      <c r="C334" s="31" t="s">
        <v>998</v>
      </c>
      <c r="D334" s="31" t="s">
        <v>999</v>
      </c>
      <c r="E334" s="31" t="s">
        <v>1000</v>
      </c>
      <c r="F334" s="31" t="s">
        <v>1001</v>
      </c>
      <c r="G334" s="21" t="s">
        <v>841</v>
      </c>
      <c r="H334" s="26">
        <v>41779.0</v>
      </c>
      <c r="I334" s="32">
        <v>1317.5</v>
      </c>
      <c r="J334" s="21" t="s">
        <v>86</v>
      </c>
      <c r="K334" s="21">
        <f t="shared" ref="K334:K338" si="1337">(0.006+0.072)/0.001</f>
        <v>78</v>
      </c>
      <c r="L334" s="21">
        <v>0.05</v>
      </c>
      <c r="M334" s="13">
        <f t="shared" ref="M334:M338" si="1338">6482/1152694</f>
        <v>0.005623348434</v>
      </c>
      <c r="N334" s="13">
        <f t="shared" ref="N334:N338" si="1339">6482/767134</f>
        <v>0.008449632007</v>
      </c>
      <c r="O334" s="13">
        <f t="shared" ref="O334:O338" si="1340">64206/1240979</f>
        <v>0.05173818413</v>
      </c>
      <c r="P334" s="21">
        <v>0.114</v>
      </c>
      <c r="Q334" s="13">
        <f t="shared" ref="Q334:Q338" si="1341">(64206/0.114)/1240979</f>
        <v>0.4538437204</v>
      </c>
      <c r="R334" s="13">
        <f t="shared" ref="R334:R338" si="1342">2715/868792</f>
        <v>0.003125028776</v>
      </c>
      <c r="S334" s="13">
        <f t="shared" ref="S334:S338" si="1343">5333/1240979</f>
        <v>0.004297413574</v>
      </c>
      <c r="T334" s="13">
        <f t="shared" ref="T334:T338" si="1344">298577/1240979</f>
        <v>0.2405979473</v>
      </c>
      <c r="U334" s="13">
        <f t="shared" ref="U334:U338" si="1345">ln(1188043)</f>
        <v>13.98781797</v>
      </c>
      <c r="V334" s="13">
        <f t="shared" ref="V334:V338" si="1346">163727/(1188043)</f>
        <v>0.1378123519</v>
      </c>
      <c r="W334" s="13">
        <f t="shared" ref="W334:W338" si="1347">774980/(1188043)</f>
        <v>0.6523164566</v>
      </c>
      <c r="X334" s="13">
        <v>1.048</v>
      </c>
      <c r="Y334" s="13">
        <f t="shared" ref="Y334:Y338" si="1348">731101/(1188043)</f>
        <v>0.6153826082</v>
      </c>
      <c r="Z334" s="13">
        <f t="shared" ref="Z334:Z338" si="1349">85716/(1188043)</f>
        <v>0.0721489037</v>
      </c>
      <c r="AA334" s="13">
        <f t="shared" ref="AA334:AA338" si="1350">1188043/2913000</f>
        <v>0.4078417439</v>
      </c>
      <c r="AB334" s="13">
        <f t="shared" ref="AB334:AB338" si="1351">(706.25-713)/713</f>
        <v>-0.009467040673</v>
      </c>
    </row>
    <row r="335" ht="14.25" customHeight="1">
      <c r="B335" s="31" t="s">
        <v>630</v>
      </c>
      <c r="C335" s="31" t="s">
        <v>998</v>
      </c>
      <c r="D335" s="31" t="s">
        <v>999</v>
      </c>
      <c r="E335" s="31" t="s">
        <v>1002</v>
      </c>
      <c r="F335" s="31" t="s">
        <v>1003</v>
      </c>
      <c r="G335" s="21" t="s">
        <v>841</v>
      </c>
      <c r="H335" s="26">
        <v>41779.0</v>
      </c>
      <c r="I335" s="21">
        <v>232.5</v>
      </c>
      <c r="J335" s="21" t="s">
        <v>86</v>
      </c>
      <c r="K335" s="21">
        <f t="shared" si="1337"/>
        <v>78</v>
      </c>
      <c r="L335" s="21">
        <v>0.05</v>
      </c>
      <c r="M335" s="13">
        <f t="shared" si="1338"/>
        <v>0.005623348434</v>
      </c>
      <c r="N335" s="13">
        <f t="shared" si="1339"/>
        <v>0.008449632007</v>
      </c>
      <c r="O335" s="13">
        <f t="shared" si="1340"/>
        <v>0.05173818413</v>
      </c>
      <c r="P335" s="21">
        <v>0.114</v>
      </c>
      <c r="Q335" s="13">
        <f t="shared" si="1341"/>
        <v>0.4538437204</v>
      </c>
      <c r="R335" s="13">
        <f t="shared" si="1342"/>
        <v>0.003125028776</v>
      </c>
      <c r="S335" s="13">
        <f t="shared" si="1343"/>
        <v>0.004297413574</v>
      </c>
      <c r="T335" s="13">
        <f t="shared" si="1344"/>
        <v>0.2405979473</v>
      </c>
      <c r="U335" s="13">
        <f t="shared" si="1345"/>
        <v>13.98781797</v>
      </c>
      <c r="V335" s="13">
        <f t="shared" si="1346"/>
        <v>0.1378123519</v>
      </c>
      <c r="W335" s="13">
        <f t="shared" si="1347"/>
        <v>0.6523164566</v>
      </c>
      <c r="X335" s="13">
        <v>1.048</v>
      </c>
      <c r="Y335" s="13">
        <f t="shared" si="1348"/>
        <v>0.6153826082</v>
      </c>
      <c r="Z335" s="13">
        <f t="shared" si="1349"/>
        <v>0.0721489037</v>
      </c>
      <c r="AA335" s="13">
        <f t="shared" si="1350"/>
        <v>0.4078417439</v>
      </c>
      <c r="AB335" s="13">
        <f t="shared" si="1351"/>
        <v>-0.009467040673</v>
      </c>
    </row>
    <row r="336" ht="14.25" customHeight="1">
      <c r="B336" s="31" t="s">
        <v>630</v>
      </c>
      <c r="C336" s="31" t="s">
        <v>998</v>
      </c>
      <c r="D336" s="31" t="s">
        <v>999</v>
      </c>
      <c r="E336" s="31" t="s">
        <v>1004</v>
      </c>
      <c r="F336" s="31" t="s">
        <v>1005</v>
      </c>
      <c r="G336" s="21" t="s">
        <v>841</v>
      </c>
      <c r="H336" s="26">
        <v>41779.0</v>
      </c>
      <c r="I336" s="21">
        <v>310.0</v>
      </c>
      <c r="J336" s="21" t="s">
        <v>86</v>
      </c>
      <c r="K336" s="21">
        <f t="shared" si="1337"/>
        <v>78</v>
      </c>
      <c r="L336" s="21">
        <v>0.05</v>
      </c>
      <c r="M336" s="13">
        <f t="shared" si="1338"/>
        <v>0.005623348434</v>
      </c>
      <c r="N336" s="13">
        <f t="shared" si="1339"/>
        <v>0.008449632007</v>
      </c>
      <c r="O336" s="13">
        <f t="shared" si="1340"/>
        <v>0.05173818413</v>
      </c>
      <c r="P336" s="21">
        <v>0.114</v>
      </c>
      <c r="Q336" s="13">
        <f t="shared" si="1341"/>
        <v>0.4538437204</v>
      </c>
      <c r="R336" s="13">
        <f t="shared" si="1342"/>
        <v>0.003125028776</v>
      </c>
      <c r="S336" s="13">
        <f t="shared" si="1343"/>
        <v>0.004297413574</v>
      </c>
      <c r="T336" s="13">
        <f t="shared" si="1344"/>
        <v>0.2405979473</v>
      </c>
      <c r="U336" s="13">
        <f t="shared" si="1345"/>
        <v>13.98781797</v>
      </c>
      <c r="V336" s="13">
        <f t="shared" si="1346"/>
        <v>0.1378123519</v>
      </c>
      <c r="W336" s="13">
        <f t="shared" si="1347"/>
        <v>0.6523164566</v>
      </c>
      <c r="X336" s="13">
        <v>1.048</v>
      </c>
      <c r="Y336" s="13">
        <f t="shared" si="1348"/>
        <v>0.6153826082</v>
      </c>
      <c r="Z336" s="13">
        <f t="shared" si="1349"/>
        <v>0.0721489037</v>
      </c>
      <c r="AA336" s="13">
        <f t="shared" si="1350"/>
        <v>0.4078417439</v>
      </c>
      <c r="AB336" s="13">
        <f t="shared" si="1351"/>
        <v>-0.009467040673</v>
      </c>
    </row>
    <row r="337" ht="14.25" customHeight="1">
      <c r="B337" s="31" t="s">
        <v>630</v>
      </c>
      <c r="C337" s="31" t="s">
        <v>1006</v>
      </c>
      <c r="D337" s="31" t="s">
        <v>1007</v>
      </c>
      <c r="E337" s="31" t="s">
        <v>1008</v>
      </c>
      <c r="F337" s="31" t="s">
        <v>1009</v>
      </c>
      <c r="G337" s="21" t="s">
        <v>841</v>
      </c>
      <c r="H337" s="26">
        <v>41779.0</v>
      </c>
      <c r="I337" s="21">
        <v>331.7</v>
      </c>
      <c r="J337" s="21" t="s">
        <v>86</v>
      </c>
      <c r="K337" s="21">
        <f t="shared" si="1337"/>
        <v>78</v>
      </c>
      <c r="L337" s="21">
        <v>0.05</v>
      </c>
      <c r="M337" s="13">
        <f t="shared" si="1338"/>
        <v>0.005623348434</v>
      </c>
      <c r="N337" s="13">
        <f t="shared" si="1339"/>
        <v>0.008449632007</v>
      </c>
      <c r="O337" s="13">
        <f t="shared" si="1340"/>
        <v>0.05173818413</v>
      </c>
      <c r="P337" s="21">
        <v>0.114</v>
      </c>
      <c r="Q337" s="13">
        <f t="shared" si="1341"/>
        <v>0.4538437204</v>
      </c>
      <c r="R337" s="13">
        <f t="shared" si="1342"/>
        <v>0.003125028776</v>
      </c>
      <c r="S337" s="13">
        <f t="shared" si="1343"/>
        <v>0.004297413574</v>
      </c>
      <c r="T337" s="13">
        <f t="shared" si="1344"/>
        <v>0.2405979473</v>
      </c>
      <c r="U337" s="13">
        <f t="shared" si="1345"/>
        <v>13.98781797</v>
      </c>
      <c r="V337" s="13">
        <f t="shared" si="1346"/>
        <v>0.1378123519</v>
      </c>
      <c r="W337" s="13">
        <f t="shared" si="1347"/>
        <v>0.6523164566</v>
      </c>
      <c r="X337" s="13">
        <v>1.048</v>
      </c>
      <c r="Y337" s="13">
        <f t="shared" si="1348"/>
        <v>0.6153826082</v>
      </c>
      <c r="Z337" s="13">
        <f t="shared" si="1349"/>
        <v>0.0721489037</v>
      </c>
      <c r="AA337" s="13">
        <f t="shared" si="1350"/>
        <v>0.4078417439</v>
      </c>
      <c r="AB337" s="13">
        <f t="shared" si="1351"/>
        <v>-0.009467040673</v>
      </c>
    </row>
    <row r="338" ht="14.25" customHeight="1">
      <c r="B338" s="31" t="s">
        <v>630</v>
      </c>
      <c r="C338" s="31" t="s">
        <v>1006</v>
      </c>
      <c r="D338" s="31" t="s">
        <v>1007</v>
      </c>
      <c r="E338" s="31" t="s">
        <v>1010</v>
      </c>
      <c r="F338" s="31" t="s">
        <v>1011</v>
      </c>
      <c r="G338" s="21" t="s">
        <v>841</v>
      </c>
      <c r="H338" s="26">
        <v>41779.0</v>
      </c>
      <c r="I338" s="21">
        <v>168.3</v>
      </c>
      <c r="J338" s="21" t="s">
        <v>86</v>
      </c>
      <c r="K338" s="21">
        <f t="shared" si="1337"/>
        <v>78</v>
      </c>
      <c r="L338" s="21">
        <v>0.05</v>
      </c>
      <c r="M338" s="13">
        <f t="shared" si="1338"/>
        <v>0.005623348434</v>
      </c>
      <c r="N338" s="13">
        <f t="shared" si="1339"/>
        <v>0.008449632007</v>
      </c>
      <c r="O338" s="13">
        <f t="shared" si="1340"/>
        <v>0.05173818413</v>
      </c>
      <c r="P338" s="21">
        <v>0.114</v>
      </c>
      <c r="Q338" s="13">
        <f t="shared" si="1341"/>
        <v>0.4538437204</v>
      </c>
      <c r="R338" s="13">
        <f t="shared" si="1342"/>
        <v>0.003125028776</v>
      </c>
      <c r="S338" s="13">
        <f t="shared" si="1343"/>
        <v>0.004297413574</v>
      </c>
      <c r="T338" s="13">
        <f t="shared" si="1344"/>
        <v>0.2405979473</v>
      </c>
      <c r="U338" s="13">
        <f t="shared" si="1345"/>
        <v>13.98781797</v>
      </c>
      <c r="V338" s="13">
        <f t="shared" si="1346"/>
        <v>0.1378123519</v>
      </c>
      <c r="W338" s="13">
        <f t="shared" si="1347"/>
        <v>0.6523164566</v>
      </c>
      <c r="X338" s="13">
        <v>1.048</v>
      </c>
      <c r="Y338" s="13">
        <f t="shared" si="1348"/>
        <v>0.6153826082</v>
      </c>
      <c r="Z338" s="13">
        <f t="shared" si="1349"/>
        <v>0.0721489037</v>
      </c>
      <c r="AA338" s="13">
        <f t="shared" si="1350"/>
        <v>0.4078417439</v>
      </c>
      <c r="AB338" s="13">
        <f t="shared" si="1351"/>
        <v>-0.009467040673</v>
      </c>
    </row>
    <row r="339" ht="14.25" customHeight="1">
      <c r="B339" s="31" t="s">
        <v>630</v>
      </c>
      <c r="C339" s="31" t="s">
        <v>1012</v>
      </c>
      <c r="D339" s="31" t="s">
        <v>1013</v>
      </c>
      <c r="E339" s="31" t="s">
        <v>1014</v>
      </c>
      <c r="F339" s="31" t="s">
        <v>1015</v>
      </c>
      <c r="G339" s="21" t="s">
        <v>841</v>
      </c>
      <c r="H339" s="30">
        <v>38652.0</v>
      </c>
      <c r="I339" s="32">
        <v>1512.8</v>
      </c>
      <c r="J339" s="21" t="s">
        <v>1016</v>
      </c>
      <c r="K339" s="21">
        <f t="shared" ref="K339:K343" si="1352">(0.008+0.055)/0.0015</f>
        <v>42</v>
      </c>
      <c r="L339" s="21">
        <v>0.01</v>
      </c>
      <c r="M339" s="13">
        <f t="shared" ref="M339:M343" si="1353">6137/770016</f>
        <v>0.00796996426</v>
      </c>
      <c r="N339" s="13">
        <f t="shared" ref="N339:N343" si="1354">6137/364114</f>
        <v>0.01685461147</v>
      </c>
      <c r="O339" s="13">
        <f t="shared" ref="O339:O343" si="1355">32909/814738</f>
        <v>0.04039212606</v>
      </c>
      <c r="P339" s="21">
        <v>0.077</v>
      </c>
      <c r="Q339" s="13">
        <f t="shared" ref="Q339:Q343" si="1356">(32909/0.077)/814738</f>
        <v>0.5245730657</v>
      </c>
      <c r="R339" s="13">
        <v>0.0011603139478024483</v>
      </c>
      <c r="S339" s="13">
        <f t="shared" ref="S339:S343" si="1357">12089/814738</f>
        <v>0.01483789881</v>
      </c>
      <c r="T339" s="13">
        <f t="shared" ref="T339:T343" si="1358">323775/814738</f>
        <v>0.397397691</v>
      </c>
      <c r="U339" s="13">
        <f t="shared" ref="U339:U343" si="1359">ln(809106.9)</f>
        <v>13.60368633</v>
      </c>
      <c r="V339" s="13">
        <f t="shared" ref="V339:V343" si="1360">167193.8/(809106.9)</f>
        <v>0.2066399384</v>
      </c>
      <c r="W339" s="13">
        <f t="shared" ref="W339:W343" si="1361">457629.1/(809106.9)</f>
        <v>0.5655978215</v>
      </c>
      <c r="X339" s="13">
        <v>1.192</v>
      </c>
      <c r="Y339" s="13">
        <f t="shared" ref="Y339:Y343" si="1362">369422.1/(809106.9)</f>
        <v>0.4565800885</v>
      </c>
      <c r="Z339" s="13">
        <f t="shared" ref="Z339:Z343" si="1363">43935.5/(809106.9)</f>
        <v>0.05430123016</v>
      </c>
      <c r="AA339" s="13">
        <f t="shared" ref="AA339:AA343" si="1364">809106.9/2699147</f>
        <v>0.2997639254</v>
      </c>
      <c r="AB339" s="13">
        <f t="shared" ref="AB339:AB343" si="1365">(702.39-735.28)/735.28</f>
        <v>-0.04473125884</v>
      </c>
    </row>
    <row r="340" ht="14.25" customHeight="1">
      <c r="B340" s="31" t="s">
        <v>630</v>
      </c>
      <c r="C340" s="31" t="s">
        <v>1012</v>
      </c>
      <c r="D340" s="31" t="s">
        <v>1013</v>
      </c>
      <c r="E340" s="31" t="s">
        <v>1017</v>
      </c>
      <c r="F340" s="31" t="s">
        <v>1018</v>
      </c>
      <c r="G340" s="21" t="s">
        <v>841</v>
      </c>
      <c r="H340" s="30">
        <v>38652.0</v>
      </c>
      <c r="I340" s="32">
        <v>1240.0</v>
      </c>
      <c r="J340" s="21" t="s">
        <v>1016</v>
      </c>
      <c r="K340" s="21">
        <f t="shared" si="1352"/>
        <v>42</v>
      </c>
      <c r="L340" s="21">
        <v>0.01</v>
      </c>
      <c r="M340" s="13">
        <f t="shared" si="1353"/>
        <v>0.00796996426</v>
      </c>
      <c r="N340" s="13">
        <f t="shared" si="1354"/>
        <v>0.01685461147</v>
      </c>
      <c r="O340" s="13">
        <f t="shared" si="1355"/>
        <v>0.04039212606</v>
      </c>
      <c r="P340" s="21">
        <v>0.077</v>
      </c>
      <c r="Q340" s="13">
        <f t="shared" si="1356"/>
        <v>0.5245730657</v>
      </c>
      <c r="R340" s="13">
        <v>0.0011603139478024483</v>
      </c>
      <c r="S340" s="13">
        <f t="shared" si="1357"/>
        <v>0.01483789881</v>
      </c>
      <c r="T340" s="13">
        <f t="shared" si="1358"/>
        <v>0.397397691</v>
      </c>
      <c r="U340" s="13">
        <f t="shared" si="1359"/>
        <v>13.60368633</v>
      </c>
      <c r="V340" s="13">
        <f t="shared" si="1360"/>
        <v>0.2066399384</v>
      </c>
      <c r="W340" s="13">
        <f t="shared" si="1361"/>
        <v>0.5655978215</v>
      </c>
      <c r="X340" s="13">
        <v>1.192</v>
      </c>
      <c r="Y340" s="13">
        <f t="shared" si="1362"/>
        <v>0.4565800885</v>
      </c>
      <c r="Z340" s="13">
        <f t="shared" si="1363"/>
        <v>0.05430123016</v>
      </c>
      <c r="AA340" s="13">
        <f t="shared" si="1364"/>
        <v>0.2997639254</v>
      </c>
      <c r="AB340" s="13">
        <f t="shared" si="1365"/>
        <v>-0.04473125884</v>
      </c>
    </row>
    <row r="341" ht="14.25" customHeight="1">
      <c r="B341" s="31" t="s">
        <v>630</v>
      </c>
      <c r="C341" s="31" t="s">
        <v>1012</v>
      </c>
      <c r="D341" s="31" t="s">
        <v>1013</v>
      </c>
      <c r="E341" s="31" t="s">
        <v>1019</v>
      </c>
      <c r="F341" s="31" t="s">
        <v>1020</v>
      </c>
      <c r="G341" s="21" t="s">
        <v>841</v>
      </c>
      <c r="H341" s="30">
        <v>38652.0</v>
      </c>
      <c r="I341" s="21">
        <v>80.6</v>
      </c>
      <c r="J341" s="21" t="s">
        <v>1016</v>
      </c>
      <c r="K341" s="21">
        <f t="shared" si="1352"/>
        <v>42</v>
      </c>
      <c r="L341" s="21">
        <v>0.01</v>
      </c>
      <c r="M341" s="13">
        <f t="shared" si="1353"/>
        <v>0.00796996426</v>
      </c>
      <c r="N341" s="13">
        <f t="shared" si="1354"/>
        <v>0.01685461147</v>
      </c>
      <c r="O341" s="13">
        <f t="shared" si="1355"/>
        <v>0.04039212606</v>
      </c>
      <c r="P341" s="21">
        <v>0.077</v>
      </c>
      <c r="Q341" s="13">
        <f t="shared" si="1356"/>
        <v>0.5245730657</v>
      </c>
      <c r="R341" s="13">
        <v>0.0011603139478024483</v>
      </c>
      <c r="S341" s="13">
        <f t="shared" si="1357"/>
        <v>0.01483789881</v>
      </c>
      <c r="T341" s="13">
        <f t="shared" si="1358"/>
        <v>0.397397691</v>
      </c>
      <c r="U341" s="13">
        <f t="shared" si="1359"/>
        <v>13.60368633</v>
      </c>
      <c r="V341" s="13">
        <f t="shared" si="1360"/>
        <v>0.2066399384</v>
      </c>
      <c r="W341" s="13">
        <f t="shared" si="1361"/>
        <v>0.5655978215</v>
      </c>
      <c r="X341" s="13">
        <v>1.192</v>
      </c>
      <c r="Y341" s="13">
        <f t="shared" si="1362"/>
        <v>0.4565800885</v>
      </c>
      <c r="Z341" s="13">
        <f t="shared" si="1363"/>
        <v>0.05430123016</v>
      </c>
      <c r="AA341" s="13">
        <f t="shared" si="1364"/>
        <v>0.2997639254</v>
      </c>
      <c r="AB341" s="13">
        <f t="shared" si="1365"/>
        <v>-0.04473125884</v>
      </c>
    </row>
    <row r="342" ht="14.25" customHeight="1">
      <c r="B342" s="31" t="s">
        <v>630</v>
      </c>
      <c r="C342" s="31" t="s">
        <v>1012</v>
      </c>
      <c r="D342" s="31" t="s">
        <v>1013</v>
      </c>
      <c r="E342" s="31" t="s">
        <v>1021</v>
      </c>
      <c r="F342" s="31" t="s">
        <v>1022</v>
      </c>
      <c r="G342" s="21" t="s">
        <v>841</v>
      </c>
      <c r="H342" s="30">
        <v>38652.0</v>
      </c>
      <c r="I342" s="21">
        <v>96.1</v>
      </c>
      <c r="J342" s="21" t="s">
        <v>1016</v>
      </c>
      <c r="K342" s="21">
        <f t="shared" si="1352"/>
        <v>42</v>
      </c>
      <c r="L342" s="21">
        <v>0.01</v>
      </c>
      <c r="M342" s="13">
        <f t="shared" si="1353"/>
        <v>0.00796996426</v>
      </c>
      <c r="N342" s="13">
        <f t="shared" si="1354"/>
        <v>0.01685461147</v>
      </c>
      <c r="O342" s="13">
        <f t="shared" si="1355"/>
        <v>0.04039212606</v>
      </c>
      <c r="P342" s="21">
        <v>0.077</v>
      </c>
      <c r="Q342" s="13">
        <f t="shared" si="1356"/>
        <v>0.5245730657</v>
      </c>
      <c r="R342" s="13">
        <v>0.0011603139478024483</v>
      </c>
      <c r="S342" s="13">
        <f t="shared" si="1357"/>
        <v>0.01483789881</v>
      </c>
      <c r="T342" s="13">
        <f t="shared" si="1358"/>
        <v>0.397397691</v>
      </c>
      <c r="U342" s="13">
        <f t="shared" si="1359"/>
        <v>13.60368633</v>
      </c>
      <c r="V342" s="13">
        <f t="shared" si="1360"/>
        <v>0.2066399384</v>
      </c>
      <c r="W342" s="13">
        <f t="shared" si="1361"/>
        <v>0.5655978215</v>
      </c>
      <c r="X342" s="13">
        <v>1.192</v>
      </c>
      <c r="Y342" s="13">
        <f t="shared" si="1362"/>
        <v>0.4565800885</v>
      </c>
      <c r="Z342" s="13">
        <f t="shared" si="1363"/>
        <v>0.05430123016</v>
      </c>
      <c r="AA342" s="13">
        <f t="shared" si="1364"/>
        <v>0.2997639254</v>
      </c>
      <c r="AB342" s="13">
        <f t="shared" si="1365"/>
        <v>-0.04473125884</v>
      </c>
    </row>
    <row r="343" ht="14.25" customHeight="1">
      <c r="B343" s="31" t="s">
        <v>630</v>
      </c>
      <c r="C343" s="31" t="s">
        <v>1012</v>
      </c>
      <c r="D343" s="31" t="s">
        <v>1013</v>
      </c>
      <c r="E343" s="31" t="s">
        <v>1023</v>
      </c>
      <c r="F343" s="31" t="s">
        <v>1024</v>
      </c>
      <c r="G343" s="21" t="s">
        <v>841</v>
      </c>
      <c r="H343" s="30">
        <v>38652.0</v>
      </c>
      <c r="I343" s="21">
        <v>170.5</v>
      </c>
      <c r="J343" s="21" t="s">
        <v>1016</v>
      </c>
      <c r="K343" s="21">
        <f t="shared" si="1352"/>
        <v>42</v>
      </c>
      <c r="L343" s="21">
        <v>0.01</v>
      </c>
      <c r="M343" s="13">
        <f t="shared" si="1353"/>
        <v>0.00796996426</v>
      </c>
      <c r="N343" s="13">
        <f t="shared" si="1354"/>
        <v>0.01685461147</v>
      </c>
      <c r="O343" s="13">
        <f t="shared" si="1355"/>
        <v>0.04039212606</v>
      </c>
      <c r="P343" s="21">
        <v>0.077</v>
      </c>
      <c r="Q343" s="13">
        <f t="shared" si="1356"/>
        <v>0.5245730657</v>
      </c>
      <c r="R343" s="13">
        <v>0.0011603139478024483</v>
      </c>
      <c r="S343" s="13">
        <f t="shared" si="1357"/>
        <v>0.01483789881</v>
      </c>
      <c r="T343" s="13">
        <f t="shared" si="1358"/>
        <v>0.397397691</v>
      </c>
      <c r="U343" s="13">
        <f t="shared" si="1359"/>
        <v>13.60368633</v>
      </c>
      <c r="V343" s="13">
        <f t="shared" si="1360"/>
        <v>0.2066399384</v>
      </c>
      <c r="W343" s="13">
        <f t="shared" si="1361"/>
        <v>0.5655978215</v>
      </c>
      <c r="X343" s="13">
        <v>1.192</v>
      </c>
      <c r="Y343" s="13">
        <f t="shared" si="1362"/>
        <v>0.4565800885</v>
      </c>
      <c r="Z343" s="13">
        <f t="shared" si="1363"/>
        <v>0.05430123016</v>
      </c>
      <c r="AA343" s="13">
        <f t="shared" si="1364"/>
        <v>0.2997639254</v>
      </c>
      <c r="AB343" s="13">
        <f t="shared" si="1365"/>
        <v>-0.04473125884</v>
      </c>
    </row>
    <row r="344" ht="14.25" customHeight="1">
      <c r="B344" s="31" t="s">
        <v>630</v>
      </c>
      <c r="C344" s="31" t="s">
        <v>1025</v>
      </c>
      <c r="D344" s="31" t="s">
        <v>1026</v>
      </c>
      <c r="E344" s="31" t="s">
        <v>1027</v>
      </c>
      <c r="F344" s="31" t="s">
        <v>1028</v>
      </c>
      <c r="G344" s="21" t="s">
        <v>841</v>
      </c>
      <c r="H344" s="30">
        <v>40871.0</v>
      </c>
      <c r="I344" s="27">
        <v>3760.0</v>
      </c>
      <c r="J344" s="21" t="s">
        <v>361</v>
      </c>
      <c r="K344" s="12">
        <f t="shared" ref="K344:K346" si="1366">(0.006+0.066)/0.0023804761428476</f>
        <v>30.24604982</v>
      </c>
      <c r="L344" s="21">
        <v>0.044</v>
      </c>
      <c r="M344" s="13">
        <f t="shared" ref="M344:M346" si="1367">(30024/4)/1199194</f>
        <v>0.006259204099</v>
      </c>
      <c r="N344" s="13">
        <f t="shared" ref="N344:N346" si="1368">(30024/4)/761655</f>
        <v>0.009854855545</v>
      </c>
      <c r="O344" s="13">
        <f t="shared" ref="O344:O346" si="1369">63031/1283349</f>
        <v>0.04911446536</v>
      </c>
      <c r="P344" s="21">
        <v>0.111</v>
      </c>
      <c r="Q344" s="13">
        <f t="shared" ref="Q344:Q346" si="1370">(63031/0.111)/1283349</f>
        <v>0.4424726609</v>
      </c>
      <c r="R344" s="13">
        <f t="shared" ref="R344:R346" si="1371">2316/741948</f>
        <v>0.003121512559</v>
      </c>
      <c r="S344" s="13">
        <f t="shared" ref="S344:S346" si="1372">111943/1283349</f>
        <v>0.08722724684</v>
      </c>
      <c r="T344" s="13">
        <f t="shared" ref="T344:T346" si="1373">358229/1283349</f>
        <v>0.2791360729</v>
      </c>
      <c r="U344" s="13">
        <f t="shared" ref="U344:U346" si="1374">ln(1251526)</f>
        <v>14.03987416</v>
      </c>
      <c r="V344" s="13">
        <f t="shared" ref="V344:V346" si="1375">196308/(1251526)</f>
        <v>0.1568549115</v>
      </c>
      <c r="W344" s="13">
        <f t="shared" ref="W344:W346" si="1376">749232/(1251526)</f>
        <v>0.5986547623</v>
      </c>
      <c r="X344" s="13">
        <v>0.972</v>
      </c>
      <c r="Y344" s="13">
        <f t="shared" ref="Y344:Y346" si="1377">621913/(1251526)</f>
        <v>0.4969237555</v>
      </c>
      <c r="Z344" s="13">
        <f t="shared" ref="Z344:Z346" si="1378">82859/(1251526)</f>
        <v>0.06620637526</v>
      </c>
      <c r="AA344" s="13">
        <f t="shared" ref="AA344:AA346" si="1379">1251526/3400000</f>
        <v>0.3680958824</v>
      </c>
      <c r="AB344" s="13">
        <f t="shared" ref="AB344:AB346" si="1380">(695.93-745.65)/745.65</f>
        <v>-0.06668007778</v>
      </c>
    </row>
    <row r="345" ht="14.25" customHeight="1">
      <c r="B345" s="31" t="s">
        <v>630</v>
      </c>
      <c r="C345" s="31" t="s">
        <v>1025</v>
      </c>
      <c r="D345" s="31" t="s">
        <v>1026</v>
      </c>
      <c r="E345" s="31" t="s">
        <v>1029</v>
      </c>
      <c r="F345" s="31" t="s">
        <v>1030</v>
      </c>
      <c r="G345" s="21" t="s">
        <v>841</v>
      </c>
      <c r="H345" s="30">
        <v>40871.0</v>
      </c>
      <c r="I345" s="21">
        <v>940.0</v>
      </c>
      <c r="J345" s="21" t="s">
        <v>361</v>
      </c>
      <c r="K345" s="12">
        <f t="shared" si="1366"/>
        <v>30.24604982</v>
      </c>
      <c r="L345" s="21">
        <v>0.044</v>
      </c>
      <c r="M345" s="13">
        <f t="shared" si="1367"/>
        <v>0.006259204099</v>
      </c>
      <c r="N345" s="13">
        <f t="shared" si="1368"/>
        <v>0.009854855545</v>
      </c>
      <c r="O345" s="13">
        <f t="shared" si="1369"/>
        <v>0.04911446536</v>
      </c>
      <c r="P345" s="21">
        <v>0.111</v>
      </c>
      <c r="Q345" s="13">
        <f t="shared" si="1370"/>
        <v>0.4424726609</v>
      </c>
      <c r="R345" s="13">
        <f t="shared" si="1371"/>
        <v>0.003121512559</v>
      </c>
      <c r="S345" s="13">
        <f t="shared" si="1372"/>
        <v>0.08722724684</v>
      </c>
      <c r="T345" s="13">
        <f t="shared" si="1373"/>
        <v>0.2791360729</v>
      </c>
      <c r="U345" s="13">
        <f t="shared" si="1374"/>
        <v>14.03987416</v>
      </c>
      <c r="V345" s="13">
        <f t="shared" si="1375"/>
        <v>0.1568549115</v>
      </c>
      <c r="W345" s="13">
        <f t="shared" si="1376"/>
        <v>0.5986547623</v>
      </c>
      <c r="X345" s="13">
        <v>0.972</v>
      </c>
      <c r="Y345" s="13">
        <f t="shared" si="1377"/>
        <v>0.4969237555</v>
      </c>
      <c r="Z345" s="13">
        <f t="shared" si="1378"/>
        <v>0.06620637526</v>
      </c>
      <c r="AA345" s="13">
        <f t="shared" si="1379"/>
        <v>0.3680958824</v>
      </c>
      <c r="AB345" s="13">
        <f t="shared" si="1380"/>
        <v>-0.06668007778</v>
      </c>
    </row>
    <row r="346" ht="14.25" customHeight="1">
      <c r="B346" s="31" t="s">
        <v>630</v>
      </c>
      <c r="C346" s="31" t="s">
        <v>1025</v>
      </c>
      <c r="D346" s="31" t="s">
        <v>1026</v>
      </c>
      <c r="E346" s="31" t="s">
        <v>1031</v>
      </c>
      <c r="F346" s="31" t="s">
        <v>1032</v>
      </c>
      <c r="G346" s="21" t="s">
        <v>841</v>
      </c>
      <c r="H346" s="30">
        <v>40871.0</v>
      </c>
      <c r="I346" s="21">
        <v>940.0</v>
      </c>
      <c r="J346" s="21" t="s">
        <v>361</v>
      </c>
      <c r="K346" s="12">
        <f t="shared" si="1366"/>
        <v>30.24604982</v>
      </c>
      <c r="L346" s="21">
        <v>0.044</v>
      </c>
      <c r="M346" s="13">
        <f t="shared" si="1367"/>
        <v>0.006259204099</v>
      </c>
      <c r="N346" s="13">
        <f t="shared" si="1368"/>
        <v>0.009854855545</v>
      </c>
      <c r="O346" s="13">
        <f t="shared" si="1369"/>
        <v>0.04911446536</v>
      </c>
      <c r="P346" s="21">
        <v>0.111</v>
      </c>
      <c r="Q346" s="13">
        <f t="shared" si="1370"/>
        <v>0.4424726609</v>
      </c>
      <c r="R346" s="13">
        <f t="shared" si="1371"/>
        <v>0.003121512559</v>
      </c>
      <c r="S346" s="13">
        <f t="shared" si="1372"/>
        <v>0.08722724684</v>
      </c>
      <c r="T346" s="13">
        <f t="shared" si="1373"/>
        <v>0.2791360729</v>
      </c>
      <c r="U346" s="13">
        <f t="shared" si="1374"/>
        <v>14.03987416</v>
      </c>
      <c r="V346" s="13">
        <f t="shared" si="1375"/>
        <v>0.1568549115</v>
      </c>
      <c r="W346" s="13">
        <f t="shared" si="1376"/>
        <v>0.5986547623</v>
      </c>
      <c r="X346" s="13">
        <v>0.972</v>
      </c>
      <c r="Y346" s="13">
        <f t="shared" si="1377"/>
        <v>0.4969237555</v>
      </c>
      <c r="Z346" s="13">
        <f t="shared" si="1378"/>
        <v>0.06620637526</v>
      </c>
      <c r="AA346" s="13">
        <f t="shared" si="1379"/>
        <v>0.3680958824</v>
      </c>
      <c r="AB346" s="13">
        <f t="shared" si="1380"/>
        <v>-0.06668007778</v>
      </c>
    </row>
    <row r="347" ht="14.25" customHeight="1">
      <c r="B347" s="31" t="s">
        <v>630</v>
      </c>
      <c r="C347" s="31" t="s">
        <v>1033</v>
      </c>
      <c r="D347" s="31" t="s">
        <v>1034</v>
      </c>
      <c r="E347" s="31" t="s">
        <v>1035</v>
      </c>
      <c r="F347" s="31" t="s">
        <v>1036</v>
      </c>
      <c r="G347" s="21" t="s">
        <v>841</v>
      </c>
      <c r="H347" s="30">
        <v>39069.0</v>
      </c>
      <c r="I347" s="32">
        <v>1365.0</v>
      </c>
      <c r="J347" s="21" t="s">
        <v>762</v>
      </c>
      <c r="K347" s="12">
        <f t="shared" ref="K347:K353" si="1381">(0.009+0.057)/0.00057735026918963</f>
        <v>114.3153533</v>
      </c>
      <c r="L347" s="21">
        <v>0.009</v>
      </c>
      <c r="M347" s="13">
        <f t="shared" ref="M347:M353" si="1382">(25118.7/4)/797064.7       </f>
        <v>0.007878500955</v>
      </c>
      <c r="N347" s="13">
        <f t="shared" ref="N347:N353" si="1383">(25118.7/4)/319169.5</f>
        <v>0.01967504727</v>
      </c>
      <c r="O347" s="13">
        <v>0.043661212539530016</v>
      </c>
      <c r="P347" s="21">
        <v>0.079</v>
      </c>
      <c r="Q347" s="13">
        <v>0.552673576449747</v>
      </c>
      <c r="R347" s="13">
        <f t="shared" ref="R347:R353" si="1384">729/523552</f>
        <v>0.001392411833</v>
      </c>
      <c r="S347" s="13">
        <f t="shared" ref="S347:S353" si="1385">15000.6/844240.2</f>
        <v>0.01776816598</v>
      </c>
      <c r="T347" s="13">
        <f t="shared" ref="T347:T353" si="1386">261987.2/844240.2</f>
        <v>0.3103230573</v>
      </c>
      <c r="U347" s="13">
        <f t="shared" ref="U347:U353" si="1387">ln(833872.7)</f>
        <v>13.63383603</v>
      </c>
      <c r="V347" s="13">
        <f t="shared" ref="V347:V353" si="1388">181309.5/(833872.7)</f>
        <v>0.2174306702</v>
      </c>
      <c r="W347" s="13">
        <f t="shared" ref="W347:W353" si="1389">538327.8/(833872.7)</f>
        <v>0.6455755177</v>
      </c>
      <c r="X347" s="13">
        <v>1.64</v>
      </c>
      <c r="Y347" s="13">
        <f t="shared" ref="Y347:Y353" si="1390">335984.9/(833872.7)</f>
        <v>0.4029210934</v>
      </c>
      <c r="Z347" s="13">
        <f t="shared" ref="Z347:Z353" si="1391">47740.6/(833872.7)</f>
        <v>0.05725166443</v>
      </c>
      <c r="AA347" s="13">
        <f t="shared" ref="AA347:AA353" si="1392">833872.7/3083408</f>
        <v>0.270438651</v>
      </c>
      <c r="AB347" s="13">
        <f t="shared" ref="AB347:AB353" si="1393">(727.62-765.56)/765.56</f>
        <v>-0.04955849313</v>
      </c>
    </row>
    <row r="348" ht="14.25" customHeight="1">
      <c r="B348" s="31" t="s">
        <v>630</v>
      </c>
      <c r="C348" s="31" t="s">
        <v>1033</v>
      </c>
      <c r="D348" s="31" t="s">
        <v>1034</v>
      </c>
      <c r="E348" s="31" t="s">
        <v>1037</v>
      </c>
      <c r="F348" s="31" t="s">
        <v>1038</v>
      </c>
      <c r="G348" s="21" t="s">
        <v>841</v>
      </c>
      <c r="H348" s="30">
        <v>39069.0</v>
      </c>
      <c r="I348" s="21">
        <v>84.1</v>
      </c>
      <c r="J348" s="21" t="s">
        <v>762</v>
      </c>
      <c r="K348" s="12">
        <f t="shared" si="1381"/>
        <v>114.3153533</v>
      </c>
      <c r="L348" s="21">
        <v>0.009</v>
      </c>
      <c r="M348" s="13">
        <f t="shared" si="1382"/>
        <v>0.007878500955</v>
      </c>
      <c r="N348" s="13">
        <f t="shared" si="1383"/>
        <v>0.01967504727</v>
      </c>
      <c r="O348" s="13">
        <v>0.043661212539530016</v>
      </c>
      <c r="P348" s="21">
        <v>0.079</v>
      </c>
      <c r="Q348" s="13">
        <v>0.552673576449747</v>
      </c>
      <c r="R348" s="13">
        <f t="shared" si="1384"/>
        <v>0.001392411833</v>
      </c>
      <c r="S348" s="13">
        <f t="shared" si="1385"/>
        <v>0.01776816598</v>
      </c>
      <c r="T348" s="13">
        <f t="shared" si="1386"/>
        <v>0.3103230573</v>
      </c>
      <c r="U348" s="13">
        <f t="shared" si="1387"/>
        <v>13.63383603</v>
      </c>
      <c r="V348" s="13">
        <f t="shared" si="1388"/>
        <v>0.2174306702</v>
      </c>
      <c r="W348" s="13">
        <f t="shared" si="1389"/>
        <v>0.6455755177</v>
      </c>
      <c r="X348" s="13">
        <v>1.64</v>
      </c>
      <c r="Y348" s="13">
        <f t="shared" si="1390"/>
        <v>0.4029210934</v>
      </c>
      <c r="Z348" s="13">
        <f t="shared" si="1391"/>
        <v>0.05725166443</v>
      </c>
      <c r="AA348" s="13">
        <f t="shared" si="1392"/>
        <v>0.270438651</v>
      </c>
      <c r="AB348" s="13">
        <f t="shared" si="1393"/>
        <v>-0.04955849313</v>
      </c>
    </row>
    <row r="349" ht="14.25" customHeight="1">
      <c r="B349" s="31" t="s">
        <v>630</v>
      </c>
      <c r="C349" s="31" t="s">
        <v>1033</v>
      </c>
      <c r="D349" s="31" t="s">
        <v>1034</v>
      </c>
      <c r="E349" s="31" t="s">
        <v>1039</v>
      </c>
      <c r="F349" s="31" t="s">
        <v>111</v>
      </c>
      <c r="G349" s="21" t="s">
        <v>841</v>
      </c>
      <c r="H349" s="30">
        <v>39069.0</v>
      </c>
      <c r="I349" s="32">
        <v>1300.1</v>
      </c>
      <c r="J349" s="21" t="s">
        <v>762</v>
      </c>
      <c r="K349" s="12">
        <f t="shared" si="1381"/>
        <v>114.3153533</v>
      </c>
      <c r="L349" s="21">
        <v>0.009</v>
      </c>
      <c r="M349" s="13">
        <f t="shared" si="1382"/>
        <v>0.007878500955</v>
      </c>
      <c r="N349" s="13">
        <f t="shared" si="1383"/>
        <v>0.01967504727</v>
      </c>
      <c r="O349" s="13">
        <v>0.043661212539530016</v>
      </c>
      <c r="P349" s="21">
        <v>0.079</v>
      </c>
      <c r="Q349" s="13">
        <v>0.552673576449747</v>
      </c>
      <c r="R349" s="13">
        <f t="shared" si="1384"/>
        <v>0.001392411833</v>
      </c>
      <c r="S349" s="13">
        <f t="shared" si="1385"/>
        <v>0.01776816598</v>
      </c>
      <c r="T349" s="13">
        <f t="shared" si="1386"/>
        <v>0.3103230573</v>
      </c>
      <c r="U349" s="13">
        <f t="shared" si="1387"/>
        <v>13.63383603</v>
      </c>
      <c r="V349" s="13">
        <f t="shared" si="1388"/>
        <v>0.2174306702</v>
      </c>
      <c r="W349" s="13">
        <f t="shared" si="1389"/>
        <v>0.6455755177</v>
      </c>
      <c r="X349" s="13">
        <v>1.64</v>
      </c>
      <c r="Y349" s="13">
        <f t="shared" si="1390"/>
        <v>0.4029210934</v>
      </c>
      <c r="Z349" s="13">
        <f t="shared" si="1391"/>
        <v>0.05725166443</v>
      </c>
      <c r="AA349" s="13">
        <f t="shared" si="1392"/>
        <v>0.270438651</v>
      </c>
      <c r="AB349" s="13">
        <f t="shared" si="1393"/>
        <v>-0.04955849313</v>
      </c>
    </row>
    <row r="350" ht="14.25" customHeight="1">
      <c r="B350" s="31" t="s">
        <v>630</v>
      </c>
      <c r="C350" s="31" t="s">
        <v>1033</v>
      </c>
      <c r="D350" s="31" t="s">
        <v>1034</v>
      </c>
      <c r="E350" s="31" t="s">
        <v>1040</v>
      </c>
      <c r="F350" s="31" t="s">
        <v>1041</v>
      </c>
      <c r="G350" s="21" t="s">
        <v>841</v>
      </c>
      <c r="H350" s="30">
        <v>39069.0</v>
      </c>
      <c r="I350" s="21">
        <v>62.3</v>
      </c>
      <c r="J350" s="21" t="s">
        <v>762</v>
      </c>
      <c r="K350" s="12">
        <f t="shared" si="1381"/>
        <v>114.3153533</v>
      </c>
      <c r="L350" s="21">
        <v>0.009</v>
      </c>
      <c r="M350" s="13">
        <f t="shared" si="1382"/>
        <v>0.007878500955</v>
      </c>
      <c r="N350" s="13">
        <f t="shared" si="1383"/>
        <v>0.01967504727</v>
      </c>
      <c r="O350" s="13">
        <v>0.043661212539530016</v>
      </c>
      <c r="P350" s="21">
        <v>0.079</v>
      </c>
      <c r="Q350" s="13">
        <v>0.552673576449747</v>
      </c>
      <c r="R350" s="13">
        <f t="shared" si="1384"/>
        <v>0.001392411833</v>
      </c>
      <c r="S350" s="13">
        <f t="shared" si="1385"/>
        <v>0.01776816598</v>
      </c>
      <c r="T350" s="13">
        <f t="shared" si="1386"/>
        <v>0.3103230573</v>
      </c>
      <c r="U350" s="13">
        <f t="shared" si="1387"/>
        <v>13.63383603</v>
      </c>
      <c r="V350" s="13">
        <f t="shared" si="1388"/>
        <v>0.2174306702</v>
      </c>
      <c r="W350" s="13">
        <f t="shared" si="1389"/>
        <v>0.6455755177</v>
      </c>
      <c r="X350" s="13">
        <v>1.64</v>
      </c>
      <c r="Y350" s="13">
        <f t="shared" si="1390"/>
        <v>0.4029210934</v>
      </c>
      <c r="Z350" s="13">
        <f t="shared" si="1391"/>
        <v>0.05725166443</v>
      </c>
      <c r="AA350" s="13">
        <f t="shared" si="1392"/>
        <v>0.270438651</v>
      </c>
      <c r="AB350" s="13">
        <f t="shared" si="1393"/>
        <v>-0.04955849313</v>
      </c>
    </row>
    <row r="351" ht="14.25" customHeight="1">
      <c r="B351" s="31" t="s">
        <v>630</v>
      </c>
      <c r="C351" s="31" t="s">
        <v>1033</v>
      </c>
      <c r="D351" s="31" t="s">
        <v>1034</v>
      </c>
      <c r="E351" s="31" t="s">
        <v>1042</v>
      </c>
      <c r="F351" s="31" t="s">
        <v>1043</v>
      </c>
      <c r="G351" s="21" t="s">
        <v>841</v>
      </c>
      <c r="H351" s="30">
        <v>39069.0</v>
      </c>
      <c r="I351" s="21">
        <v>59.5</v>
      </c>
      <c r="J351" s="21" t="s">
        <v>762</v>
      </c>
      <c r="K351" s="12">
        <f t="shared" si="1381"/>
        <v>114.3153533</v>
      </c>
      <c r="L351" s="21">
        <v>0.009</v>
      </c>
      <c r="M351" s="13">
        <f t="shared" si="1382"/>
        <v>0.007878500955</v>
      </c>
      <c r="N351" s="13">
        <f t="shared" si="1383"/>
        <v>0.01967504727</v>
      </c>
      <c r="O351" s="13">
        <v>0.043661212539530016</v>
      </c>
      <c r="P351" s="21">
        <v>0.079</v>
      </c>
      <c r="Q351" s="13">
        <v>0.552673576449747</v>
      </c>
      <c r="R351" s="13">
        <f t="shared" si="1384"/>
        <v>0.001392411833</v>
      </c>
      <c r="S351" s="13">
        <f t="shared" si="1385"/>
        <v>0.01776816598</v>
      </c>
      <c r="T351" s="13">
        <f t="shared" si="1386"/>
        <v>0.3103230573</v>
      </c>
      <c r="U351" s="13">
        <f t="shared" si="1387"/>
        <v>13.63383603</v>
      </c>
      <c r="V351" s="13">
        <f t="shared" si="1388"/>
        <v>0.2174306702</v>
      </c>
      <c r="W351" s="13">
        <f t="shared" si="1389"/>
        <v>0.6455755177</v>
      </c>
      <c r="X351" s="13">
        <v>1.64</v>
      </c>
      <c r="Y351" s="13">
        <f t="shared" si="1390"/>
        <v>0.4029210934</v>
      </c>
      <c r="Z351" s="13">
        <f t="shared" si="1391"/>
        <v>0.05725166443</v>
      </c>
      <c r="AA351" s="13">
        <f t="shared" si="1392"/>
        <v>0.270438651</v>
      </c>
      <c r="AB351" s="13">
        <f t="shared" si="1393"/>
        <v>-0.04955849313</v>
      </c>
    </row>
    <row r="352" ht="14.25" customHeight="1">
      <c r="B352" s="31" t="s">
        <v>630</v>
      </c>
      <c r="C352" s="31" t="s">
        <v>1033</v>
      </c>
      <c r="D352" s="31" t="s">
        <v>1034</v>
      </c>
      <c r="E352" s="31" t="s">
        <v>1044</v>
      </c>
      <c r="F352" s="31" t="s">
        <v>1045</v>
      </c>
      <c r="G352" s="21" t="s">
        <v>841</v>
      </c>
      <c r="H352" s="30">
        <v>39069.0</v>
      </c>
      <c r="I352" s="21">
        <v>29.0</v>
      </c>
      <c r="J352" s="21" t="s">
        <v>762</v>
      </c>
      <c r="K352" s="12">
        <f t="shared" si="1381"/>
        <v>114.3153533</v>
      </c>
      <c r="L352" s="21">
        <v>0.009</v>
      </c>
      <c r="M352" s="13">
        <f t="shared" si="1382"/>
        <v>0.007878500955</v>
      </c>
      <c r="N352" s="13">
        <f t="shared" si="1383"/>
        <v>0.01967504727</v>
      </c>
      <c r="O352" s="13">
        <v>0.043661212539530016</v>
      </c>
      <c r="P352" s="21">
        <v>0.079</v>
      </c>
      <c r="Q352" s="13">
        <v>0.552673576449747</v>
      </c>
      <c r="R352" s="13">
        <f t="shared" si="1384"/>
        <v>0.001392411833</v>
      </c>
      <c r="S352" s="13">
        <f t="shared" si="1385"/>
        <v>0.01776816598</v>
      </c>
      <c r="T352" s="13">
        <f t="shared" si="1386"/>
        <v>0.3103230573</v>
      </c>
      <c r="U352" s="13">
        <f t="shared" si="1387"/>
        <v>13.63383603</v>
      </c>
      <c r="V352" s="13">
        <f t="shared" si="1388"/>
        <v>0.2174306702</v>
      </c>
      <c r="W352" s="13">
        <f t="shared" si="1389"/>
        <v>0.6455755177</v>
      </c>
      <c r="X352" s="13">
        <v>1.64</v>
      </c>
      <c r="Y352" s="13">
        <f t="shared" si="1390"/>
        <v>0.4029210934</v>
      </c>
      <c r="Z352" s="13">
        <f t="shared" si="1391"/>
        <v>0.05725166443</v>
      </c>
      <c r="AA352" s="13">
        <f t="shared" si="1392"/>
        <v>0.270438651</v>
      </c>
      <c r="AB352" s="13">
        <f t="shared" si="1393"/>
        <v>-0.04955849313</v>
      </c>
    </row>
    <row r="353" ht="14.25" customHeight="1">
      <c r="B353" s="31" t="s">
        <v>630</v>
      </c>
      <c r="C353" s="31" t="s">
        <v>1033</v>
      </c>
      <c r="D353" s="31" t="s">
        <v>1034</v>
      </c>
      <c r="E353" s="31" t="s">
        <v>1046</v>
      </c>
      <c r="F353" s="31" t="s">
        <v>1047</v>
      </c>
      <c r="G353" s="21" t="s">
        <v>841</v>
      </c>
      <c r="H353" s="30">
        <v>39069.0</v>
      </c>
      <c r="I353" s="21">
        <v>53.7</v>
      </c>
      <c r="J353" s="21" t="s">
        <v>762</v>
      </c>
      <c r="K353" s="12">
        <f t="shared" si="1381"/>
        <v>114.3153533</v>
      </c>
      <c r="L353" s="21">
        <v>0.009</v>
      </c>
      <c r="M353" s="13">
        <f t="shared" si="1382"/>
        <v>0.007878500955</v>
      </c>
      <c r="N353" s="13">
        <f t="shared" si="1383"/>
        <v>0.01967504727</v>
      </c>
      <c r="O353" s="13">
        <v>0.043661212539530016</v>
      </c>
      <c r="P353" s="21">
        <v>0.079</v>
      </c>
      <c r="Q353" s="13">
        <v>0.552673576449747</v>
      </c>
      <c r="R353" s="13">
        <f t="shared" si="1384"/>
        <v>0.001392411833</v>
      </c>
      <c r="S353" s="13">
        <f t="shared" si="1385"/>
        <v>0.01776816598</v>
      </c>
      <c r="T353" s="13">
        <f t="shared" si="1386"/>
        <v>0.3103230573</v>
      </c>
      <c r="U353" s="13">
        <f t="shared" si="1387"/>
        <v>13.63383603</v>
      </c>
      <c r="V353" s="13">
        <f t="shared" si="1388"/>
        <v>0.2174306702</v>
      </c>
      <c r="W353" s="13">
        <f t="shared" si="1389"/>
        <v>0.6455755177</v>
      </c>
      <c r="X353" s="13">
        <v>1.64</v>
      </c>
      <c r="Y353" s="13">
        <f t="shared" si="1390"/>
        <v>0.4029210934</v>
      </c>
      <c r="Z353" s="13">
        <f t="shared" si="1391"/>
        <v>0.05725166443</v>
      </c>
      <c r="AA353" s="13">
        <f t="shared" si="1392"/>
        <v>0.270438651</v>
      </c>
      <c r="AB353" s="13">
        <f t="shared" si="1393"/>
        <v>-0.04955849313</v>
      </c>
    </row>
    <row r="354" ht="14.25" customHeight="1">
      <c r="B354" s="31" t="s">
        <v>630</v>
      </c>
      <c r="C354" s="31" t="s">
        <v>1048</v>
      </c>
      <c r="D354" s="31" t="s">
        <v>1049</v>
      </c>
      <c r="E354" s="31" t="s">
        <v>1050</v>
      </c>
      <c r="F354" s="31" t="s">
        <v>1051</v>
      </c>
      <c r="G354" s="21" t="s">
        <v>841</v>
      </c>
      <c r="H354" s="26">
        <v>39230.0</v>
      </c>
      <c r="I354" s="21">
        <v>800.0</v>
      </c>
      <c r="J354" s="21" t="s">
        <v>775</v>
      </c>
      <c r="K354" s="12">
        <f t="shared" ref="K354:K361" si="1394">(0.01+0.055)/0.0021602468994693</f>
        <v>30.08915324</v>
      </c>
      <c r="L354" s="21">
        <v>0.011</v>
      </c>
      <c r="M354" s="13">
        <f t="shared" ref="M354:M361" si="1395">(31069.5/4)/837785</f>
        <v>0.009271322595</v>
      </c>
      <c r="N354" s="13">
        <f t="shared" ref="N354:N361" si="1396">(31069.5/4)/323145</f>
        <v>0.0240368101</v>
      </c>
      <c r="O354" s="13">
        <f t="shared" ref="O354:O361" si="1397">38713/886668</f>
        <v>0.04366121254</v>
      </c>
      <c r="P354" s="21">
        <v>0.078</v>
      </c>
      <c r="Q354" s="13">
        <f t="shared" ref="Q354:Q361" si="1398">(38713/0.078)/886668</f>
        <v>0.5597591351</v>
      </c>
      <c r="R354" s="13">
        <f t="shared" ref="R354:R361" si="1399">1484/554622</f>
        <v>0.00267569624</v>
      </c>
      <c r="S354" s="13">
        <f t="shared" ref="S354:S361" si="1400">19339/886668</f>
        <v>0.02181086946</v>
      </c>
      <c r="T354" s="13">
        <f t="shared" ref="T354:T361" si="1401">283754/886668</f>
        <v>0.320022827</v>
      </c>
      <c r="U354" s="13">
        <f t="shared" ref="U354:U361" si="1402">ln(883035.8)</f>
        <v>13.69112102</v>
      </c>
      <c r="V354" s="13">
        <f t="shared" ref="V354:V361" si="1403">214529.5/(883035.8)</f>
        <v>0.2429454163</v>
      </c>
      <c r="W354" s="13">
        <f t="shared" ref="W354:W361" si="1404">517844.4/(883035.8)</f>
        <v>0.5864364729</v>
      </c>
      <c r="X354" s="13">
        <v>1.678</v>
      </c>
      <c r="Y354" s="13">
        <f t="shared" ref="Y354:Y361" si="1405">353015.1/(883035.8)</f>
        <v>0.3997743919</v>
      </c>
      <c r="Z354" s="13">
        <f t="shared" ref="Z354:Z361" si="1406">48146.4/(883035.8)</f>
        <v>0.05452372373</v>
      </c>
      <c r="AA354" s="13">
        <f t="shared" ref="AA354:AA361" si="1407">883035.8/3127000</f>
        <v>0.2823907259</v>
      </c>
      <c r="AB354" s="13">
        <f t="shared" ref="AB354:AB361" si="1408">(743.54-762.44)/762.44</f>
        <v>-0.02478883584</v>
      </c>
    </row>
    <row r="355" ht="14.25" customHeight="1">
      <c r="B355" s="31" t="s">
        <v>630</v>
      </c>
      <c r="C355" s="31" t="s">
        <v>1048</v>
      </c>
      <c r="D355" s="31" t="s">
        <v>1049</v>
      </c>
      <c r="E355" s="31" t="s">
        <v>1052</v>
      </c>
      <c r="F355" s="31" t="s">
        <v>1053</v>
      </c>
      <c r="G355" s="21" t="s">
        <v>841</v>
      </c>
      <c r="H355" s="26">
        <v>39230.0</v>
      </c>
      <c r="I355" s="27">
        <v>1800.0</v>
      </c>
      <c r="J355" s="21" t="s">
        <v>775</v>
      </c>
      <c r="K355" s="12">
        <f t="shared" si="1394"/>
        <v>30.08915324</v>
      </c>
      <c r="L355" s="21">
        <v>0.011</v>
      </c>
      <c r="M355" s="13">
        <f t="shared" si="1395"/>
        <v>0.009271322595</v>
      </c>
      <c r="N355" s="13">
        <f t="shared" si="1396"/>
        <v>0.0240368101</v>
      </c>
      <c r="O355" s="13">
        <f t="shared" si="1397"/>
        <v>0.04366121254</v>
      </c>
      <c r="P355" s="21">
        <v>0.078</v>
      </c>
      <c r="Q355" s="13">
        <f t="shared" si="1398"/>
        <v>0.5597591351</v>
      </c>
      <c r="R355" s="13">
        <f t="shared" si="1399"/>
        <v>0.00267569624</v>
      </c>
      <c r="S355" s="13">
        <f t="shared" si="1400"/>
        <v>0.02181086946</v>
      </c>
      <c r="T355" s="13">
        <f t="shared" si="1401"/>
        <v>0.320022827</v>
      </c>
      <c r="U355" s="13">
        <f t="shared" si="1402"/>
        <v>13.69112102</v>
      </c>
      <c r="V355" s="13">
        <f t="shared" si="1403"/>
        <v>0.2429454163</v>
      </c>
      <c r="W355" s="13">
        <f t="shared" si="1404"/>
        <v>0.5864364729</v>
      </c>
      <c r="X355" s="13">
        <v>1.678</v>
      </c>
      <c r="Y355" s="13">
        <f t="shared" si="1405"/>
        <v>0.3997743919</v>
      </c>
      <c r="Z355" s="13">
        <f t="shared" si="1406"/>
        <v>0.05452372373</v>
      </c>
      <c r="AA355" s="13">
        <f t="shared" si="1407"/>
        <v>0.2823907259</v>
      </c>
      <c r="AB355" s="13">
        <f t="shared" si="1408"/>
        <v>-0.02478883584</v>
      </c>
    </row>
    <row r="356" ht="14.25" customHeight="1">
      <c r="B356" s="31" t="s">
        <v>630</v>
      </c>
      <c r="C356" s="31" t="s">
        <v>1048</v>
      </c>
      <c r="D356" s="31" t="s">
        <v>1049</v>
      </c>
      <c r="E356" s="31" t="s">
        <v>1054</v>
      </c>
      <c r="F356" s="31" t="s">
        <v>1055</v>
      </c>
      <c r="G356" s="21" t="s">
        <v>841</v>
      </c>
      <c r="H356" s="26">
        <v>39230.0</v>
      </c>
      <c r="I356" s="21">
        <v>627.5</v>
      </c>
      <c r="J356" s="21" t="s">
        <v>775</v>
      </c>
      <c r="K356" s="12">
        <f t="shared" si="1394"/>
        <v>30.08915324</v>
      </c>
      <c r="L356" s="21">
        <v>0.011</v>
      </c>
      <c r="M356" s="13">
        <f t="shared" si="1395"/>
        <v>0.009271322595</v>
      </c>
      <c r="N356" s="13">
        <f t="shared" si="1396"/>
        <v>0.0240368101</v>
      </c>
      <c r="O356" s="13">
        <f t="shared" si="1397"/>
        <v>0.04366121254</v>
      </c>
      <c r="P356" s="21">
        <v>0.078</v>
      </c>
      <c r="Q356" s="13">
        <f t="shared" si="1398"/>
        <v>0.5597591351</v>
      </c>
      <c r="R356" s="13">
        <f t="shared" si="1399"/>
        <v>0.00267569624</v>
      </c>
      <c r="S356" s="13">
        <f t="shared" si="1400"/>
        <v>0.02181086946</v>
      </c>
      <c r="T356" s="13">
        <f t="shared" si="1401"/>
        <v>0.320022827</v>
      </c>
      <c r="U356" s="13">
        <f t="shared" si="1402"/>
        <v>13.69112102</v>
      </c>
      <c r="V356" s="13">
        <f t="shared" si="1403"/>
        <v>0.2429454163</v>
      </c>
      <c r="W356" s="13">
        <f t="shared" si="1404"/>
        <v>0.5864364729</v>
      </c>
      <c r="X356" s="13">
        <v>1.678</v>
      </c>
      <c r="Y356" s="13">
        <f t="shared" si="1405"/>
        <v>0.3997743919</v>
      </c>
      <c r="Z356" s="13">
        <f t="shared" si="1406"/>
        <v>0.05452372373</v>
      </c>
      <c r="AA356" s="13">
        <f t="shared" si="1407"/>
        <v>0.2823907259</v>
      </c>
      <c r="AB356" s="13">
        <f t="shared" si="1408"/>
        <v>-0.02478883584</v>
      </c>
    </row>
    <row r="357" ht="14.25" customHeight="1">
      <c r="B357" s="31" t="s">
        <v>630</v>
      </c>
      <c r="C357" s="31" t="s">
        <v>1048</v>
      </c>
      <c r="D357" s="31" t="s">
        <v>1049</v>
      </c>
      <c r="E357" s="31" t="s">
        <v>1056</v>
      </c>
      <c r="F357" s="31" t="s">
        <v>1057</v>
      </c>
      <c r="G357" s="21" t="s">
        <v>841</v>
      </c>
      <c r="H357" s="26">
        <v>39230.0</v>
      </c>
      <c r="I357" s="21">
        <v>39.7</v>
      </c>
      <c r="J357" s="21" t="s">
        <v>775</v>
      </c>
      <c r="K357" s="12">
        <f t="shared" si="1394"/>
        <v>30.08915324</v>
      </c>
      <c r="L357" s="21">
        <v>0.011</v>
      </c>
      <c r="M357" s="13">
        <f t="shared" si="1395"/>
        <v>0.009271322595</v>
      </c>
      <c r="N357" s="13">
        <f t="shared" si="1396"/>
        <v>0.0240368101</v>
      </c>
      <c r="O357" s="13">
        <f t="shared" si="1397"/>
        <v>0.04366121254</v>
      </c>
      <c r="P357" s="21">
        <v>0.078</v>
      </c>
      <c r="Q357" s="13">
        <f t="shared" si="1398"/>
        <v>0.5597591351</v>
      </c>
      <c r="R357" s="13">
        <f t="shared" si="1399"/>
        <v>0.00267569624</v>
      </c>
      <c r="S357" s="13">
        <f t="shared" si="1400"/>
        <v>0.02181086946</v>
      </c>
      <c r="T357" s="13">
        <f t="shared" si="1401"/>
        <v>0.320022827</v>
      </c>
      <c r="U357" s="13">
        <f t="shared" si="1402"/>
        <v>13.69112102</v>
      </c>
      <c r="V357" s="13">
        <f t="shared" si="1403"/>
        <v>0.2429454163</v>
      </c>
      <c r="W357" s="13">
        <f t="shared" si="1404"/>
        <v>0.5864364729</v>
      </c>
      <c r="X357" s="13">
        <v>1.678</v>
      </c>
      <c r="Y357" s="13">
        <f t="shared" si="1405"/>
        <v>0.3997743919</v>
      </c>
      <c r="Z357" s="13">
        <f t="shared" si="1406"/>
        <v>0.05452372373</v>
      </c>
      <c r="AA357" s="13">
        <f t="shared" si="1407"/>
        <v>0.2823907259</v>
      </c>
      <c r="AB357" s="13">
        <f t="shared" si="1408"/>
        <v>-0.02478883584</v>
      </c>
    </row>
    <row r="358" ht="14.25" customHeight="1">
      <c r="B358" s="31" t="s">
        <v>630</v>
      </c>
      <c r="C358" s="31" t="s">
        <v>1048</v>
      </c>
      <c r="D358" s="31" t="s">
        <v>1049</v>
      </c>
      <c r="E358" s="31" t="s">
        <v>1058</v>
      </c>
      <c r="F358" s="31" t="s">
        <v>1059</v>
      </c>
      <c r="G358" s="21" t="s">
        <v>841</v>
      </c>
      <c r="H358" s="26">
        <v>39230.0</v>
      </c>
      <c r="I358" s="21">
        <v>117.3</v>
      </c>
      <c r="J358" s="21" t="s">
        <v>775</v>
      </c>
      <c r="K358" s="12">
        <f t="shared" si="1394"/>
        <v>30.08915324</v>
      </c>
      <c r="L358" s="21">
        <v>0.011</v>
      </c>
      <c r="M358" s="13">
        <f t="shared" si="1395"/>
        <v>0.009271322595</v>
      </c>
      <c r="N358" s="13">
        <f t="shared" si="1396"/>
        <v>0.0240368101</v>
      </c>
      <c r="O358" s="13">
        <f t="shared" si="1397"/>
        <v>0.04366121254</v>
      </c>
      <c r="P358" s="21">
        <v>0.078</v>
      </c>
      <c r="Q358" s="13">
        <f t="shared" si="1398"/>
        <v>0.5597591351</v>
      </c>
      <c r="R358" s="13">
        <f t="shared" si="1399"/>
        <v>0.00267569624</v>
      </c>
      <c r="S358" s="13">
        <f t="shared" si="1400"/>
        <v>0.02181086946</v>
      </c>
      <c r="T358" s="13">
        <f t="shared" si="1401"/>
        <v>0.320022827</v>
      </c>
      <c r="U358" s="13">
        <f t="shared" si="1402"/>
        <v>13.69112102</v>
      </c>
      <c r="V358" s="13">
        <f t="shared" si="1403"/>
        <v>0.2429454163</v>
      </c>
      <c r="W358" s="13">
        <f t="shared" si="1404"/>
        <v>0.5864364729</v>
      </c>
      <c r="X358" s="13">
        <v>1.678</v>
      </c>
      <c r="Y358" s="13">
        <f t="shared" si="1405"/>
        <v>0.3997743919</v>
      </c>
      <c r="Z358" s="13">
        <f t="shared" si="1406"/>
        <v>0.05452372373</v>
      </c>
      <c r="AA358" s="13">
        <f t="shared" si="1407"/>
        <v>0.2823907259</v>
      </c>
      <c r="AB358" s="13">
        <f t="shared" si="1408"/>
        <v>-0.02478883584</v>
      </c>
    </row>
    <row r="359" ht="14.25" customHeight="1">
      <c r="B359" s="31" t="s">
        <v>630</v>
      </c>
      <c r="C359" s="31" t="s">
        <v>1048</v>
      </c>
      <c r="D359" s="31" t="s">
        <v>1049</v>
      </c>
      <c r="E359" s="31" t="s">
        <v>1060</v>
      </c>
      <c r="F359" s="31" t="s">
        <v>1061</v>
      </c>
      <c r="G359" s="21" t="s">
        <v>841</v>
      </c>
      <c r="H359" s="26">
        <v>39230.0</v>
      </c>
      <c r="I359" s="21">
        <v>70.0</v>
      </c>
      <c r="J359" s="21" t="s">
        <v>775</v>
      </c>
      <c r="K359" s="12">
        <f t="shared" si="1394"/>
        <v>30.08915324</v>
      </c>
      <c r="L359" s="21">
        <v>0.011</v>
      </c>
      <c r="M359" s="13">
        <f t="shared" si="1395"/>
        <v>0.009271322595</v>
      </c>
      <c r="N359" s="13">
        <f t="shared" si="1396"/>
        <v>0.0240368101</v>
      </c>
      <c r="O359" s="13">
        <f t="shared" si="1397"/>
        <v>0.04366121254</v>
      </c>
      <c r="P359" s="21">
        <v>0.078</v>
      </c>
      <c r="Q359" s="13">
        <f t="shared" si="1398"/>
        <v>0.5597591351</v>
      </c>
      <c r="R359" s="13">
        <f t="shared" si="1399"/>
        <v>0.00267569624</v>
      </c>
      <c r="S359" s="13">
        <f t="shared" si="1400"/>
        <v>0.02181086946</v>
      </c>
      <c r="T359" s="13">
        <f t="shared" si="1401"/>
        <v>0.320022827</v>
      </c>
      <c r="U359" s="13">
        <f t="shared" si="1402"/>
        <v>13.69112102</v>
      </c>
      <c r="V359" s="13">
        <f t="shared" si="1403"/>
        <v>0.2429454163</v>
      </c>
      <c r="W359" s="13">
        <f t="shared" si="1404"/>
        <v>0.5864364729</v>
      </c>
      <c r="X359" s="13">
        <v>1.678</v>
      </c>
      <c r="Y359" s="13">
        <f t="shared" si="1405"/>
        <v>0.3997743919</v>
      </c>
      <c r="Z359" s="13">
        <f t="shared" si="1406"/>
        <v>0.05452372373</v>
      </c>
      <c r="AA359" s="13">
        <f t="shared" si="1407"/>
        <v>0.2823907259</v>
      </c>
      <c r="AB359" s="13">
        <f t="shared" si="1408"/>
        <v>-0.02478883584</v>
      </c>
    </row>
    <row r="360" ht="14.25" customHeight="1">
      <c r="B360" s="31" t="s">
        <v>630</v>
      </c>
      <c r="C360" s="31" t="s">
        <v>1048</v>
      </c>
      <c r="D360" s="31" t="s">
        <v>1049</v>
      </c>
      <c r="E360" s="31" t="s">
        <v>1062</v>
      </c>
      <c r="F360" s="31" t="s">
        <v>1063</v>
      </c>
      <c r="G360" s="21" t="s">
        <v>841</v>
      </c>
      <c r="H360" s="26">
        <v>39230.0</v>
      </c>
      <c r="I360" s="21">
        <v>45.5</v>
      </c>
      <c r="J360" s="21" t="s">
        <v>775</v>
      </c>
      <c r="K360" s="12">
        <f t="shared" si="1394"/>
        <v>30.08915324</v>
      </c>
      <c r="L360" s="21">
        <v>0.011</v>
      </c>
      <c r="M360" s="13">
        <f t="shared" si="1395"/>
        <v>0.009271322595</v>
      </c>
      <c r="N360" s="13">
        <f t="shared" si="1396"/>
        <v>0.0240368101</v>
      </c>
      <c r="O360" s="13">
        <f t="shared" si="1397"/>
        <v>0.04366121254</v>
      </c>
      <c r="P360" s="21">
        <v>0.078</v>
      </c>
      <c r="Q360" s="13">
        <f t="shared" si="1398"/>
        <v>0.5597591351</v>
      </c>
      <c r="R360" s="13">
        <f t="shared" si="1399"/>
        <v>0.00267569624</v>
      </c>
      <c r="S360" s="13">
        <f t="shared" si="1400"/>
        <v>0.02181086946</v>
      </c>
      <c r="T360" s="13">
        <f t="shared" si="1401"/>
        <v>0.320022827</v>
      </c>
      <c r="U360" s="13">
        <f t="shared" si="1402"/>
        <v>13.69112102</v>
      </c>
      <c r="V360" s="13">
        <f t="shared" si="1403"/>
        <v>0.2429454163</v>
      </c>
      <c r="W360" s="13">
        <f t="shared" si="1404"/>
        <v>0.5864364729</v>
      </c>
      <c r="X360" s="13">
        <v>1.678</v>
      </c>
      <c r="Y360" s="13">
        <f t="shared" si="1405"/>
        <v>0.3997743919</v>
      </c>
      <c r="Z360" s="13">
        <f t="shared" si="1406"/>
        <v>0.05452372373</v>
      </c>
      <c r="AA360" s="13">
        <f t="shared" si="1407"/>
        <v>0.2823907259</v>
      </c>
      <c r="AB360" s="13">
        <f t="shared" si="1408"/>
        <v>-0.02478883584</v>
      </c>
    </row>
    <row r="361" ht="14.25" customHeight="1">
      <c r="B361" s="31" t="s">
        <v>630</v>
      </c>
      <c r="C361" s="31" t="s">
        <v>1048</v>
      </c>
      <c r="D361" s="31" t="s">
        <v>1049</v>
      </c>
      <c r="E361" s="31" t="s">
        <v>1064</v>
      </c>
      <c r="F361" s="31" t="s">
        <v>1065</v>
      </c>
      <c r="G361" s="21" t="s">
        <v>841</v>
      </c>
      <c r="H361" s="26">
        <v>39230.0</v>
      </c>
      <c r="I361" s="21">
        <v>45.5</v>
      </c>
      <c r="J361" s="21" t="s">
        <v>775</v>
      </c>
      <c r="K361" s="12">
        <f t="shared" si="1394"/>
        <v>30.08915324</v>
      </c>
      <c r="L361" s="21">
        <v>0.011</v>
      </c>
      <c r="M361" s="13">
        <f t="shared" si="1395"/>
        <v>0.009271322595</v>
      </c>
      <c r="N361" s="13">
        <f t="shared" si="1396"/>
        <v>0.0240368101</v>
      </c>
      <c r="O361" s="13">
        <f t="shared" si="1397"/>
        <v>0.04366121254</v>
      </c>
      <c r="P361" s="21">
        <v>0.078</v>
      </c>
      <c r="Q361" s="13">
        <f t="shared" si="1398"/>
        <v>0.5597591351</v>
      </c>
      <c r="R361" s="13">
        <f t="shared" si="1399"/>
        <v>0.00267569624</v>
      </c>
      <c r="S361" s="13">
        <f t="shared" si="1400"/>
        <v>0.02181086946</v>
      </c>
      <c r="T361" s="13">
        <f t="shared" si="1401"/>
        <v>0.320022827</v>
      </c>
      <c r="U361" s="13">
        <f t="shared" si="1402"/>
        <v>13.69112102</v>
      </c>
      <c r="V361" s="13">
        <f t="shared" si="1403"/>
        <v>0.2429454163</v>
      </c>
      <c r="W361" s="13">
        <f t="shared" si="1404"/>
        <v>0.5864364729</v>
      </c>
      <c r="X361" s="13">
        <v>1.678</v>
      </c>
      <c r="Y361" s="13">
        <f t="shared" si="1405"/>
        <v>0.3997743919</v>
      </c>
      <c r="Z361" s="13">
        <f t="shared" si="1406"/>
        <v>0.05452372373</v>
      </c>
      <c r="AA361" s="13">
        <f t="shared" si="1407"/>
        <v>0.2823907259</v>
      </c>
      <c r="AB361" s="13">
        <f t="shared" si="1408"/>
        <v>-0.02478883584</v>
      </c>
    </row>
    <row r="362" ht="14.25" customHeight="1">
      <c r="B362" s="31" t="s">
        <v>630</v>
      </c>
      <c r="C362" s="31" t="s">
        <v>1066</v>
      </c>
      <c r="D362" s="31" t="s">
        <v>1067</v>
      </c>
      <c r="E362" s="31" t="s">
        <v>1068</v>
      </c>
      <c r="F362" s="31" t="s">
        <v>1069</v>
      </c>
      <c r="G362" s="21" t="s">
        <v>841</v>
      </c>
      <c r="H362" s="30">
        <v>40570.0</v>
      </c>
      <c r="I362" s="32">
        <v>5014.9</v>
      </c>
      <c r="J362" s="21" t="s">
        <v>311</v>
      </c>
      <c r="K362" s="12">
        <f t="shared" ref="K362:K364" si="1409">(0.005+0.065)/0.0015</f>
        <v>46.66666667</v>
      </c>
      <c r="L362" s="21">
        <v>0.039</v>
      </c>
      <c r="M362" s="13">
        <f t="shared" ref="M362:M364" si="1410">(30024/4)/1152244.9</f>
        <v>0.006514240158</v>
      </c>
      <c r="N362" s="13">
        <f t="shared" ref="N362:N364" si="1411">(30024/4)/723531.6</f>
        <v>0.01037411497</v>
      </c>
      <c r="O362" s="13">
        <f t="shared" ref="O362:O364" si="1412">60558/1231907.7</f>
        <v>0.04915790363</v>
      </c>
      <c r="P362" s="21">
        <v>0.104</v>
      </c>
      <c r="Q362" s="13">
        <f t="shared" ref="Q362:Q364" si="1413">(60558/0.104)/1231907.7</f>
        <v>0.4726721503</v>
      </c>
      <c r="R362" s="13">
        <v>0.003821596231163066</v>
      </c>
      <c r="S362" s="13">
        <f t="shared" ref="S362:S364" si="1414">5231.8/1231907.7</f>
        <v>0.004246909083</v>
      </c>
      <c r="T362" s="13">
        <f t="shared" ref="T362:T364" si="1415">300488.2/1231907.7</f>
        <v>0.243921034</v>
      </c>
      <c r="U362" s="13">
        <f t="shared" ref="U362:U364" si="1416">ln(1208563)</f>
        <v>14.00494261</v>
      </c>
      <c r="V362" s="13">
        <f t="shared" ref="V362:V364" si="1417">155029/(1208563)</f>
        <v>0.1282754809</v>
      </c>
      <c r="W362" s="13">
        <f t="shared" ref="W362:W364" si="1418">724043/(1208563)</f>
        <v>0.5990941308</v>
      </c>
      <c r="X362" s="13">
        <v>1.074</v>
      </c>
      <c r="Y362" s="13">
        <f t="shared" ref="Y362:Y364" si="1419">710473/(1208563)</f>
        <v>0.5878659201</v>
      </c>
      <c r="Z362" s="13">
        <f t="shared" ref="Z362:Z364" si="1420">79753/(1208563)</f>
        <v>0.06598994012</v>
      </c>
      <c r="AA362" s="13">
        <f t="shared" ref="AA362:AA364" si="1421">1208563/3400000</f>
        <v>0.3554597059</v>
      </c>
      <c r="AB362" s="13">
        <f t="shared" ref="AB362:AB364" si="1422">(740.29-712.18)/712.18</f>
        <v>0.03947035862</v>
      </c>
    </row>
    <row r="363" ht="14.25" customHeight="1">
      <c r="B363" s="31" t="s">
        <v>630</v>
      </c>
      <c r="C363" s="31" t="s">
        <v>1066</v>
      </c>
      <c r="D363" s="31" t="s">
        <v>1067</v>
      </c>
      <c r="E363" s="31" t="s">
        <v>1070</v>
      </c>
      <c r="F363" s="31" t="s">
        <v>1071</v>
      </c>
      <c r="G363" s="21" t="s">
        <v>841</v>
      </c>
      <c r="H363" s="30">
        <v>40570.0</v>
      </c>
      <c r="I363" s="32">
        <v>1435.1</v>
      </c>
      <c r="J363" s="21" t="s">
        <v>311</v>
      </c>
      <c r="K363" s="12">
        <f t="shared" si="1409"/>
        <v>46.66666667</v>
      </c>
      <c r="L363" s="21">
        <v>0.039</v>
      </c>
      <c r="M363" s="13">
        <f t="shared" si="1410"/>
        <v>0.006514240158</v>
      </c>
      <c r="N363" s="13">
        <f t="shared" si="1411"/>
        <v>0.01037411497</v>
      </c>
      <c r="O363" s="13">
        <f t="shared" si="1412"/>
        <v>0.04915790363</v>
      </c>
      <c r="P363" s="21">
        <v>0.104</v>
      </c>
      <c r="Q363" s="13">
        <f t="shared" si="1413"/>
        <v>0.4726721503</v>
      </c>
      <c r="R363" s="13">
        <v>0.003821596231163066</v>
      </c>
      <c r="S363" s="13">
        <f t="shared" si="1414"/>
        <v>0.004246909083</v>
      </c>
      <c r="T363" s="13">
        <f t="shared" si="1415"/>
        <v>0.243921034</v>
      </c>
      <c r="U363" s="13">
        <f t="shared" si="1416"/>
        <v>14.00494261</v>
      </c>
      <c r="V363" s="13">
        <f t="shared" si="1417"/>
        <v>0.1282754809</v>
      </c>
      <c r="W363" s="13">
        <f t="shared" si="1418"/>
        <v>0.5990941308</v>
      </c>
      <c r="X363" s="13">
        <v>1.074</v>
      </c>
      <c r="Y363" s="13">
        <f t="shared" si="1419"/>
        <v>0.5878659201</v>
      </c>
      <c r="Z363" s="13">
        <f t="shared" si="1420"/>
        <v>0.06598994012</v>
      </c>
      <c r="AA363" s="13">
        <f t="shared" si="1421"/>
        <v>0.3554597059</v>
      </c>
      <c r="AB363" s="13">
        <f t="shared" si="1422"/>
        <v>0.03947035862</v>
      </c>
    </row>
    <row r="364" ht="14.25" customHeight="1">
      <c r="B364" s="31" t="s">
        <v>630</v>
      </c>
      <c r="C364" s="31" t="s">
        <v>1066</v>
      </c>
      <c r="D364" s="31" t="s">
        <v>1067</v>
      </c>
      <c r="E364" s="31" t="s">
        <v>1072</v>
      </c>
      <c r="F364" s="31" t="s">
        <v>1073</v>
      </c>
      <c r="G364" s="21" t="s">
        <v>841</v>
      </c>
      <c r="H364" s="30">
        <v>40570.0</v>
      </c>
      <c r="I364" s="27">
        <v>1290.0</v>
      </c>
      <c r="J364" s="21" t="s">
        <v>311</v>
      </c>
      <c r="K364" s="12">
        <f t="shared" si="1409"/>
        <v>46.66666667</v>
      </c>
      <c r="L364" s="21">
        <v>0.039</v>
      </c>
      <c r="M364" s="13">
        <f t="shared" si="1410"/>
        <v>0.006514240158</v>
      </c>
      <c r="N364" s="13">
        <f t="shared" si="1411"/>
        <v>0.01037411497</v>
      </c>
      <c r="O364" s="13">
        <f t="shared" si="1412"/>
        <v>0.04915790363</v>
      </c>
      <c r="P364" s="21">
        <v>0.104</v>
      </c>
      <c r="Q364" s="13">
        <f t="shared" si="1413"/>
        <v>0.4726721503</v>
      </c>
      <c r="R364" s="13">
        <v>0.003821596231163066</v>
      </c>
      <c r="S364" s="13">
        <f t="shared" si="1414"/>
        <v>0.004246909083</v>
      </c>
      <c r="T364" s="13">
        <f t="shared" si="1415"/>
        <v>0.243921034</v>
      </c>
      <c r="U364" s="13">
        <f t="shared" si="1416"/>
        <v>14.00494261</v>
      </c>
      <c r="V364" s="13">
        <f t="shared" si="1417"/>
        <v>0.1282754809</v>
      </c>
      <c r="W364" s="13">
        <f t="shared" si="1418"/>
        <v>0.5990941308</v>
      </c>
      <c r="X364" s="13">
        <v>1.074</v>
      </c>
      <c r="Y364" s="13">
        <f t="shared" si="1419"/>
        <v>0.5878659201</v>
      </c>
      <c r="Z364" s="13">
        <f t="shared" si="1420"/>
        <v>0.06598994012</v>
      </c>
      <c r="AA364" s="13">
        <f t="shared" si="1421"/>
        <v>0.3554597059</v>
      </c>
      <c r="AB364" s="13">
        <f t="shared" si="1422"/>
        <v>0.03947035862</v>
      </c>
    </row>
    <row r="365" ht="14.25" customHeight="1">
      <c r="B365" s="31" t="s">
        <v>630</v>
      </c>
      <c r="C365" s="31" t="s">
        <v>1074</v>
      </c>
      <c r="D365" s="31" t="s">
        <v>1075</v>
      </c>
      <c r="E365" s="31" t="s">
        <v>1076</v>
      </c>
      <c r="F365" s="31" t="s">
        <v>1077</v>
      </c>
      <c r="G365" s="21" t="s">
        <v>841</v>
      </c>
      <c r="H365" s="30">
        <v>40640.0</v>
      </c>
      <c r="I365" s="32">
        <v>4226.5</v>
      </c>
      <c r="J365" s="21" t="s">
        <v>1078</v>
      </c>
      <c r="K365" s="12">
        <f t="shared" ref="K365:K367" si="1423">(0.006+0.064)/0.0015</f>
        <v>46.66666667</v>
      </c>
      <c r="L365" s="21">
        <v>0.043</v>
      </c>
      <c r="M365" s="13">
        <f t="shared" ref="M365:M367" si="1424">(30024/4)/1172186.9</f>
        <v>0.006403415701</v>
      </c>
      <c r="N365" s="13">
        <f t="shared" ref="N365:N367" si="1425">(30024/4)/654563.6</f>
        <v>0.0114671821</v>
      </c>
      <c r="O365" s="13">
        <f t="shared" ref="O365:O367" si="1426">60030/1250476.3</f>
        <v>0.04800570791</v>
      </c>
      <c r="P365" s="21">
        <v>0.107</v>
      </c>
      <c r="Q365" s="13">
        <f t="shared" ref="Q365:Q367" si="1427">(60030/0.107)/1250476.3</f>
        <v>0.4486514757</v>
      </c>
      <c r="R365" s="13">
        <f t="shared" ref="R365:R367" si="1428">3037/721290.6</f>
        <v>0.00421050822</v>
      </c>
      <c r="S365" s="13">
        <f t="shared" ref="S365:S367" si="1429">84050.2/1250476.3</f>
        <v>0.06721454857</v>
      </c>
      <c r="T365" s="13">
        <f t="shared" ref="T365:T367" si="1430">322915/1250476.3</f>
        <v>0.2582336027</v>
      </c>
      <c r="U365" s="13">
        <f t="shared" ref="U365:U367" si="1431">ln(1231907.7)</f>
        <v>14.0240745</v>
      </c>
      <c r="V365" s="13">
        <f t="shared" ref="V365:V367" si="1432">191330.6/1231907.7</f>
        <v>0.1553124475</v>
      </c>
      <c r="W365" s="13">
        <f t="shared" ref="W365:W367" si="1433">777228.4/1231907.7</f>
        <v>0.6309144752</v>
      </c>
      <c r="X365" s="13">
        <v>1.102</v>
      </c>
      <c r="Y365" s="13">
        <f t="shared" ref="Y365:Y367" si="1434">723531.6/1231907.7</f>
        <v>0.5873261446</v>
      </c>
      <c r="Z365" s="13">
        <f t="shared" ref="Z365:Z367" si="1435">79662.8/1231907.7</f>
        <v>0.06466620835</v>
      </c>
      <c r="AA365" s="13">
        <f t="shared" ref="AA365:AA367" si="1436">1231907.7/3400000</f>
        <v>0.3623257941</v>
      </c>
      <c r="AB365" s="13">
        <f t="shared" ref="AB365:AB367" si="1437">(721.74-740.29)/740.29</f>
        <v>-0.02505774764</v>
      </c>
    </row>
    <row r="366" ht="14.25" customHeight="1">
      <c r="B366" s="31" t="s">
        <v>630</v>
      </c>
      <c r="C366" s="31" t="s">
        <v>1074</v>
      </c>
      <c r="D366" s="31" t="s">
        <v>1075</v>
      </c>
      <c r="E366" s="31" t="s">
        <v>1079</v>
      </c>
      <c r="F366" s="31" t="s">
        <v>1080</v>
      </c>
      <c r="G366" s="21" t="s">
        <v>841</v>
      </c>
      <c r="H366" s="30">
        <v>40640.0</v>
      </c>
      <c r="I366" s="32">
        <v>1123.5</v>
      </c>
      <c r="J366" s="21" t="s">
        <v>1078</v>
      </c>
      <c r="K366" s="12">
        <f t="shared" si="1423"/>
        <v>46.66666667</v>
      </c>
      <c r="L366" s="21">
        <v>0.043</v>
      </c>
      <c r="M366" s="13">
        <f t="shared" si="1424"/>
        <v>0.006403415701</v>
      </c>
      <c r="N366" s="13">
        <f t="shared" si="1425"/>
        <v>0.0114671821</v>
      </c>
      <c r="O366" s="13">
        <f t="shared" si="1426"/>
        <v>0.04800570791</v>
      </c>
      <c r="P366" s="21">
        <v>0.107</v>
      </c>
      <c r="Q366" s="13">
        <f t="shared" si="1427"/>
        <v>0.4486514757</v>
      </c>
      <c r="R366" s="13">
        <f t="shared" si="1428"/>
        <v>0.00421050822</v>
      </c>
      <c r="S366" s="13">
        <f t="shared" si="1429"/>
        <v>0.06721454857</v>
      </c>
      <c r="T366" s="13">
        <f t="shared" si="1430"/>
        <v>0.2582336027</v>
      </c>
      <c r="U366" s="13">
        <f t="shared" si="1431"/>
        <v>14.0240745</v>
      </c>
      <c r="V366" s="13">
        <f t="shared" si="1432"/>
        <v>0.1553124475</v>
      </c>
      <c r="W366" s="13">
        <f t="shared" si="1433"/>
        <v>0.6309144752</v>
      </c>
      <c r="X366" s="13">
        <v>1.102</v>
      </c>
      <c r="Y366" s="13">
        <f t="shared" si="1434"/>
        <v>0.5873261446</v>
      </c>
      <c r="Z366" s="13">
        <f t="shared" si="1435"/>
        <v>0.06466620835</v>
      </c>
      <c r="AA366" s="13">
        <f t="shared" si="1436"/>
        <v>0.3623257941</v>
      </c>
      <c r="AB366" s="13">
        <f t="shared" si="1437"/>
        <v>-0.02505774764</v>
      </c>
    </row>
    <row r="367" ht="14.25" customHeight="1">
      <c r="B367" s="31" t="s">
        <v>630</v>
      </c>
      <c r="C367" s="31" t="s">
        <v>1074</v>
      </c>
      <c r="D367" s="31" t="s">
        <v>1075</v>
      </c>
      <c r="E367" s="31" t="s">
        <v>1081</v>
      </c>
      <c r="F367" s="31" t="s">
        <v>1082</v>
      </c>
      <c r="G367" s="21" t="s">
        <v>841</v>
      </c>
      <c r="H367" s="30">
        <v>40640.0</v>
      </c>
      <c r="I367" s="27">
        <v>1070.0</v>
      </c>
      <c r="J367" s="21" t="s">
        <v>1078</v>
      </c>
      <c r="K367" s="12">
        <f t="shared" si="1423"/>
        <v>46.66666667</v>
      </c>
      <c r="L367" s="21">
        <v>0.043</v>
      </c>
      <c r="M367" s="13">
        <f t="shared" si="1424"/>
        <v>0.006403415701</v>
      </c>
      <c r="N367" s="13">
        <f t="shared" si="1425"/>
        <v>0.0114671821</v>
      </c>
      <c r="O367" s="13">
        <f t="shared" si="1426"/>
        <v>0.04800570791</v>
      </c>
      <c r="P367" s="21">
        <v>0.107</v>
      </c>
      <c r="Q367" s="13">
        <f t="shared" si="1427"/>
        <v>0.4486514757</v>
      </c>
      <c r="R367" s="13">
        <f t="shared" si="1428"/>
        <v>0.00421050822</v>
      </c>
      <c r="S367" s="13">
        <f t="shared" si="1429"/>
        <v>0.06721454857</v>
      </c>
      <c r="T367" s="13">
        <f t="shared" si="1430"/>
        <v>0.2582336027</v>
      </c>
      <c r="U367" s="13">
        <f t="shared" si="1431"/>
        <v>14.0240745</v>
      </c>
      <c r="V367" s="13">
        <f t="shared" si="1432"/>
        <v>0.1553124475</v>
      </c>
      <c r="W367" s="13">
        <f t="shared" si="1433"/>
        <v>0.6309144752</v>
      </c>
      <c r="X367" s="13">
        <v>1.102</v>
      </c>
      <c r="Y367" s="13">
        <f t="shared" si="1434"/>
        <v>0.5873261446</v>
      </c>
      <c r="Z367" s="13">
        <f t="shared" si="1435"/>
        <v>0.06466620835</v>
      </c>
      <c r="AA367" s="13">
        <f t="shared" si="1436"/>
        <v>0.3623257941</v>
      </c>
      <c r="AB367" s="13">
        <f t="shared" si="1437"/>
        <v>-0.02505774764</v>
      </c>
    </row>
    <row r="368" ht="14.25" customHeight="1">
      <c r="B368" s="31" t="s">
        <v>630</v>
      </c>
      <c r="C368" s="31" t="s">
        <v>1083</v>
      </c>
      <c r="D368" s="31" t="s">
        <v>1084</v>
      </c>
      <c r="E368" s="31" t="s">
        <v>1085</v>
      </c>
      <c r="F368" s="31" t="s">
        <v>1086</v>
      </c>
      <c r="G368" s="21" t="s">
        <v>1087</v>
      </c>
      <c r="H368" s="30">
        <v>38651.0</v>
      </c>
      <c r="I368" s="21">
        <v>549.4</v>
      </c>
      <c r="J368" s="21" t="s">
        <v>1016</v>
      </c>
      <c r="K368" s="13">
        <f t="shared" ref="K368:K371" si="1438">(0.01+0.066)/0.0026299556396766</f>
        <v>28.89782582</v>
      </c>
      <c r="L368" s="13">
        <v>0.005</v>
      </c>
      <c r="M368" s="13">
        <f t="shared" ref="M368:M371" si="1439">289.5/53388.7</f>
        <v>0.005422495772</v>
      </c>
      <c r="N368" s="13">
        <f t="shared" ref="N368:N371" si="1440">289.5/28232</f>
        <v>0.01025432134</v>
      </c>
      <c r="O368" s="13">
        <f t="shared" ref="O368:O371" si="1441">3533.5/57156.8</f>
        <v>0.06182116564</v>
      </c>
      <c r="P368" s="13">
        <v>0.077</v>
      </c>
      <c r="Q368" s="13">
        <f t="shared" ref="Q368:Q371" si="1442">(3533.5/0.077)/57156.8</f>
        <v>0.802872281</v>
      </c>
      <c r="R368" s="13">
        <f t="shared" ref="R368:R371" si="1443">12.675/49176.9</f>
        <v>0.0002577429647</v>
      </c>
      <c r="S368" s="13">
        <f t="shared" ref="S368:S371" si="1444">713.5/57156.8</f>
        <v>0.0124832041</v>
      </c>
      <c r="T368" s="13">
        <f t="shared" ref="T368:T371" si="1445">4827.6/57156.8</f>
        <v>0.08446239118</v>
      </c>
      <c r="U368" s="13">
        <f t="shared" ref="U368:U371" si="1446">ln(52320.4)</f>
        <v>10.86514163</v>
      </c>
      <c r="V368" s="13">
        <f t="shared" ref="V368:V371" si="1447">661.9/(52320.4)</f>
        <v>0.01265089716</v>
      </c>
      <c r="W368" s="13">
        <f t="shared" ref="W368:W371" si="1448">43051.2/(52320.4)</f>
        <v>0.8228377459</v>
      </c>
      <c r="X368" s="13">
        <v>1.742</v>
      </c>
      <c r="Y368" s="13">
        <f t="shared" ref="Y368:Y371" si="1449">25073.7/(52320.4)</f>
        <v>0.4792337215</v>
      </c>
      <c r="Z368" s="13">
        <f t="shared" ref="Z368:Z371" si="1450">3506.7/(52320.4)</f>
        <v>0.06702357016</v>
      </c>
      <c r="AA368" s="13">
        <f t="shared" ref="AA368:AA371" si="1451">52320.4/2699147</f>
        <v>0.01938404985</v>
      </c>
      <c r="AB368" s="13">
        <f t="shared" ref="AB368:AB371" si="1452">(702.39-735.28)/735.28</f>
        <v>-0.04473125884</v>
      </c>
    </row>
    <row r="369" ht="14.25" customHeight="1">
      <c r="B369" s="31" t="s">
        <v>630</v>
      </c>
      <c r="C369" s="31" t="s">
        <v>1083</v>
      </c>
      <c r="D369" s="31" t="s">
        <v>1084</v>
      </c>
      <c r="E369" s="31" t="s">
        <v>1088</v>
      </c>
      <c r="F369" s="31" t="s">
        <v>1089</v>
      </c>
      <c r="G369" s="21" t="s">
        <v>1087</v>
      </c>
      <c r="H369" s="30">
        <v>38651.0</v>
      </c>
      <c r="I369" s="21">
        <v>162.3</v>
      </c>
      <c r="J369" s="21" t="s">
        <v>1016</v>
      </c>
      <c r="K369" s="13">
        <f t="shared" si="1438"/>
        <v>28.89782582</v>
      </c>
      <c r="L369" s="13">
        <v>0.005</v>
      </c>
      <c r="M369" s="13">
        <f t="shared" si="1439"/>
        <v>0.005422495772</v>
      </c>
      <c r="N369" s="13">
        <f t="shared" si="1440"/>
        <v>0.01025432134</v>
      </c>
      <c r="O369" s="13">
        <f t="shared" si="1441"/>
        <v>0.06182116564</v>
      </c>
      <c r="P369" s="13">
        <v>0.077</v>
      </c>
      <c r="Q369" s="13">
        <f t="shared" si="1442"/>
        <v>0.802872281</v>
      </c>
      <c r="R369" s="13">
        <f t="shared" si="1443"/>
        <v>0.0002577429647</v>
      </c>
      <c r="S369" s="13">
        <f t="shared" si="1444"/>
        <v>0.0124832041</v>
      </c>
      <c r="T369" s="13">
        <f t="shared" si="1445"/>
        <v>0.08446239118</v>
      </c>
      <c r="U369" s="13">
        <f t="shared" si="1446"/>
        <v>10.86514163</v>
      </c>
      <c r="V369" s="13">
        <f t="shared" si="1447"/>
        <v>0.01265089716</v>
      </c>
      <c r="W369" s="13">
        <f t="shared" si="1448"/>
        <v>0.8228377459</v>
      </c>
      <c r="X369" s="13">
        <v>1.742</v>
      </c>
      <c r="Y369" s="13">
        <f t="shared" si="1449"/>
        <v>0.4792337215</v>
      </c>
      <c r="Z369" s="13">
        <f t="shared" si="1450"/>
        <v>0.06702357016</v>
      </c>
      <c r="AA369" s="13">
        <f t="shared" si="1451"/>
        <v>0.01938404985</v>
      </c>
      <c r="AB369" s="13">
        <f t="shared" si="1452"/>
        <v>-0.04473125884</v>
      </c>
    </row>
    <row r="370" ht="14.25" customHeight="1">
      <c r="B370" s="31" t="s">
        <v>630</v>
      </c>
      <c r="C370" s="31" t="s">
        <v>1083</v>
      </c>
      <c r="D370" s="31" t="s">
        <v>1084</v>
      </c>
      <c r="E370" s="31" t="s">
        <v>1090</v>
      </c>
      <c r="F370" s="31" t="s">
        <v>1091</v>
      </c>
      <c r="G370" s="21" t="s">
        <v>1087</v>
      </c>
      <c r="H370" s="30">
        <v>38651.0</v>
      </c>
      <c r="I370" s="21">
        <v>24.0</v>
      </c>
      <c r="J370" s="21" t="s">
        <v>1016</v>
      </c>
      <c r="K370" s="13">
        <f t="shared" si="1438"/>
        <v>28.89782582</v>
      </c>
      <c r="L370" s="13">
        <v>0.005</v>
      </c>
      <c r="M370" s="13">
        <f t="shared" si="1439"/>
        <v>0.005422495772</v>
      </c>
      <c r="N370" s="13">
        <f t="shared" si="1440"/>
        <v>0.01025432134</v>
      </c>
      <c r="O370" s="13">
        <f t="shared" si="1441"/>
        <v>0.06182116564</v>
      </c>
      <c r="P370" s="13">
        <v>0.077</v>
      </c>
      <c r="Q370" s="13">
        <f t="shared" si="1442"/>
        <v>0.802872281</v>
      </c>
      <c r="R370" s="13">
        <f t="shared" si="1443"/>
        <v>0.0002577429647</v>
      </c>
      <c r="S370" s="13">
        <f t="shared" si="1444"/>
        <v>0.0124832041</v>
      </c>
      <c r="T370" s="13">
        <f t="shared" si="1445"/>
        <v>0.08446239118</v>
      </c>
      <c r="U370" s="13">
        <f t="shared" si="1446"/>
        <v>10.86514163</v>
      </c>
      <c r="V370" s="13">
        <f t="shared" si="1447"/>
        <v>0.01265089716</v>
      </c>
      <c r="W370" s="13">
        <f t="shared" si="1448"/>
        <v>0.8228377459</v>
      </c>
      <c r="X370" s="13">
        <v>1.742</v>
      </c>
      <c r="Y370" s="13">
        <f t="shared" si="1449"/>
        <v>0.4792337215</v>
      </c>
      <c r="Z370" s="13">
        <f t="shared" si="1450"/>
        <v>0.06702357016</v>
      </c>
      <c r="AA370" s="13">
        <f t="shared" si="1451"/>
        <v>0.01938404985</v>
      </c>
      <c r="AB370" s="13">
        <f t="shared" si="1452"/>
        <v>-0.04473125884</v>
      </c>
    </row>
    <row r="371" ht="14.25" customHeight="1">
      <c r="B371" s="31" t="s">
        <v>630</v>
      </c>
      <c r="C371" s="31" t="s">
        <v>1083</v>
      </c>
      <c r="D371" s="31" t="s">
        <v>1084</v>
      </c>
      <c r="E371" s="31" t="s">
        <v>1092</v>
      </c>
      <c r="F371" s="31" t="s">
        <v>1093</v>
      </c>
      <c r="G371" s="21" t="s">
        <v>1087</v>
      </c>
      <c r="H371" s="30">
        <v>38651.0</v>
      </c>
      <c r="I371" s="21">
        <v>14.3</v>
      </c>
      <c r="J371" s="21" t="s">
        <v>1016</v>
      </c>
      <c r="K371" s="13">
        <f t="shared" si="1438"/>
        <v>28.89782582</v>
      </c>
      <c r="L371" s="13">
        <v>0.005</v>
      </c>
      <c r="M371" s="13">
        <f t="shared" si="1439"/>
        <v>0.005422495772</v>
      </c>
      <c r="N371" s="13">
        <f t="shared" si="1440"/>
        <v>0.01025432134</v>
      </c>
      <c r="O371" s="13">
        <f t="shared" si="1441"/>
        <v>0.06182116564</v>
      </c>
      <c r="P371" s="13">
        <v>0.077</v>
      </c>
      <c r="Q371" s="13">
        <f t="shared" si="1442"/>
        <v>0.802872281</v>
      </c>
      <c r="R371" s="13">
        <f t="shared" si="1443"/>
        <v>0.0002577429647</v>
      </c>
      <c r="S371" s="13">
        <f t="shared" si="1444"/>
        <v>0.0124832041</v>
      </c>
      <c r="T371" s="13">
        <f t="shared" si="1445"/>
        <v>0.08446239118</v>
      </c>
      <c r="U371" s="13">
        <f t="shared" si="1446"/>
        <v>10.86514163</v>
      </c>
      <c r="V371" s="13">
        <f t="shared" si="1447"/>
        <v>0.01265089716</v>
      </c>
      <c r="W371" s="13">
        <f t="shared" si="1448"/>
        <v>0.8228377459</v>
      </c>
      <c r="X371" s="13">
        <v>1.742</v>
      </c>
      <c r="Y371" s="13">
        <f t="shared" si="1449"/>
        <v>0.4792337215</v>
      </c>
      <c r="Z371" s="13">
        <f t="shared" si="1450"/>
        <v>0.06702357016</v>
      </c>
      <c r="AA371" s="13">
        <f t="shared" si="1451"/>
        <v>0.01938404985</v>
      </c>
      <c r="AB371" s="13">
        <f t="shared" si="1452"/>
        <v>-0.04473125884</v>
      </c>
    </row>
    <row r="372" ht="14.25" customHeight="1">
      <c r="B372" s="31" t="s">
        <v>630</v>
      </c>
      <c r="C372" s="31" t="s">
        <v>1094</v>
      </c>
      <c r="D372" s="31" t="s">
        <v>1095</v>
      </c>
      <c r="E372" s="31" t="s">
        <v>1096</v>
      </c>
      <c r="F372" s="31" t="s">
        <v>1097</v>
      </c>
      <c r="G372" s="21" t="s">
        <v>1087</v>
      </c>
      <c r="H372" s="30">
        <v>39049.0</v>
      </c>
      <c r="I372" s="21">
        <v>220.0</v>
      </c>
      <c r="J372" s="21" t="s">
        <v>762</v>
      </c>
      <c r="K372" s="13">
        <f t="shared" ref="K372:K376" si="1453">(0.011+0.064)/0.0038729833462074</f>
        <v>19.36491673</v>
      </c>
      <c r="L372" s="13">
        <v>0.004</v>
      </c>
      <c r="M372" s="13">
        <f t="shared" ref="M372:M376" si="1454">498.6/66026.3</f>
        <v>0.007551536282</v>
      </c>
      <c r="N372" s="13">
        <f t="shared" ref="N372:N376" si="1455">498.6/33303.9</f>
        <v>0.01497121959</v>
      </c>
      <c r="O372" s="13">
        <f t="shared" ref="O372:O376" si="1456">4304/71039</f>
        <v>0.06058643844</v>
      </c>
      <c r="P372" s="13">
        <v>0.073</v>
      </c>
      <c r="Q372" s="13">
        <f t="shared" ref="Q372:Q376" si="1457">(4304/0.073)/71039</f>
        <v>0.8299512114</v>
      </c>
      <c r="R372" s="13">
        <v>5.684503127171646E-4</v>
      </c>
      <c r="S372" s="13">
        <f t="shared" ref="S372:S376" si="1458">862.8/71039</f>
        <v>0.01214544124</v>
      </c>
      <c r="T372" s="13">
        <f t="shared" ref="T372:T376" si="1459">5500/71039</f>
        <v>0.07742226101</v>
      </c>
      <c r="U372" s="13">
        <f t="shared" ref="U372:U376" si="1460">ln(72779.8)</f>
        <v>11.19519372</v>
      </c>
      <c r="V372" s="13">
        <f t="shared" ref="V372:V376" si="1461">407.7/(72779.8)</f>
        <v>0.005601829079</v>
      </c>
      <c r="W372" s="13">
        <f t="shared" ref="W372:W376" si="1462">54557.3/(72779.8)</f>
        <v>0.7496214609</v>
      </c>
      <c r="X372" s="13">
        <v>1.895</v>
      </c>
      <c r="Y372" s="13">
        <f t="shared" ref="Y372:Y376" si="1463">34504.1/(72779.8)</f>
        <v>0.4740889642</v>
      </c>
      <c r="Z372" s="13">
        <f t="shared" ref="Z372:Z376" si="1464">4195.4/(72779.8)</f>
        <v>0.05764511582</v>
      </c>
      <c r="AA372" s="13">
        <f t="shared" ref="AA372:AA376" si="1465">72779.8/3083408</f>
        <v>0.02360368787</v>
      </c>
      <c r="AB372" s="13">
        <f t="shared" ref="AB372:AB376" si="1466">(727.62-765.56)/765.56</f>
        <v>-0.04955849313</v>
      </c>
    </row>
    <row r="373" ht="14.25" customHeight="1">
      <c r="B373" s="31" t="s">
        <v>630</v>
      </c>
      <c r="C373" s="31" t="s">
        <v>1094</v>
      </c>
      <c r="D373" s="31" t="s">
        <v>1095</v>
      </c>
      <c r="E373" s="31" t="s">
        <v>1098</v>
      </c>
      <c r="F373" s="31" t="s">
        <v>1099</v>
      </c>
      <c r="G373" s="21" t="s">
        <v>1087</v>
      </c>
      <c r="H373" s="30">
        <v>39049.0</v>
      </c>
      <c r="I373" s="21">
        <v>880.3</v>
      </c>
      <c r="J373" s="21" t="s">
        <v>762</v>
      </c>
      <c r="K373" s="13">
        <f t="shared" si="1453"/>
        <v>19.36491673</v>
      </c>
      <c r="L373" s="13">
        <v>0.004</v>
      </c>
      <c r="M373" s="13">
        <f t="shared" si="1454"/>
        <v>0.007551536282</v>
      </c>
      <c r="N373" s="13">
        <f t="shared" si="1455"/>
        <v>0.01497121959</v>
      </c>
      <c r="O373" s="13">
        <f t="shared" si="1456"/>
        <v>0.06058643844</v>
      </c>
      <c r="P373" s="13">
        <v>0.073</v>
      </c>
      <c r="Q373" s="13">
        <f t="shared" si="1457"/>
        <v>0.8299512114</v>
      </c>
      <c r="R373" s="13">
        <v>5.684503127171646E-4</v>
      </c>
      <c r="S373" s="13">
        <f t="shared" si="1458"/>
        <v>0.01214544124</v>
      </c>
      <c r="T373" s="13">
        <f t="shared" si="1459"/>
        <v>0.07742226101</v>
      </c>
      <c r="U373" s="13">
        <f t="shared" si="1460"/>
        <v>11.19519372</v>
      </c>
      <c r="V373" s="13">
        <f t="shared" si="1461"/>
        <v>0.005601829079</v>
      </c>
      <c r="W373" s="13">
        <f t="shared" si="1462"/>
        <v>0.7496214609</v>
      </c>
      <c r="X373" s="13">
        <v>1.895</v>
      </c>
      <c r="Y373" s="13">
        <f t="shared" si="1463"/>
        <v>0.4740889642</v>
      </c>
      <c r="Z373" s="13">
        <f t="shared" si="1464"/>
        <v>0.05764511582</v>
      </c>
      <c r="AA373" s="13">
        <f t="shared" si="1465"/>
        <v>0.02360368787</v>
      </c>
      <c r="AB373" s="13">
        <f t="shared" si="1466"/>
        <v>-0.04955849313</v>
      </c>
    </row>
    <row r="374" ht="14.25" customHeight="1">
      <c r="B374" s="31" t="s">
        <v>630</v>
      </c>
      <c r="C374" s="31" t="s">
        <v>1094</v>
      </c>
      <c r="D374" s="31" t="s">
        <v>1095</v>
      </c>
      <c r="E374" s="31" t="s">
        <v>1100</v>
      </c>
      <c r="F374" s="31" t="s">
        <v>1101</v>
      </c>
      <c r="G374" s="21" t="s">
        <v>1087</v>
      </c>
      <c r="H374" s="30">
        <v>39049.0</v>
      </c>
      <c r="I374" s="21">
        <v>82.8</v>
      </c>
      <c r="J374" s="21" t="s">
        <v>762</v>
      </c>
      <c r="K374" s="13">
        <f t="shared" si="1453"/>
        <v>19.36491673</v>
      </c>
      <c r="L374" s="13">
        <v>0.004</v>
      </c>
      <c r="M374" s="13">
        <f t="shared" si="1454"/>
        <v>0.007551536282</v>
      </c>
      <c r="N374" s="13">
        <f t="shared" si="1455"/>
        <v>0.01497121959</v>
      </c>
      <c r="O374" s="13">
        <f t="shared" si="1456"/>
        <v>0.06058643844</v>
      </c>
      <c r="P374" s="13">
        <v>0.073</v>
      </c>
      <c r="Q374" s="13">
        <f t="shared" si="1457"/>
        <v>0.8299512114</v>
      </c>
      <c r="R374" s="13">
        <v>5.684503127171646E-4</v>
      </c>
      <c r="S374" s="13">
        <f t="shared" si="1458"/>
        <v>0.01214544124</v>
      </c>
      <c r="T374" s="13">
        <f t="shared" si="1459"/>
        <v>0.07742226101</v>
      </c>
      <c r="U374" s="13">
        <f t="shared" si="1460"/>
        <v>11.19519372</v>
      </c>
      <c r="V374" s="13">
        <f t="shared" si="1461"/>
        <v>0.005601829079</v>
      </c>
      <c r="W374" s="13">
        <f t="shared" si="1462"/>
        <v>0.7496214609</v>
      </c>
      <c r="X374" s="13">
        <v>1.895</v>
      </c>
      <c r="Y374" s="13">
        <f t="shared" si="1463"/>
        <v>0.4740889642</v>
      </c>
      <c r="Z374" s="13">
        <f t="shared" si="1464"/>
        <v>0.05764511582</v>
      </c>
      <c r="AA374" s="13">
        <f t="shared" si="1465"/>
        <v>0.02360368787</v>
      </c>
      <c r="AB374" s="13">
        <f t="shared" si="1466"/>
        <v>-0.04955849313</v>
      </c>
    </row>
    <row r="375" ht="14.25" customHeight="1">
      <c r="B375" s="31" t="s">
        <v>630</v>
      </c>
      <c r="C375" s="31" t="s">
        <v>1094</v>
      </c>
      <c r="D375" s="31" t="s">
        <v>1095</v>
      </c>
      <c r="E375" s="31" t="s">
        <v>1102</v>
      </c>
      <c r="F375" s="31" t="s">
        <v>1103</v>
      </c>
      <c r="G375" s="21" t="s">
        <v>1087</v>
      </c>
      <c r="H375" s="30">
        <v>39049.0</v>
      </c>
      <c r="I375" s="21">
        <v>40.0</v>
      </c>
      <c r="J375" s="21" t="s">
        <v>762</v>
      </c>
      <c r="K375" s="13">
        <f t="shared" si="1453"/>
        <v>19.36491673</v>
      </c>
      <c r="L375" s="13">
        <v>0.004</v>
      </c>
      <c r="M375" s="13">
        <f t="shared" si="1454"/>
        <v>0.007551536282</v>
      </c>
      <c r="N375" s="13">
        <f t="shared" si="1455"/>
        <v>0.01497121959</v>
      </c>
      <c r="O375" s="13">
        <f t="shared" si="1456"/>
        <v>0.06058643844</v>
      </c>
      <c r="P375" s="13">
        <v>0.073</v>
      </c>
      <c r="Q375" s="13">
        <f t="shared" si="1457"/>
        <v>0.8299512114</v>
      </c>
      <c r="R375" s="13">
        <v>5.684503127171646E-4</v>
      </c>
      <c r="S375" s="13">
        <f t="shared" si="1458"/>
        <v>0.01214544124</v>
      </c>
      <c r="T375" s="13">
        <f t="shared" si="1459"/>
        <v>0.07742226101</v>
      </c>
      <c r="U375" s="13">
        <f t="shared" si="1460"/>
        <v>11.19519372</v>
      </c>
      <c r="V375" s="13">
        <f t="shared" si="1461"/>
        <v>0.005601829079</v>
      </c>
      <c r="W375" s="13">
        <f t="shared" si="1462"/>
        <v>0.7496214609</v>
      </c>
      <c r="X375" s="13">
        <v>1.895</v>
      </c>
      <c r="Y375" s="13">
        <f t="shared" si="1463"/>
        <v>0.4740889642</v>
      </c>
      <c r="Z375" s="13">
        <f t="shared" si="1464"/>
        <v>0.05764511582</v>
      </c>
      <c r="AA375" s="13">
        <f t="shared" si="1465"/>
        <v>0.02360368787</v>
      </c>
      <c r="AB375" s="13">
        <f t="shared" si="1466"/>
        <v>-0.04955849313</v>
      </c>
    </row>
    <row r="376" ht="14.25" customHeight="1">
      <c r="B376" s="31" t="s">
        <v>630</v>
      </c>
      <c r="C376" s="31" t="s">
        <v>1094</v>
      </c>
      <c r="D376" s="31" t="s">
        <v>1095</v>
      </c>
      <c r="E376" s="31" t="s">
        <v>1104</v>
      </c>
      <c r="F376" s="31" t="s">
        <v>1105</v>
      </c>
      <c r="G376" s="21" t="s">
        <v>1087</v>
      </c>
      <c r="H376" s="30">
        <v>39049.0</v>
      </c>
      <c r="I376" s="21">
        <v>26.9</v>
      </c>
      <c r="J376" s="21" t="s">
        <v>762</v>
      </c>
      <c r="K376" s="13">
        <f t="shared" si="1453"/>
        <v>19.36491673</v>
      </c>
      <c r="L376" s="13">
        <v>0.004</v>
      </c>
      <c r="M376" s="13">
        <f t="shared" si="1454"/>
        <v>0.007551536282</v>
      </c>
      <c r="N376" s="13">
        <f t="shared" si="1455"/>
        <v>0.01497121959</v>
      </c>
      <c r="O376" s="13">
        <f t="shared" si="1456"/>
        <v>0.06058643844</v>
      </c>
      <c r="P376" s="13">
        <v>0.073</v>
      </c>
      <c r="Q376" s="13">
        <f t="shared" si="1457"/>
        <v>0.8299512114</v>
      </c>
      <c r="R376" s="13">
        <v>5.684503127171646E-4</v>
      </c>
      <c r="S376" s="13">
        <f t="shared" si="1458"/>
        <v>0.01214544124</v>
      </c>
      <c r="T376" s="13">
        <f t="shared" si="1459"/>
        <v>0.07742226101</v>
      </c>
      <c r="U376" s="13">
        <f t="shared" si="1460"/>
        <v>11.19519372</v>
      </c>
      <c r="V376" s="13">
        <f t="shared" si="1461"/>
        <v>0.005601829079</v>
      </c>
      <c r="W376" s="13">
        <f t="shared" si="1462"/>
        <v>0.7496214609</v>
      </c>
      <c r="X376" s="13">
        <v>1.895</v>
      </c>
      <c r="Y376" s="13">
        <f t="shared" si="1463"/>
        <v>0.4740889642</v>
      </c>
      <c r="Z376" s="13">
        <f t="shared" si="1464"/>
        <v>0.05764511582</v>
      </c>
      <c r="AA376" s="13">
        <f t="shared" si="1465"/>
        <v>0.02360368787</v>
      </c>
      <c r="AB376" s="13">
        <f t="shared" si="1466"/>
        <v>-0.04955849313</v>
      </c>
    </row>
    <row r="377" ht="14.25" customHeight="1">
      <c r="B377" s="31" t="s">
        <v>630</v>
      </c>
      <c r="C377" s="31" t="s">
        <v>1106</v>
      </c>
      <c r="D377" s="31" t="s">
        <v>1107</v>
      </c>
      <c r="E377" s="31" t="s">
        <v>1108</v>
      </c>
      <c r="F377" s="31" t="s">
        <v>1109</v>
      </c>
      <c r="G377" s="21" t="s">
        <v>1087</v>
      </c>
      <c r="H377" s="30">
        <v>39262.0</v>
      </c>
      <c r="I377" s="21">
        <v>175.0</v>
      </c>
      <c r="J377" s="21" t="s">
        <v>775</v>
      </c>
      <c r="K377" s="13">
        <f t="shared" ref="K377:K381" si="1467">(0.01+0.06)/0.0043588989435407</f>
        <v>16.05910137</v>
      </c>
      <c r="L377" s="13">
        <v>0.004</v>
      </c>
      <c r="M377" s="13">
        <f t="shared" ref="M377:M381" si="1468">621.9/71004.6</f>
        <v>0.008758587472</v>
      </c>
      <c r="N377" s="13">
        <f t="shared" ref="N377:N381" si="1469">621.9/34069.9</f>
        <v>0.01825364912</v>
      </c>
      <c r="O377" s="13">
        <f t="shared" ref="O377:O381" si="1470">4341.4/75361.3</f>
        <v>0.05760781727</v>
      </c>
      <c r="P377" s="13">
        <v>0.072</v>
      </c>
      <c r="Q377" s="13">
        <f t="shared" ref="Q377:Q381" si="1471">(4341.4/0.072)/75361.3</f>
        <v>0.8001085733</v>
      </c>
      <c r="R377" s="13">
        <v>5.684503127171646E-4</v>
      </c>
      <c r="S377" s="13">
        <f t="shared" ref="S377:S381" si="1472">713.9/75361.3</f>
        <v>0.009473031914</v>
      </c>
      <c r="T377" s="13">
        <f t="shared" ref="T377:T381" si="1473">7031.4/75361.3</f>
        <v>0.09330253061</v>
      </c>
      <c r="U377" s="13">
        <f t="shared" ref="U377:U381" si="1474">ln(74596.9)</f>
        <v>11.21985423</v>
      </c>
      <c r="V377" s="13">
        <f t="shared" ref="V377:V381" si="1475">926.7/(74596.9)</f>
        <v>0.01242276824</v>
      </c>
      <c r="W377" s="13">
        <f t="shared" ref="W377:W381" si="1476">65983.9/(74596.9)</f>
        <v>0.884539438</v>
      </c>
      <c r="X377" s="13">
        <v>1.94</v>
      </c>
      <c r="Y377" s="13">
        <f t="shared" ref="Y377:Y381" si="1477">34074.5/(74596.9)</f>
        <v>0.4567817161</v>
      </c>
      <c r="Z377" s="13">
        <f t="shared" ref="Z377:Z381" si="1478">4569.1/(74596.9)</f>
        <v>0.06125053454</v>
      </c>
      <c r="AA377" s="13">
        <f t="shared" ref="AA377:AA381" si="1479">74596.9/3127000</f>
        <v>0.02385574033</v>
      </c>
      <c r="AB377" s="13">
        <f t="shared" ref="AB377:AB381" si="1480">(743.54-762.44)/762.44</f>
        <v>-0.02478883584</v>
      </c>
    </row>
    <row r="378" ht="14.25" customHeight="1">
      <c r="B378" s="31" t="s">
        <v>630</v>
      </c>
      <c r="C378" s="31" t="s">
        <v>1106</v>
      </c>
      <c r="D378" s="31" t="s">
        <v>1107</v>
      </c>
      <c r="E378" s="31" t="s">
        <v>1110</v>
      </c>
      <c r="F378" s="31" t="s">
        <v>1111</v>
      </c>
      <c r="G378" s="21" t="s">
        <v>1087</v>
      </c>
      <c r="H378" s="30">
        <v>39262.0</v>
      </c>
      <c r="I378" s="21">
        <v>635.4</v>
      </c>
      <c r="J378" s="21" t="s">
        <v>775</v>
      </c>
      <c r="K378" s="13">
        <f t="shared" si="1467"/>
        <v>16.05910137</v>
      </c>
      <c r="L378" s="13">
        <v>0.004</v>
      </c>
      <c r="M378" s="13">
        <f t="shared" si="1468"/>
        <v>0.008758587472</v>
      </c>
      <c r="N378" s="13">
        <f t="shared" si="1469"/>
        <v>0.01825364912</v>
      </c>
      <c r="O378" s="13">
        <f t="shared" si="1470"/>
        <v>0.05760781727</v>
      </c>
      <c r="P378" s="13">
        <v>0.072</v>
      </c>
      <c r="Q378" s="13">
        <f t="shared" si="1471"/>
        <v>0.8001085733</v>
      </c>
      <c r="R378" s="13">
        <v>5.684503127171646E-4</v>
      </c>
      <c r="S378" s="13">
        <f t="shared" si="1472"/>
        <v>0.009473031914</v>
      </c>
      <c r="T378" s="13">
        <f t="shared" si="1473"/>
        <v>0.09330253061</v>
      </c>
      <c r="U378" s="13">
        <f t="shared" si="1474"/>
        <v>11.21985423</v>
      </c>
      <c r="V378" s="13">
        <f t="shared" si="1475"/>
        <v>0.01242276824</v>
      </c>
      <c r="W378" s="13">
        <f t="shared" si="1476"/>
        <v>0.884539438</v>
      </c>
      <c r="X378" s="13">
        <v>1.94</v>
      </c>
      <c r="Y378" s="13">
        <f t="shared" si="1477"/>
        <v>0.4567817161</v>
      </c>
      <c r="Z378" s="13">
        <f t="shared" si="1478"/>
        <v>0.06125053454</v>
      </c>
      <c r="AA378" s="13">
        <f t="shared" si="1479"/>
        <v>0.02385574033</v>
      </c>
      <c r="AB378" s="13">
        <f t="shared" si="1480"/>
        <v>-0.02478883584</v>
      </c>
    </row>
    <row r="379" ht="14.25" customHeight="1">
      <c r="B379" s="31" t="s">
        <v>630</v>
      </c>
      <c r="C379" s="31" t="s">
        <v>1106</v>
      </c>
      <c r="D379" s="31" t="s">
        <v>1107</v>
      </c>
      <c r="E379" s="31" t="s">
        <v>1112</v>
      </c>
      <c r="F379" s="31" t="s">
        <v>1113</v>
      </c>
      <c r="G379" s="21" t="s">
        <v>1087</v>
      </c>
      <c r="H379" s="30">
        <v>39262.0</v>
      </c>
      <c r="I379" s="21">
        <v>134.1</v>
      </c>
      <c r="J379" s="21" t="s">
        <v>775</v>
      </c>
      <c r="K379" s="13">
        <f t="shared" si="1467"/>
        <v>16.05910137</v>
      </c>
      <c r="L379" s="13">
        <v>0.004</v>
      </c>
      <c r="M379" s="13">
        <f t="shared" si="1468"/>
        <v>0.008758587472</v>
      </c>
      <c r="N379" s="13">
        <f t="shared" si="1469"/>
        <v>0.01825364912</v>
      </c>
      <c r="O379" s="13">
        <f t="shared" si="1470"/>
        <v>0.05760781727</v>
      </c>
      <c r="P379" s="13">
        <v>0.072</v>
      </c>
      <c r="Q379" s="13">
        <f t="shared" si="1471"/>
        <v>0.8001085733</v>
      </c>
      <c r="R379" s="13">
        <v>5.684503127171646E-4</v>
      </c>
      <c r="S379" s="13">
        <f t="shared" si="1472"/>
        <v>0.009473031914</v>
      </c>
      <c r="T379" s="13">
        <f t="shared" si="1473"/>
        <v>0.09330253061</v>
      </c>
      <c r="U379" s="13">
        <f t="shared" si="1474"/>
        <v>11.21985423</v>
      </c>
      <c r="V379" s="13">
        <f t="shared" si="1475"/>
        <v>0.01242276824</v>
      </c>
      <c r="W379" s="13">
        <f t="shared" si="1476"/>
        <v>0.884539438</v>
      </c>
      <c r="X379" s="13">
        <v>1.94</v>
      </c>
      <c r="Y379" s="13">
        <f t="shared" si="1477"/>
        <v>0.4567817161</v>
      </c>
      <c r="Z379" s="13">
        <f t="shared" si="1478"/>
        <v>0.06125053454</v>
      </c>
      <c r="AA379" s="13">
        <f t="shared" si="1479"/>
        <v>0.02385574033</v>
      </c>
      <c r="AB379" s="13">
        <f t="shared" si="1480"/>
        <v>-0.02478883584</v>
      </c>
    </row>
    <row r="380" ht="14.25" customHeight="1">
      <c r="B380" s="31" t="s">
        <v>630</v>
      </c>
      <c r="C380" s="31" t="s">
        <v>1106</v>
      </c>
      <c r="D380" s="31" t="s">
        <v>1107</v>
      </c>
      <c r="E380" s="31" t="s">
        <v>1114</v>
      </c>
      <c r="F380" s="31" t="s">
        <v>1115</v>
      </c>
      <c r="G380" s="21" t="s">
        <v>1087</v>
      </c>
      <c r="H380" s="30">
        <v>39262.0</v>
      </c>
      <c r="I380" s="21">
        <v>35.5</v>
      </c>
      <c r="J380" s="21" t="s">
        <v>775</v>
      </c>
      <c r="K380" s="13">
        <f t="shared" si="1467"/>
        <v>16.05910137</v>
      </c>
      <c r="L380" s="13">
        <v>0.004</v>
      </c>
      <c r="M380" s="13">
        <f t="shared" si="1468"/>
        <v>0.008758587472</v>
      </c>
      <c r="N380" s="13">
        <f t="shared" si="1469"/>
        <v>0.01825364912</v>
      </c>
      <c r="O380" s="13">
        <f t="shared" si="1470"/>
        <v>0.05760781727</v>
      </c>
      <c r="P380" s="13">
        <v>0.072</v>
      </c>
      <c r="Q380" s="13">
        <f t="shared" si="1471"/>
        <v>0.8001085733</v>
      </c>
      <c r="R380" s="13">
        <v>5.684503127171646E-4</v>
      </c>
      <c r="S380" s="13">
        <f t="shared" si="1472"/>
        <v>0.009473031914</v>
      </c>
      <c r="T380" s="13">
        <f t="shared" si="1473"/>
        <v>0.09330253061</v>
      </c>
      <c r="U380" s="13">
        <f t="shared" si="1474"/>
        <v>11.21985423</v>
      </c>
      <c r="V380" s="13">
        <f t="shared" si="1475"/>
        <v>0.01242276824</v>
      </c>
      <c r="W380" s="13">
        <f t="shared" si="1476"/>
        <v>0.884539438</v>
      </c>
      <c r="X380" s="13">
        <v>1.94</v>
      </c>
      <c r="Y380" s="13">
        <f t="shared" si="1477"/>
        <v>0.4567817161</v>
      </c>
      <c r="Z380" s="13">
        <f t="shared" si="1478"/>
        <v>0.06125053454</v>
      </c>
      <c r="AA380" s="13">
        <f t="shared" si="1479"/>
        <v>0.02385574033</v>
      </c>
      <c r="AB380" s="13">
        <f t="shared" si="1480"/>
        <v>-0.02478883584</v>
      </c>
    </row>
    <row r="381" ht="14.25" customHeight="1">
      <c r="B381" s="31" t="s">
        <v>630</v>
      </c>
      <c r="C381" s="31" t="s">
        <v>1106</v>
      </c>
      <c r="D381" s="31" t="s">
        <v>1107</v>
      </c>
      <c r="E381" s="31" t="s">
        <v>1116</v>
      </c>
      <c r="F381" s="31" t="s">
        <v>1117</v>
      </c>
      <c r="G381" s="21" t="s">
        <v>1087</v>
      </c>
      <c r="H381" s="30">
        <v>39262.0</v>
      </c>
      <c r="I381" s="21">
        <v>20.0</v>
      </c>
      <c r="J381" s="21" t="s">
        <v>775</v>
      </c>
      <c r="K381" s="13">
        <f t="shared" si="1467"/>
        <v>16.05910137</v>
      </c>
      <c r="L381" s="13">
        <v>0.004</v>
      </c>
      <c r="M381" s="13">
        <f t="shared" si="1468"/>
        <v>0.008758587472</v>
      </c>
      <c r="N381" s="13">
        <f t="shared" si="1469"/>
        <v>0.01825364912</v>
      </c>
      <c r="O381" s="13">
        <f t="shared" si="1470"/>
        <v>0.05760781727</v>
      </c>
      <c r="P381" s="13">
        <v>0.072</v>
      </c>
      <c r="Q381" s="13">
        <f t="shared" si="1471"/>
        <v>0.8001085733</v>
      </c>
      <c r="R381" s="13">
        <v>5.684503127171646E-4</v>
      </c>
      <c r="S381" s="13">
        <f t="shared" si="1472"/>
        <v>0.009473031914</v>
      </c>
      <c r="T381" s="13">
        <f t="shared" si="1473"/>
        <v>0.09330253061</v>
      </c>
      <c r="U381" s="13">
        <f t="shared" si="1474"/>
        <v>11.21985423</v>
      </c>
      <c r="V381" s="13">
        <f t="shared" si="1475"/>
        <v>0.01242276824</v>
      </c>
      <c r="W381" s="13">
        <f t="shared" si="1476"/>
        <v>0.884539438</v>
      </c>
      <c r="X381" s="13">
        <v>1.94</v>
      </c>
      <c r="Y381" s="13">
        <f t="shared" si="1477"/>
        <v>0.4567817161</v>
      </c>
      <c r="Z381" s="13">
        <f t="shared" si="1478"/>
        <v>0.06125053454</v>
      </c>
      <c r="AA381" s="13">
        <f t="shared" si="1479"/>
        <v>0.02385574033</v>
      </c>
      <c r="AB381" s="13">
        <f t="shared" si="1480"/>
        <v>-0.02478883584</v>
      </c>
    </row>
    <row r="382" ht="14.25" customHeight="1">
      <c r="B382" s="31" t="s">
        <v>630</v>
      </c>
      <c r="C382" s="31" t="s">
        <v>1118</v>
      </c>
      <c r="D382" s="31" t="s">
        <v>1119</v>
      </c>
      <c r="E382" s="31" t="s">
        <v>1120</v>
      </c>
      <c r="F382" s="31" t="s">
        <v>1121</v>
      </c>
      <c r="G382" s="21" t="s">
        <v>1087</v>
      </c>
      <c r="H382" s="30">
        <v>40443.0</v>
      </c>
      <c r="I382" s="21">
        <v>250.0</v>
      </c>
      <c r="J382" s="21" t="s">
        <v>715</v>
      </c>
      <c r="K382" s="13">
        <f t="shared" ref="K382:K385" si="1481">(0.002+0.061)/0.0017320508075689</f>
        <v>36.37306696</v>
      </c>
      <c r="L382" s="13">
        <v>0.052</v>
      </c>
      <c r="M382" s="13">
        <f t="shared" ref="M382:M385" si="1482">374/91410.7</f>
        <v>0.004091424746</v>
      </c>
      <c r="N382" s="13">
        <f t="shared" ref="N382:N385" si="1483">374/65426.5</f>
        <v>0.005716338181</v>
      </c>
      <c r="O382" s="13">
        <v>0.061233166626774665</v>
      </c>
      <c r="P382" s="13">
        <v>0.105</v>
      </c>
      <c r="Q382" s="13">
        <v>0.5831730154930921</v>
      </c>
      <c r="R382" s="13">
        <v>0.004553846655463189</v>
      </c>
      <c r="S382" s="13">
        <f t="shared" ref="S382:S385" si="1484">1253.6/97099.2</f>
        <v>0.01291050802</v>
      </c>
      <c r="T382" s="13">
        <f t="shared" ref="T382:T385" si="1485">16351.4/97099.2</f>
        <v>0.1683989157</v>
      </c>
      <c r="U382" s="13">
        <f t="shared" ref="U382:U385" si="1486">ln(85682.1)</f>
        <v>11.35839921</v>
      </c>
      <c r="V382" s="13">
        <f t="shared" ref="V382:V385" si="1487">2216.4/(85682.1)</f>
        <v>0.02586771333</v>
      </c>
      <c r="W382" s="13">
        <f t="shared" ref="W382:W385" si="1488">66022.1/(85682.1)</f>
        <v>0.7705471738</v>
      </c>
      <c r="X382" s="13">
        <v>1.131</v>
      </c>
      <c r="Y382" s="13">
        <f t="shared" ref="Y382:Y385" si="1489">49832/(85682.1)</f>
        <v>0.581591721</v>
      </c>
      <c r="Z382" s="13">
        <f t="shared" ref="Z382:Z385" si="1490">5442.8/(85682.1)</f>
        <v>0.06352318629</v>
      </c>
      <c r="AA382" s="13">
        <f t="shared" ref="AA382:AA385" si="1491">85682.1/3252000</f>
        <v>0.02634750923</v>
      </c>
      <c r="AB382" s="13">
        <f t="shared" ref="AB382:AB385" si="1492">(762.08-726.55)/726.55</f>
        <v>0.04890234671</v>
      </c>
    </row>
    <row r="383" ht="14.25" customHeight="1">
      <c r="B383" s="31" t="s">
        <v>630</v>
      </c>
      <c r="C383" s="31" t="s">
        <v>1118</v>
      </c>
      <c r="D383" s="31" t="s">
        <v>1119</v>
      </c>
      <c r="E383" s="31" t="s">
        <v>1122</v>
      </c>
      <c r="F383" s="31" t="s">
        <v>1123</v>
      </c>
      <c r="G383" s="21" t="s">
        <v>1087</v>
      </c>
      <c r="H383" s="30">
        <v>40443.0</v>
      </c>
      <c r="I383" s="21">
        <v>390.0</v>
      </c>
      <c r="J383" s="21" t="s">
        <v>715</v>
      </c>
      <c r="K383" s="13">
        <f t="shared" si="1481"/>
        <v>36.37306696</v>
      </c>
      <c r="L383" s="13">
        <v>0.052</v>
      </c>
      <c r="M383" s="13">
        <f t="shared" si="1482"/>
        <v>0.004091424746</v>
      </c>
      <c r="N383" s="13">
        <f t="shared" si="1483"/>
        <v>0.005716338181</v>
      </c>
      <c r="O383" s="13">
        <v>0.061233166626774665</v>
      </c>
      <c r="P383" s="13">
        <v>0.105</v>
      </c>
      <c r="Q383" s="13">
        <v>0.5831730154930921</v>
      </c>
      <c r="R383" s="13">
        <v>0.004553846655463189</v>
      </c>
      <c r="S383" s="13">
        <f t="shared" si="1484"/>
        <v>0.01291050802</v>
      </c>
      <c r="T383" s="13">
        <f t="shared" si="1485"/>
        <v>0.1683989157</v>
      </c>
      <c r="U383" s="13">
        <f t="shared" si="1486"/>
        <v>11.35839921</v>
      </c>
      <c r="V383" s="13">
        <f t="shared" si="1487"/>
        <v>0.02586771333</v>
      </c>
      <c r="W383" s="13">
        <f t="shared" si="1488"/>
        <v>0.7705471738</v>
      </c>
      <c r="X383" s="13">
        <v>1.131</v>
      </c>
      <c r="Y383" s="13">
        <f t="shared" si="1489"/>
        <v>0.581591721</v>
      </c>
      <c r="Z383" s="13">
        <f t="shared" si="1490"/>
        <v>0.06352318629</v>
      </c>
      <c r="AA383" s="13">
        <f t="shared" si="1491"/>
        <v>0.02634750923</v>
      </c>
      <c r="AB383" s="13">
        <f t="shared" si="1492"/>
        <v>0.04890234671</v>
      </c>
    </row>
    <row r="384" ht="14.25" customHeight="1">
      <c r="B384" s="31" t="s">
        <v>630</v>
      </c>
      <c r="C384" s="31" t="s">
        <v>1118</v>
      </c>
      <c r="D384" s="31" t="s">
        <v>1119</v>
      </c>
      <c r="E384" s="31" t="s">
        <v>1124</v>
      </c>
      <c r="F384" s="31" t="s">
        <v>1125</v>
      </c>
      <c r="G384" s="21" t="s">
        <v>1087</v>
      </c>
      <c r="H384" s="30">
        <v>40443.0</v>
      </c>
      <c r="I384" s="21">
        <v>160.0</v>
      </c>
      <c r="J384" s="21" t="s">
        <v>715</v>
      </c>
      <c r="K384" s="13">
        <f t="shared" si="1481"/>
        <v>36.37306696</v>
      </c>
      <c r="L384" s="13">
        <v>0.052</v>
      </c>
      <c r="M384" s="13">
        <f t="shared" si="1482"/>
        <v>0.004091424746</v>
      </c>
      <c r="N384" s="13">
        <f t="shared" si="1483"/>
        <v>0.005716338181</v>
      </c>
      <c r="O384" s="13">
        <v>0.061233166626774665</v>
      </c>
      <c r="P384" s="13">
        <v>0.105</v>
      </c>
      <c r="Q384" s="13">
        <v>0.5831730154930921</v>
      </c>
      <c r="R384" s="13">
        <v>0.004553846655463189</v>
      </c>
      <c r="S384" s="13">
        <f t="shared" si="1484"/>
        <v>0.01291050802</v>
      </c>
      <c r="T384" s="13">
        <f t="shared" si="1485"/>
        <v>0.1683989157</v>
      </c>
      <c r="U384" s="13">
        <f t="shared" si="1486"/>
        <v>11.35839921</v>
      </c>
      <c r="V384" s="13">
        <f t="shared" si="1487"/>
        <v>0.02586771333</v>
      </c>
      <c r="W384" s="13">
        <f t="shared" si="1488"/>
        <v>0.7705471738</v>
      </c>
      <c r="X384" s="13">
        <v>1.131</v>
      </c>
      <c r="Y384" s="13">
        <f t="shared" si="1489"/>
        <v>0.581591721</v>
      </c>
      <c r="Z384" s="13">
        <f t="shared" si="1490"/>
        <v>0.06352318629</v>
      </c>
      <c r="AA384" s="13">
        <f t="shared" si="1491"/>
        <v>0.02634750923</v>
      </c>
      <c r="AB384" s="13">
        <f t="shared" si="1492"/>
        <v>0.04890234671</v>
      </c>
    </row>
    <row r="385" ht="14.25" customHeight="1">
      <c r="B385" s="31" t="s">
        <v>630</v>
      </c>
      <c r="C385" s="31" t="s">
        <v>1118</v>
      </c>
      <c r="D385" s="31" t="s">
        <v>1119</v>
      </c>
      <c r="E385" s="31" t="s">
        <v>1126</v>
      </c>
      <c r="F385" s="31" t="s">
        <v>1127</v>
      </c>
      <c r="G385" s="21" t="s">
        <v>1087</v>
      </c>
      <c r="H385" s="30">
        <v>40443.0</v>
      </c>
      <c r="I385" s="21">
        <v>200.0</v>
      </c>
      <c r="J385" s="21" t="s">
        <v>715</v>
      </c>
      <c r="K385" s="13">
        <f t="shared" si="1481"/>
        <v>36.37306696</v>
      </c>
      <c r="L385" s="13">
        <v>0.052</v>
      </c>
      <c r="M385" s="13">
        <f t="shared" si="1482"/>
        <v>0.004091424746</v>
      </c>
      <c r="N385" s="13">
        <f t="shared" si="1483"/>
        <v>0.005716338181</v>
      </c>
      <c r="O385" s="13">
        <v>0.061233166626774665</v>
      </c>
      <c r="P385" s="13">
        <v>0.105</v>
      </c>
      <c r="Q385" s="13">
        <v>0.5831730154930921</v>
      </c>
      <c r="R385" s="13">
        <v>0.004553846655463189</v>
      </c>
      <c r="S385" s="13">
        <f t="shared" si="1484"/>
        <v>0.01291050802</v>
      </c>
      <c r="T385" s="13">
        <f t="shared" si="1485"/>
        <v>0.1683989157</v>
      </c>
      <c r="U385" s="13">
        <f t="shared" si="1486"/>
        <v>11.35839921</v>
      </c>
      <c r="V385" s="13">
        <f t="shared" si="1487"/>
        <v>0.02586771333</v>
      </c>
      <c r="W385" s="13">
        <f t="shared" si="1488"/>
        <v>0.7705471738</v>
      </c>
      <c r="X385" s="13">
        <v>1.131</v>
      </c>
      <c r="Y385" s="13">
        <f t="shared" si="1489"/>
        <v>0.581591721</v>
      </c>
      <c r="Z385" s="13">
        <f t="shared" si="1490"/>
        <v>0.06352318629</v>
      </c>
      <c r="AA385" s="13">
        <f t="shared" si="1491"/>
        <v>0.02634750923</v>
      </c>
      <c r="AB385" s="13">
        <f t="shared" si="1492"/>
        <v>0.04890234671</v>
      </c>
    </row>
    <row r="386" ht="14.25" customHeight="1">
      <c r="B386" s="31" t="s">
        <v>630</v>
      </c>
      <c r="C386" s="31" t="s">
        <v>1128</v>
      </c>
      <c r="D386" s="31" t="s">
        <v>1129</v>
      </c>
      <c r="E386" s="31" t="s">
        <v>1130</v>
      </c>
      <c r="F386" s="31" t="s">
        <v>1131</v>
      </c>
      <c r="G386" s="21" t="s">
        <v>1132</v>
      </c>
      <c r="H386" s="30">
        <v>40906.0</v>
      </c>
      <c r="I386" s="21">
        <v>110.0</v>
      </c>
      <c r="J386" s="21" t="s">
        <v>361</v>
      </c>
      <c r="K386" s="13">
        <f t="shared" ref="K386:K388" si="1493">(-0.018+0.03416739818)/0.0014142135623731</f>
        <v>11.43207689</v>
      </c>
      <c r="L386" s="13">
        <v>0.16</v>
      </c>
      <c r="M386" s="13">
        <f t="shared" ref="M386:M388" si="1494">157.579/29691.678</f>
        <v>0.005307177317</v>
      </c>
      <c r="N386" s="13">
        <f t="shared" ref="N386:N388" si="1495">157.579/26519.703</f>
        <v>0.005941959456</v>
      </c>
      <c r="O386" s="13">
        <f t="shared" ref="O386:O388" si="1496">1262/30742.054</f>
        <v>0.04105125832</v>
      </c>
      <c r="P386" s="13">
        <v>0.082</v>
      </c>
      <c r="Q386" s="13">
        <f t="shared" ref="Q386:Q388" si="1497">(1262/0.082)/30742.054</f>
        <v>0.5006251014</v>
      </c>
      <c r="R386" s="13">
        <f t="shared" ref="R386:R388" si="1498">18.65375/16285.274       </f>
        <v>0.001145436669</v>
      </c>
      <c r="S386" s="13">
        <f t="shared" ref="S386:S388" si="1499">215.723/30742.054</f>
        <v>0.007017195403</v>
      </c>
      <c r="T386" s="13">
        <f t="shared" ref="T386:T388" si="1500">10139.963/30742.054</f>
        <v>0.3298401271</v>
      </c>
      <c r="U386" s="13">
        <f t="shared" ref="U386:U388" si="1501">ln(29288.005)</f>
        <v>10.28493333</v>
      </c>
      <c r="V386" s="13">
        <f t="shared" ref="V386:V388" si="1502">521.637/(29288.005)</f>
        <v>0.01781060199</v>
      </c>
      <c r="W386" s="13">
        <f t="shared" ref="W386:W388" si="1503">17415.096/29288.005</f>
        <v>0.5946153041</v>
      </c>
      <c r="X386" s="13">
        <v>0.614</v>
      </c>
      <c r="Y386" s="13">
        <f t="shared" ref="Y386:Y388" si="1504">14812.338/29288.005</f>
        <v>0.5057475919</v>
      </c>
      <c r="Z386" s="13">
        <f t="shared" ref="Z386:Z388" si="1505">1179.502/(29288.005)</f>
        <v>0.04027252795</v>
      </c>
      <c r="AA386" s="13">
        <f t="shared" ref="AA386:AA388" si="1506">29288.005/3400000</f>
        <v>0.008614119118</v>
      </c>
      <c r="AB386" s="13">
        <f t="shared" ref="AB386:AB388" si="1507">(695.93-745.65)/745.65</f>
        <v>-0.06668007778</v>
      </c>
    </row>
    <row r="387" ht="14.25" customHeight="1">
      <c r="B387" s="31" t="s">
        <v>630</v>
      </c>
      <c r="C387" s="31" t="s">
        <v>1128</v>
      </c>
      <c r="D387" s="31" t="s">
        <v>1129</v>
      </c>
      <c r="E387" s="31" t="s">
        <v>1133</v>
      </c>
      <c r="F387" s="31" t="s">
        <v>1134</v>
      </c>
      <c r="G387" s="21" t="s">
        <v>1132</v>
      </c>
      <c r="H387" s="30">
        <v>40906.0</v>
      </c>
      <c r="I387" s="21">
        <v>27.5</v>
      </c>
      <c r="J387" s="21" t="s">
        <v>361</v>
      </c>
      <c r="K387" s="13">
        <f t="shared" si="1493"/>
        <v>11.43207689</v>
      </c>
      <c r="L387" s="13">
        <v>0.16</v>
      </c>
      <c r="M387" s="13">
        <f t="shared" si="1494"/>
        <v>0.005307177317</v>
      </c>
      <c r="N387" s="13">
        <f t="shared" si="1495"/>
        <v>0.005941959456</v>
      </c>
      <c r="O387" s="13">
        <f t="shared" si="1496"/>
        <v>0.04105125832</v>
      </c>
      <c r="P387" s="13">
        <v>0.082</v>
      </c>
      <c r="Q387" s="13">
        <f t="shared" si="1497"/>
        <v>0.5006251014</v>
      </c>
      <c r="R387" s="13">
        <f t="shared" si="1498"/>
        <v>0.001145436669</v>
      </c>
      <c r="S387" s="13">
        <f t="shared" si="1499"/>
        <v>0.007017195403</v>
      </c>
      <c r="T387" s="13">
        <f t="shared" si="1500"/>
        <v>0.3298401271</v>
      </c>
      <c r="U387" s="13">
        <f t="shared" si="1501"/>
        <v>10.28493333</v>
      </c>
      <c r="V387" s="13">
        <f t="shared" si="1502"/>
        <v>0.01781060199</v>
      </c>
      <c r="W387" s="13">
        <f t="shared" si="1503"/>
        <v>0.5946153041</v>
      </c>
      <c r="X387" s="13">
        <v>0.614</v>
      </c>
      <c r="Y387" s="13">
        <f t="shared" si="1504"/>
        <v>0.5057475919</v>
      </c>
      <c r="Z387" s="13">
        <f t="shared" si="1505"/>
        <v>0.04027252795</v>
      </c>
      <c r="AA387" s="13">
        <f t="shared" si="1506"/>
        <v>0.008614119118</v>
      </c>
      <c r="AB387" s="13">
        <f t="shared" si="1507"/>
        <v>-0.06668007778</v>
      </c>
    </row>
    <row r="388" ht="14.25" customHeight="1">
      <c r="B388" s="31" t="s">
        <v>630</v>
      </c>
      <c r="C388" s="31" t="s">
        <v>1128</v>
      </c>
      <c r="D388" s="31" t="s">
        <v>1129</v>
      </c>
      <c r="E388" s="31" t="s">
        <v>1135</v>
      </c>
      <c r="F388" s="31" t="s">
        <v>1136</v>
      </c>
      <c r="G388" s="21" t="s">
        <v>1132</v>
      </c>
      <c r="H388" s="30">
        <v>40906.0</v>
      </c>
      <c r="I388" s="21">
        <v>137.5</v>
      </c>
      <c r="J388" s="21" t="s">
        <v>361</v>
      </c>
      <c r="K388" s="13">
        <f t="shared" si="1493"/>
        <v>11.43207689</v>
      </c>
      <c r="L388" s="13">
        <v>0.16</v>
      </c>
      <c r="M388" s="13">
        <f t="shared" si="1494"/>
        <v>0.005307177317</v>
      </c>
      <c r="N388" s="13">
        <f t="shared" si="1495"/>
        <v>0.005941959456</v>
      </c>
      <c r="O388" s="13">
        <f t="shared" si="1496"/>
        <v>0.04105125832</v>
      </c>
      <c r="P388" s="13">
        <v>0.082</v>
      </c>
      <c r="Q388" s="13">
        <f t="shared" si="1497"/>
        <v>0.5006251014</v>
      </c>
      <c r="R388" s="13">
        <f t="shared" si="1498"/>
        <v>0.001145436669</v>
      </c>
      <c r="S388" s="13">
        <f t="shared" si="1499"/>
        <v>0.007017195403</v>
      </c>
      <c r="T388" s="13">
        <f t="shared" si="1500"/>
        <v>0.3298401271</v>
      </c>
      <c r="U388" s="13">
        <f t="shared" si="1501"/>
        <v>10.28493333</v>
      </c>
      <c r="V388" s="13">
        <f t="shared" si="1502"/>
        <v>0.01781060199</v>
      </c>
      <c r="W388" s="13">
        <f t="shared" si="1503"/>
        <v>0.5946153041</v>
      </c>
      <c r="X388" s="13">
        <v>0.614</v>
      </c>
      <c r="Y388" s="13">
        <f t="shared" si="1504"/>
        <v>0.5057475919</v>
      </c>
      <c r="Z388" s="13">
        <f t="shared" si="1505"/>
        <v>0.04027252795</v>
      </c>
      <c r="AA388" s="13">
        <f t="shared" si="1506"/>
        <v>0.008614119118</v>
      </c>
      <c r="AB388" s="13">
        <f t="shared" si="1507"/>
        <v>-0.06668007778</v>
      </c>
    </row>
    <row r="389" ht="14.25" customHeight="1">
      <c r="B389" s="31" t="s">
        <v>630</v>
      </c>
      <c r="C389" s="31" t="s">
        <v>1137</v>
      </c>
      <c r="D389" s="31" t="s">
        <v>1138</v>
      </c>
      <c r="E389" s="31" t="s">
        <v>1139</v>
      </c>
      <c r="F389" s="31" t="s">
        <v>1140</v>
      </c>
      <c r="G389" s="21" t="s">
        <v>1141</v>
      </c>
      <c r="H389" s="30">
        <v>38348.0</v>
      </c>
      <c r="I389" s="32">
        <v>1455.2</v>
      </c>
      <c r="J389" s="21" t="s">
        <v>740</v>
      </c>
      <c r="K389" s="13">
        <f t="shared" ref="K389:K392" si="1508">(0.014+0.068)/0.002872281323269</f>
        <v>28.54873558</v>
      </c>
      <c r="L389" s="13">
        <v>0.009</v>
      </c>
      <c r="M389" s="13">
        <f t="shared" ref="M389:M392" si="1509">244.498/62875.062</f>
        <v>0.003888632348</v>
      </c>
      <c r="N389" s="13">
        <f t="shared" ref="N389:N392" si="1510">244.498/43371.959</f>
        <v>0.005637236722</v>
      </c>
      <c r="O389" s="13">
        <f t="shared" ref="O389:O392" si="1511">5371.195/67748.704</f>
        <v>0.07928114758</v>
      </c>
      <c r="P389" s="13">
        <v>0.088</v>
      </c>
      <c r="Q389" s="13">
        <f t="shared" ref="Q389:Q392" si="1512">(5371.195/0.088)/67748.704</f>
        <v>0.9009221316</v>
      </c>
      <c r="R389" s="13">
        <f t="shared" ref="R389:R392" si="1513">32.741/64433.505</f>
        <v>0.0005081362561</v>
      </c>
      <c r="S389" s="13">
        <f t="shared" ref="S389:S392" si="1514">1000.375/67748.704</f>
        <v>0.01476596512</v>
      </c>
      <c r="T389" s="13">
        <f t="shared" ref="T389:T392" si="1515">2282.206/67748.704</f>
        <v>0.03368634181</v>
      </c>
      <c r="U389" s="13">
        <f t="shared" ref="U389:U392" si="1516">ln(63576.085)</f>
        <v>11.05999266</v>
      </c>
      <c r="V389" s="13">
        <f t="shared" ref="V389:V392" si="1517">1321.848/(63576.085)</f>
        <v>0.02079159168</v>
      </c>
      <c r="W389" s="13">
        <f t="shared" ref="W389:W392" si="1518">54439.493/(63576.085)</f>
        <v>0.8562888545</v>
      </c>
      <c r="X389" s="13">
        <v>1.486</v>
      </c>
      <c r="Y389" s="13">
        <f t="shared" ref="Y389:Y392" si="1519">40216.18/(63576.085)</f>
        <v>0.6325677336</v>
      </c>
      <c r="Z389" s="13">
        <f t="shared" ref="Z389:Z392" si="1520">4076.59/(63576.085)</f>
        <v>0.06412143812</v>
      </c>
      <c r="AA389" s="13">
        <f t="shared" ref="AA389:AA392" si="1521">63576.085/2484833.1</f>
        <v>0.02558565603</v>
      </c>
      <c r="AB389" s="13">
        <f t="shared" ref="AB389:AB392" si="1522">(671.35-708.39)/708.39</f>
        <v>-0.0522875817</v>
      </c>
    </row>
    <row r="390" ht="14.25" customHeight="1">
      <c r="B390" s="31" t="s">
        <v>630</v>
      </c>
      <c r="C390" s="31" t="s">
        <v>1137</v>
      </c>
      <c r="D390" s="31" t="s">
        <v>1138</v>
      </c>
      <c r="E390" s="31" t="s">
        <v>1142</v>
      </c>
      <c r="F390" s="31" t="s">
        <v>1143</v>
      </c>
      <c r="G390" s="21" t="s">
        <v>1141</v>
      </c>
      <c r="H390" s="30">
        <v>38348.0</v>
      </c>
      <c r="I390" s="21">
        <v>418.8</v>
      </c>
      <c r="J390" s="21" t="s">
        <v>740</v>
      </c>
      <c r="K390" s="13">
        <f t="shared" si="1508"/>
        <v>28.54873558</v>
      </c>
      <c r="L390" s="13">
        <v>0.009</v>
      </c>
      <c r="M390" s="13">
        <f t="shared" si="1509"/>
        <v>0.003888632348</v>
      </c>
      <c r="N390" s="13">
        <f t="shared" si="1510"/>
        <v>0.005637236722</v>
      </c>
      <c r="O390" s="13">
        <f t="shared" si="1511"/>
        <v>0.07928114758</v>
      </c>
      <c r="P390" s="13">
        <v>0.088</v>
      </c>
      <c r="Q390" s="13">
        <f t="shared" si="1512"/>
        <v>0.9009221316</v>
      </c>
      <c r="R390" s="13">
        <f t="shared" si="1513"/>
        <v>0.0005081362561</v>
      </c>
      <c r="S390" s="13">
        <f t="shared" si="1514"/>
        <v>0.01476596512</v>
      </c>
      <c r="T390" s="13">
        <f t="shared" si="1515"/>
        <v>0.03368634181</v>
      </c>
      <c r="U390" s="13">
        <f t="shared" si="1516"/>
        <v>11.05999266</v>
      </c>
      <c r="V390" s="13">
        <f t="shared" si="1517"/>
        <v>0.02079159168</v>
      </c>
      <c r="W390" s="13">
        <f t="shared" si="1518"/>
        <v>0.8562888545</v>
      </c>
      <c r="X390" s="13">
        <v>1.486</v>
      </c>
      <c r="Y390" s="13">
        <f t="shared" si="1519"/>
        <v>0.6325677336</v>
      </c>
      <c r="Z390" s="13">
        <f t="shared" si="1520"/>
        <v>0.06412143812</v>
      </c>
      <c r="AA390" s="13">
        <f t="shared" si="1521"/>
        <v>0.02558565603</v>
      </c>
      <c r="AB390" s="13">
        <f t="shared" si="1522"/>
        <v>-0.0522875817</v>
      </c>
    </row>
    <row r="391" ht="14.25" customHeight="1">
      <c r="B391" s="31" t="s">
        <v>630</v>
      </c>
      <c r="C391" s="31" t="s">
        <v>1137</v>
      </c>
      <c r="D391" s="31" t="s">
        <v>1138</v>
      </c>
      <c r="E391" s="31" t="s">
        <v>1144</v>
      </c>
      <c r="F391" s="31" t="s">
        <v>1145</v>
      </c>
      <c r="G391" s="21" t="s">
        <v>1141</v>
      </c>
      <c r="H391" s="30">
        <v>38348.0</v>
      </c>
      <c r="I391" s="21">
        <v>55.0</v>
      </c>
      <c r="J391" s="21" t="s">
        <v>740</v>
      </c>
      <c r="K391" s="13">
        <f t="shared" si="1508"/>
        <v>28.54873558</v>
      </c>
      <c r="L391" s="13">
        <v>0.009</v>
      </c>
      <c r="M391" s="13">
        <f t="shared" si="1509"/>
        <v>0.003888632348</v>
      </c>
      <c r="N391" s="13">
        <f t="shared" si="1510"/>
        <v>0.005637236722</v>
      </c>
      <c r="O391" s="13">
        <f t="shared" si="1511"/>
        <v>0.07928114758</v>
      </c>
      <c r="P391" s="13">
        <v>0.088</v>
      </c>
      <c r="Q391" s="13">
        <f t="shared" si="1512"/>
        <v>0.9009221316</v>
      </c>
      <c r="R391" s="13">
        <f t="shared" si="1513"/>
        <v>0.0005081362561</v>
      </c>
      <c r="S391" s="13">
        <f t="shared" si="1514"/>
        <v>0.01476596512</v>
      </c>
      <c r="T391" s="13">
        <f t="shared" si="1515"/>
        <v>0.03368634181</v>
      </c>
      <c r="U391" s="13">
        <f t="shared" si="1516"/>
        <v>11.05999266</v>
      </c>
      <c r="V391" s="13">
        <f t="shared" si="1517"/>
        <v>0.02079159168</v>
      </c>
      <c r="W391" s="13">
        <f t="shared" si="1518"/>
        <v>0.8562888545</v>
      </c>
      <c r="X391" s="13">
        <v>1.486</v>
      </c>
      <c r="Y391" s="13">
        <f t="shared" si="1519"/>
        <v>0.6325677336</v>
      </c>
      <c r="Z391" s="13">
        <f t="shared" si="1520"/>
        <v>0.06412143812</v>
      </c>
      <c r="AA391" s="13">
        <f t="shared" si="1521"/>
        <v>0.02558565603</v>
      </c>
      <c r="AB391" s="13">
        <f t="shared" si="1522"/>
        <v>-0.0522875817</v>
      </c>
    </row>
    <row r="392" ht="14.25" customHeight="1">
      <c r="B392" s="31" t="s">
        <v>630</v>
      </c>
      <c r="C392" s="31" t="s">
        <v>1137</v>
      </c>
      <c r="D392" s="31" t="s">
        <v>1138</v>
      </c>
      <c r="E392" s="31" t="s">
        <v>1146</v>
      </c>
      <c r="F392" s="31" t="s">
        <v>1147</v>
      </c>
      <c r="G392" s="21" t="s">
        <v>1141</v>
      </c>
      <c r="H392" s="30">
        <v>38348.0</v>
      </c>
      <c r="I392" s="21">
        <v>71.0</v>
      </c>
      <c r="J392" s="21" t="s">
        <v>740</v>
      </c>
      <c r="K392" s="13">
        <f t="shared" si="1508"/>
        <v>28.54873558</v>
      </c>
      <c r="L392" s="13">
        <v>0.009</v>
      </c>
      <c r="M392" s="13">
        <f t="shared" si="1509"/>
        <v>0.003888632348</v>
      </c>
      <c r="N392" s="13">
        <f t="shared" si="1510"/>
        <v>0.005637236722</v>
      </c>
      <c r="O392" s="13">
        <f t="shared" si="1511"/>
        <v>0.07928114758</v>
      </c>
      <c r="P392" s="13">
        <v>0.088</v>
      </c>
      <c r="Q392" s="13">
        <f t="shared" si="1512"/>
        <v>0.9009221316</v>
      </c>
      <c r="R392" s="13">
        <f t="shared" si="1513"/>
        <v>0.0005081362561</v>
      </c>
      <c r="S392" s="13">
        <f t="shared" si="1514"/>
        <v>0.01476596512</v>
      </c>
      <c r="T392" s="13">
        <f t="shared" si="1515"/>
        <v>0.03368634181</v>
      </c>
      <c r="U392" s="13">
        <f t="shared" si="1516"/>
        <v>11.05999266</v>
      </c>
      <c r="V392" s="13">
        <f t="shared" si="1517"/>
        <v>0.02079159168</v>
      </c>
      <c r="W392" s="13">
        <f t="shared" si="1518"/>
        <v>0.8562888545</v>
      </c>
      <c r="X392" s="13">
        <v>1.486</v>
      </c>
      <c r="Y392" s="13">
        <f t="shared" si="1519"/>
        <v>0.6325677336</v>
      </c>
      <c r="Z392" s="13">
        <f t="shared" si="1520"/>
        <v>0.06412143812</v>
      </c>
      <c r="AA392" s="13">
        <f t="shared" si="1521"/>
        <v>0.02558565603</v>
      </c>
      <c r="AB392" s="13">
        <f t="shared" si="1522"/>
        <v>-0.0522875817</v>
      </c>
    </row>
    <row r="393" ht="14.25" customHeight="1">
      <c r="B393" s="31" t="s">
        <v>630</v>
      </c>
      <c r="C393" s="31" t="s">
        <v>1148</v>
      </c>
      <c r="D393" s="31" t="s">
        <v>1149</v>
      </c>
      <c r="E393" s="31" t="s">
        <v>1150</v>
      </c>
      <c r="F393" s="31" t="s">
        <v>1151</v>
      </c>
      <c r="G393" s="21" t="s">
        <v>1152</v>
      </c>
      <c r="H393" s="30">
        <v>42573.0</v>
      </c>
      <c r="I393" s="21">
        <v>745.0</v>
      </c>
      <c r="J393" s="21" t="s">
        <v>1153</v>
      </c>
      <c r="K393" s="13">
        <f t="shared" ref="K393:K394" si="1523">(0.001+0.0658164478)/0.00057735026918963</f>
        <v>115.7294824</v>
      </c>
      <c r="L393" s="13">
        <v>0.013</v>
      </c>
      <c r="M393" s="13">
        <f t="shared" ref="M393:M394" si="1524">(166.1/4)/37731.3</f>
        <v>0.001100545171</v>
      </c>
      <c r="N393" s="13">
        <f t="shared" ref="N393:N394" si="1525">(166.1/4)/32772.9</f>
        <v>0.001267052961</v>
      </c>
      <c r="O393" s="13">
        <f t="shared" ref="O393:O394" si="1526">2620.7/40389.6</f>
        <v>0.06488551508</v>
      </c>
      <c r="P393" s="13">
        <v>0.114</v>
      </c>
      <c r="Q393" s="13">
        <f t="shared" ref="Q393:Q394" si="1527">(2620.7/0.114)/40389.6</f>
        <v>0.5691711849</v>
      </c>
      <c r="R393" s="13">
        <f t="shared" ref="R393:R394" si="1528">92.65/30682.2</f>
        <v>0.003019666126</v>
      </c>
      <c r="S393" s="13">
        <f t="shared" ref="S393:S394" si="1529">165.8/40389.6</f>
        <v>0.004105017133</v>
      </c>
      <c r="T393" s="13">
        <f t="shared" ref="T393:T394" si="1530">3005.2/40389.6</f>
        <v>0.07440529245</v>
      </c>
      <c r="U393" s="13">
        <f t="shared" ref="U393:U394" si="1531">ln(40389.6)</f>
        <v>10.60632761</v>
      </c>
      <c r="V393" s="13">
        <f t="shared" ref="V393:V394" si="1532">93.2/(40389.6)</f>
        <v>0.002307524709</v>
      </c>
      <c r="W393" s="13">
        <f t="shared" ref="W393:W394" si="1533">30682.2/(40389.6)</f>
        <v>0.759655951</v>
      </c>
      <c r="X393" s="13">
        <v>0.936</v>
      </c>
      <c r="Y393" s="13">
        <f t="shared" ref="Y393:Y394" si="1534">32772.9/(40389.6)</f>
        <v>0.8114192762</v>
      </c>
      <c r="Z393" s="13">
        <f t="shared" ref="Z393:Z394" si="1535">2658.3/(40389.6)</f>
        <v>0.0658164478</v>
      </c>
      <c r="AA393" s="13">
        <f t="shared" ref="AA393:AA394" si="1536">40389.6/2647000</f>
        <v>0.01525863241</v>
      </c>
      <c r="AB393" s="13">
        <f t="shared" ref="AB393:AB394" si="1537">(779.16-758.14)/758.14</f>
        <v>0.02772574986</v>
      </c>
    </row>
    <row r="394" ht="14.25" customHeight="1">
      <c r="B394" s="31" t="s">
        <v>630</v>
      </c>
      <c r="C394" s="31" t="s">
        <v>1148</v>
      </c>
      <c r="D394" s="31" t="s">
        <v>1149</v>
      </c>
      <c r="E394" s="31" t="s">
        <v>1154</v>
      </c>
      <c r="F394" s="31" t="s">
        <v>1155</v>
      </c>
      <c r="G394" s="21" t="s">
        <v>1152</v>
      </c>
      <c r="H394" s="30">
        <v>42573.0</v>
      </c>
      <c r="I394" s="21">
        <v>255.0</v>
      </c>
      <c r="J394" s="21" t="s">
        <v>1153</v>
      </c>
      <c r="K394" s="13">
        <f t="shared" si="1523"/>
        <v>115.7294824</v>
      </c>
      <c r="L394" s="13">
        <v>0.013</v>
      </c>
      <c r="M394" s="13">
        <f t="shared" si="1524"/>
        <v>0.001100545171</v>
      </c>
      <c r="N394" s="13">
        <f t="shared" si="1525"/>
        <v>0.001267052961</v>
      </c>
      <c r="O394" s="13">
        <f t="shared" si="1526"/>
        <v>0.06488551508</v>
      </c>
      <c r="P394" s="13">
        <v>0.114</v>
      </c>
      <c r="Q394" s="13">
        <f t="shared" si="1527"/>
        <v>0.5691711849</v>
      </c>
      <c r="R394" s="13">
        <f t="shared" si="1528"/>
        <v>0.003019666126</v>
      </c>
      <c r="S394" s="13">
        <f t="shared" si="1529"/>
        <v>0.004105017133</v>
      </c>
      <c r="T394" s="13">
        <f t="shared" si="1530"/>
        <v>0.07440529245</v>
      </c>
      <c r="U394" s="13">
        <f t="shared" si="1531"/>
        <v>10.60632761</v>
      </c>
      <c r="V394" s="13">
        <f t="shared" si="1532"/>
        <v>0.002307524709</v>
      </c>
      <c r="W394" s="13">
        <f t="shared" si="1533"/>
        <v>0.759655951</v>
      </c>
      <c r="X394" s="13">
        <v>0.936</v>
      </c>
      <c r="Y394" s="13">
        <f t="shared" si="1534"/>
        <v>0.8114192762</v>
      </c>
      <c r="Z394" s="13">
        <f t="shared" si="1535"/>
        <v>0.0658164478</v>
      </c>
      <c r="AA394" s="13">
        <f t="shared" si="1536"/>
        <v>0.01525863241</v>
      </c>
      <c r="AB394" s="13">
        <f t="shared" si="1537"/>
        <v>0.02772574986</v>
      </c>
    </row>
    <row r="395" ht="14.25" customHeight="1">
      <c r="B395" s="31" t="s">
        <v>630</v>
      </c>
      <c r="C395" s="31" t="s">
        <v>1156</v>
      </c>
      <c r="D395" s="31" t="s">
        <v>1157</v>
      </c>
      <c r="E395" s="31" t="s">
        <v>1158</v>
      </c>
      <c r="F395" s="31" t="s">
        <v>1159</v>
      </c>
      <c r="G395" s="21" t="s">
        <v>1152</v>
      </c>
      <c r="H395" s="34">
        <v>43224.0</v>
      </c>
      <c r="I395" s="21">
        <v>760.0</v>
      </c>
      <c r="J395" s="21" t="s">
        <v>530</v>
      </c>
      <c r="K395" s="13">
        <f t="shared" ref="K395:K396" si="1538">(0.002+0.07)/0.00057735026918963</f>
        <v>124.7076581</v>
      </c>
      <c r="L395" s="13">
        <v>0.078</v>
      </c>
      <c r="M395" s="13">
        <f t="shared" ref="M395:M396" si="1539">(99.1/31608.7)/4</f>
        <v>0.0007838031934</v>
      </c>
      <c r="N395" s="13">
        <f t="shared" ref="N395:N396" si="1540">(99.1/27487.3)/4</f>
        <v>0.0009013253393</v>
      </c>
      <c r="O395" s="13">
        <f t="shared" ref="O395:O396" si="1541">2882/34361.3</f>
        <v>0.08387342737</v>
      </c>
      <c r="P395" s="13">
        <v>0.125</v>
      </c>
      <c r="Q395" s="13">
        <f t="shared" ref="Q395:Q396" si="1542">(2882/0.125)/34361.3</f>
        <v>0.670987419</v>
      </c>
      <c r="R395" s="13">
        <f t="shared" ref="R395:R396" si="1543">77.65/29420.6</f>
        <v>0.002639307152</v>
      </c>
      <c r="S395" s="13">
        <f t="shared" ref="S395:S396" si="1544">346.1/34361.3</f>
        <v>0.01007237794</v>
      </c>
      <c r="T395" s="13">
        <f t="shared" ref="T395:T396" si="1545">2670.5/34361.3</f>
        <v>0.07771824698</v>
      </c>
      <c r="U395" s="13">
        <f t="shared" ref="U395:U396" si="1546">ln(34361.3)</f>
        <v>10.44468621</v>
      </c>
      <c r="V395" s="13">
        <f t="shared" ref="V395:V396" si="1547">157.5/(34361.3)</f>
        <v>0.004583644973</v>
      </c>
      <c r="W395" s="13">
        <f t="shared" ref="W395:W396" si="1548">29420.6/(34361.3)</f>
        <v>0.8562132399</v>
      </c>
      <c r="X395" s="13">
        <v>1.07</v>
      </c>
      <c r="Y395" s="13">
        <f t="shared" ref="Y395:Y396" si="1549">27487.3/(34361.3)</f>
        <v>0.7999493616</v>
      </c>
      <c r="Z395" s="13">
        <f t="shared" ref="Z395:Z396" si="1550">2752.6/(34361.3)</f>
        <v>0.08010756287</v>
      </c>
      <c r="AA395" s="13">
        <f t="shared" ref="AA395:AA396" si="1551">34361.3/2576000</f>
        <v>0.01333901398</v>
      </c>
      <c r="AB395" s="13">
        <f t="shared" ref="AB395:AB396" si="1552">(794.63-809.61)/809.61</f>
        <v>-0.01850273589</v>
      </c>
    </row>
    <row r="396" ht="14.25" customHeight="1">
      <c r="B396" s="31" t="s">
        <v>630</v>
      </c>
      <c r="C396" s="31" t="s">
        <v>1156</v>
      </c>
      <c r="D396" s="31" t="s">
        <v>1157</v>
      </c>
      <c r="E396" s="31" t="s">
        <v>1160</v>
      </c>
      <c r="F396" s="31" t="s">
        <v>1161</v>
      </c>
      <c r="G396" s="21" t="s">
        <v>1152</v>
      </c>
      <c r="H396" s="34">
        <v>43224.0</v>
      </c>
      <c r="I396" s="21">
        <v>240.0</v>
      </c>
      <c r="J396" s="21" t="s">
        <v>530</v>
      </c>
      <c r="K396" s="13">
        <f t="shared" si="1538"/>
        <v>124.7076581</v>
      </c>
      <c r="L396" s="13">
        <v>0.078</v>
      </c>
      <c r="M396" s="13">
        <f t="shared" si="1539"/>
        <v>0.0007838031934</v>
      </c>
      <c r="N396" s="13">
        <f t="shared" si="1540"/>
        <v>0.0009013253393</v>
      </c>
      <c r="O396" s="13">
        <f t="shared" si="1541"/>
        <v>0.08387342737</v>
      </c>
      <c r="P396" s="13">
        <v>0.125</v>
      </c>
      <c r="Q396" s="13">
        <f t="shared" si="1542"/>
        <v>0.670987419</v>
      </c>
      <c r="R396" s="13">
        <f t="shared" si="1543"/>
        <v>0.002639307152</v>
      </c>
      <c r="S396" s="13">
        <f t="shared" si="1544"/>
        <v>0.01007237794</v>
      </c>
      <c r="T396" s="13">
        <f t="shared" si="1545"/>
        <v>0.07771824698</v>
      </c>
      <c r="U396" s="13">
        <f t="shared" si="1546"/>
        <v>10.44468621</v>
      </c>
      <c r="V396" s="13">
        <f t="shared" si="1547"/>
        <v>0.004583644973</v>
      </c>
      <c r="W396" s="13">
        <f t="shared" si="1548"/>
        <v>0.8562132399</v>
      </c>
      <c r="X396" s="13">
        <v>1.07</v>
      </c>
      <c r="Y396" s="13">
        <f t="shared" si="1549"/>
        <v>0.7999493616</v>
      </c>
      <c r="Z396" s="13">
        <f t="shared" si="1550"/>
        <v>0.08010756287</v>
      </c>
      <c r="AA396" s="13">
        <f t="shared" si="1551"/>
        <v>0.01333901398</v>
      </c>
      <c r="AB396" s="13">
        <f t="shared" si="1552"/>
        <v>-0.01850273589</v>
      </c>
    </row>
    <row r="397" ht="14.25" customHeight="1">
      <c r="B397" s="31" t="s">
        <v>630</v>
      </c>
      <c r="C397" s="31" t="s">
        <v>1162</v>
      </c>
      <c r="D397" s="31" t="s">
        <v>1163</v>
      </c>
      <c r="E397" s="31" t="s">
        <v>1164</v>
      </c>
      <c r="F397" s="31" t="s">
        <v>1165</v>
      </c>
      <c r="G397" s="21" t="s">
        <v>1152</v>
      </c>
      <c r="H397" s="29">
        <v>44295.0</v>
      </c>
      <c r="I397" s="21">
        <v>770.0</v>
      </c>
      <c r="J397" s="21" t="s">
        <v>381</v>
      </c>
      <c r="K397" s="13">
        <f t="shared" ref="K397:K398" si="1554">(0.001+0.074)/0.00057735026918963</f>
        <v>129.9038106</v>
      </c>
      <c r="L397" s="13">
        <v>0.042</v>
      </c>
      <c r="M397" s="13">
        <f t="shared" ref="M397:M398" si="1555">(47.5/40080.5)/4</f>
        <v>0.000296278739</v>
      </c>
      <c r="N397" s="13">
        <f t="shared" ref="N397:N398" si="1556">(47.5/37203.9)/4</f>
        <v>0.000319186967</v>
      </c>
      <c r="O397" s="13">
        <f t="shared" ref="O397:O398" si="1557">3297.4/43291.5</f>
        <v>0.07616737697</v>
      </c>
      <c r="P397" s="13">
        <v>0.133</v>
      </c>
      <c r="Q397" s="13">
        <f t="shared" ref="Q397:Q398" si="1558">(3297.4/0.133)/43291.5</f>
        <v>0.5726870449</v>
      </c>
      <c r="R397" s="13">
        <f t="shared" ref="R397:R398" si="1559">74.975/28525.8</f>
        <v>0.002628322431</v>
      </c>
      <c r="S397" s="13">
        <f t="shared" ref="S397:T397" si="1553">10316/43291.5</f>
        <v>0.2382915815</v>
      </c>
      <c r="T397" s="13">
        <f t="shared" si="1553"/>
        <v>0.2382915815</v>
      </c>
      <c r="U397" s="13">
        <f t="shared" ref="U397:U398" si="1561">ln(43291.5)</f>
        <v>10.67571159</v>
      </c>
      <c r="V397" s="13">
        <f t="shared" ref="V397:V398" si="1562">350.7/43291.5</f>
        <v>0.008100897405</v>
      </c>
      <c r="W397" s="13">
        <f t="shared" ref="W397:W398" si="1563">28525.8/43291.5</f>
        <v>0.6589238072</v>
      </c>
      <c r="X397" s="13">
        <v>0.767</v>
      </c>
      <c r="Y397" s="13">
        <f t="shared" ref="Y397:Y398" si="1564">37203.9/43291.5</f>
        <v>0.8593811718</v>
      </c>
      <c r="Z397" s="13">
        <f t="shared" ref="Z397:Z398" si="1565">3211/43291.5</f>
        <v>0.07417160413</v>
      </c>
      <c r="AA397" s="13">
        <f t="shared" ref="AA397:AA398" si="1566">43291.5/2938000</f>
        <v>0.01473502383</v>
      </c>
      <c r="AB397" s="13">
        <f t="shared" ref="AB397:AB398" si="1567">(765.26-758.91)/758.91</f>
        <v>0.008367263575</v>
      </c>
    </row>
    <row r="398" ht="14.25" customHeight="1">
      <c r="B398" s="31" t="s">
        <v>630</v>
      </c>
      <c r="C398" s="31" t="s">
        <v>1162</v>
      </c>
      <c r="D398" s="31" t="s">
        <v>1163</v>
      </c>
      <c r="E398" s="31" t="s">
        <v>1166</v>
      </c>
      <c r="F398" s="31" t="s">
        <v>1167</v>
      </c>
      <c r="G398" s="21" t="s">
        <v>1152</v>
      </c>
      <c r="H398" s="29">
        <v>44295.0</v>
      </c>
      <c r="I398" s="21">
        <v>230.0</v>
      </c>
      <c r="J398" s="21" t="s">
        <v>381</v>
      </c>
      <c r="K398" s="13">
        <f t="shared" si="1554"/>
        <v>129.9038106</v>
      </c>
      <c r="L398" s="13">
        <v>0.042</v>
      </c>
      <c r="M398" s="13">
        <f t="shared" si="1555"/>
        <v>0.000296278739</v>
      </c>
      <c r="N398" s="13">
        <f t="shared" si="1556"/>
        <v>0.000319186967</v>
      </c>
      <c r="O398" s="13">
        <f t="shared" si="1557"/>
        <v>0.07616737697</v>
      </c>
      <c r="P398" s="13">
        <v>0.133</v>
      </c>
      <c r="Q398" s="13">
        <f t="shared" si="1558"/>
        <v>0.5726870449</v>
      </c>
      <c r="R398" s="13">
        <f t="shared" si="1559"/>
        <v>0.002628322431</v>
      </c>
      <c r="S398" s="13">
        <f t="shared" ref="S398:T398" si="1560">10316/43291.5</f>
        <v>0.2382915815</v>
      </c>
      <c r="T398" s="13">
        <f t="shared" si="1560"/>
        <v>0.2382915815</v>
      </c>
      <c r="U398" s="13">
        <f t="shared" si="1561"/>
        <v>10.67571159</v>
      </c>
      <c r="V398" s="13">
        <f t="shared" si="1562"/>
        <v>0.008100897405</v>
      </c>
      <c r="W398" s="13">
        <f t="shared" si="1563"/>
        <v>0.6589238072</v>
      </c>
      <c r="X398" s="13">
        <v>0.767</v>
      </c>
      <c r="Y398" s="13">
        <f t="shared" si="1564"/>
        <v>0.8593811718</v>
      </c>
      <c r="Z398" s="13">
        <f t="shared" si="1565"/>
        <v>0.07417160413</v>
      </c>
      <c r="AA398" s="13">
        <f t="shared" si="1566"/>
        <v>0.01473502383</v>
      </c>
      <c r="AB398" s="13">
        <f t="shared" si="1567"/>
        <v>0.008367263575</v>
      </c>
    </row>
    <row r="399" ht="14.25" customHeight="1">
      <c r="B399" s="31" t="s">
        <v>630</v>
      </c>
      <c r="C399" s="31" t="s">
        <v>1168</v>
      </c>
      <c r="D399" s="31" t="s">
        <v>1169</v>
      </c>
      <c r="E399" s="31" t="s">
        <v>1170</v>
      </c>
      <c r="F399" s="31" t="s">
        <v>1171</v>
      </c>
      <c r="G399" s="21" t="s">
        <v>1087</v>
      </c>
      <c r="H399" s="30">
        <v>39717.0</v>
      </c>
      <c r="I399" s="21">
        <v>497.5</v>
      </c>
      <c r="J399" s="21" t="s">
        <v>673</v>
      </c>
      <c r="K399" s="13">
        <f t="shared" ref="K399:K402" si="1568">(0.004+0.057)/0.0037749172176354</f>
        <v>16.15929476</v>
      </c>
      <c r="L399" s="13">
        <v>0.016</v>
      </c>
      <c r="M399" s="13">
        <f t="shared" ref="M399:M402" si="1569">756.7/75930</f>
        <v>0.009965757935</v>
      </c>
      <c r="N399" s="13">
        <f t="shared" ref="N399:N402" si="1570">756.7/47921.3</f>
        <v>0.01579047313</v>
      </c>
      <c r="O399" s="13">
        <f t="shared" ref="O399:O402" si="1571">5268/81748.3</f>
        <v>0.06444170704</v>
      </c>
      <c r="P399" s="13">
        <v>0.089</v>
      </c>
      <c r="Q399" s="13">
        <f>(5268/0.0644)/81748.3</f>
        <v>1.000647625</v>
      </c>
      <c r="R399" s="13">
        <f t="shared" ref="R399:R402" si="1572">1.7/64185.3</f>
        <v>0.00002648581529</v>
      </c>
      <c r="S399" s="13">
        <f t="shared" ref="S399:S402" si="1573">256.2/80378.1</f>
        <v>0.003187435384</v>
      </c>
      <c r="T399" s="13">
        <f t="shared" ref="T399:T402" si="1574">4924.2/80378.1</f>
        <v>0.06126295595</v>
      </c>
      <c r="U399" s="13">
        <f t="shared" ref="U399:U402" si="1575">ln(80379.3)</f>
        <v>11.29451196</v>
      </c>
      <c r="V399" s="13">
        <f t="shared" ref="V399:V402" si="1576">785.2/(80379.3)</f>
        <v>0.009768684226</v>
      </c>
      <c r="W399" s="13">
        <f t="shared" ref="W399:W402" si="1577">71950/(80379.3)</f>
        <v>0.8951309603</v>
      </c>
      <c r="X399" s="13">
        <v>1.37</v>
      </c>
      <c r="Y399" s="13">
        <f t="shared" ref="Y399:Y402" si="1578">42321/(80379.3)</f>
        <v>0.5265161553</v>
      </c>
      <c r="Z399" s="13">
        <f t="shared" ref="Z399:Z402" si="1579">4664.4/(80379.3)</f>
        <v>0.0580298659</v>
      </c>
      <c r="AA399" s="13">
        <f t="shared" ref="AA399:AA402" si="1580">80379.3/2750000</f>
        <v>0.02922883636</v>
      </c>
      <c r="AB399" s="13">
        <f t="shared" ref="AB399:AB402" si="1581">(780.66-751.2)/751.2</f>
        <v>0.0392172524</v>
      </c>
    </row>
    <row r="400" ht="14.25" customHeight="1">
      <c r="B400" s="31" t="s">
        <v>630</v>
      </c>
      <c r="C400" s="31" t="s">
        <v>1168</v>
      </c>
      <c r="D400" s="31" t="s">
        <v>1169</v>
      </c>
      <c r="E400" s="31" t="s">
        <v>1172</v>
      </c>
      <c r="F400" s="31" t="s">
        <v>1173</v>
      </c>
      <c r="G400" s="21" t="s">
        <v>1087</v>
      </c>
      <c r="H400" s="30">
        <v>39717.0</v>
      </c>
      <c r="I400" s="21">
        <v>402.5</v>
      </c>
      <c r="J400" s="21" t="s">
        <v>673</v>
      </c>
      <c r="K400" s="13">
        <f t="shared" si="1568"/>
        <v>16.15929476</v>
      </c>
      <c r="L400" s="13">
        <v>0.016</v>
      </c>
      <c r="M400" s="13">
        <f t="shared" si="1569"/>
        <v>0.009965757935</v>
      </c>
      <c r="N400" s="13">
        <f t="shared" si="1570"/>
        <v>0.01579047313</v>
      </c>
      <c r="O400" s="13">
        <f t="shared" si="1571"/>
        <v>0.06444170704</v>
      </c>
      <c r="P400" s="13">
        <v>0.089</v>
      </c>
      <c r="Q400" s="13">
        <f t="shared" ref="Q400:Q402" si="1582">(5268/81748.3)/0.0644</f>
        <v>1.000647625</v>
      </c>
      <c r="R400" s="13">
        <f t="shared" si="1572"/>
        <v>0.00002648581529</v>
      </c>
      <c r="S400" s="13">
        <f t="shared" si="1573"/>
        <v>0.003187435384</v>
      </c>
      <c r="T400" s="13">
        <f t="shared" si="1574"/>
        <v>0.06126295595</v>
      </c>
      <c r="U400" s="13">
        <f t="shared" si="1575"/>
        <v>11.29451196</v>
      </c>
      <c r="V400" s="13">
        <f t="shared" si="1576"/>
        <v>0.009768684226</v>
      </c>
      <c r="W400" s="13">
        <f t="shared" si="1577"/>
        <v>0.8951309603</v>
      </c>
      <c r="X400" s="13">
        <v>1.37</v>
      </c>
      <c r="Y400" s="13">
        <f t="shared" si="1578"/>
        <v>0.5265161553</v>
      </c>
      <c r="Z400" s="13">
        <f t="shared" si="1579"/>
        <v>0.0580298659</v>
      </c>
      <c r="AA400" s="13">
        <f t="shared" si="1580"/>
        <v>0.02922883636</v>
      </c>
      <c r="AB400" s="13">
        <f t="shared" si="1581"/>
        <v>0.0392172524</v>
      </c>
    </row>
    <row r="401" ht="14.25" customHeight="1">
      <c r="B401" s="31" t="s">
        <v>630</v>
      </c>
      <c r="C401" s="31" t="s">
        <v>1168</v>
      </c>
      <c r="D401" s="31" t="s">
        <v>1169</v>
      </c>
      <c r="E401" s="31" t="s">
        <v>1174</v>
      </c>
      <c r="F401" s="31" t="s">
        <v>1175</v>
      </c>
      <c r="G401" s="21" t="s">
        <v>1087</v>
      </c>
      <c r="H401" s="30">
        <v>39717.0</v>
      </c>
      <c r="I401" s="21">
        <v>65.0</v>
      </c>
      <c r="J401" s="21" t="s">
        <v>673</v>
      </c>
      <c r="K401" s="13">
        <f t="shared" si="1568"/>
        <v>16.15929476</v>
      </c>
      <c r="L401" s="13">
        <v>0.016</v>
      </c>
      <c r="M401" s="13">
        <f t="shared" si="1569"/>
        <v>0.009965757935</v>
      </c>
      <c r="N401" s="13">
        <f t="shared" si="1570"/>
        <v>0.01579047313</v>
      </c>
      <c r="O401" s="13">
        <f t="shared" si="1571"/>
        <v>0.06444170704</v>
      </c>
      <c r="P401" s="13">
        <v>0.089</v>
      </c>
      <c r="Q401" s="13">
        <f t="shared" si="1582"/>
        <v>1.000647625</v>
      </c>
      <c r="R401" s="13">
        <f t="shared" si="1572"/>
        <v>0.00002648581529</v>
      </c>
      <c r="S401" s="13">
        <f t="shared" si="1573"/>
        <v>0.003187435384</v>
      </c>
      <c r="T401" s="13">
        <f t="shared" si="1574"/>
        <v>0.06126295595</v>
      </c>
      <c r="U401" s="13">
        <f t="shared" si="1575"/>
        <v>11.29451196</v>
      </c>
      <c r="V401" s="13">
        <f t="shared" si="1576"/>
        <v>0.009768684226</v>
      </c>
      <c r="W401" s="13">
        <f t="shared" si="1577"/>
        <v>0.8951309603</v>
      </c>
      <c r="X401" s="13">
        <v>1.37</v>
      </c>
      <c r="Y401" s="13">
        <f t="shared" si="1578"/>
        <v>0.5265161553</v>
      </c>
      <c r="Z401" s="13">
        <f t="shared" si="1579"/>
        <v>0.0580298659</v>
      </c>
      <c r="AA401" s="13">
        <f t="shared" si="1580"/>
        <v>0.02922883636</v>
      </c>
      <c r="AB401" s="13">
        <f t="shared" si="1581"/>
        <v>0.0392172524</v>
      </c>
    </row>
    <row r="402" ht="14.25" customHeight="1">
      <c r="B402" s="31" t="s">
        <v>630</v>
      </c>
      <c r="C402" s="31" t="s">
        <v>1168</v>
      </c>
      <c r="D402" s="31" t="s">
        <v>1169</v>
      </c>
      <c r="E402" s="31" t="s">
        <v>1176</v>
      </c>
      <c r="F402" s="31" t="s">
        <v>1177</v>
      </c>
      <c r="G402" s="21" t="s">
        <v>1087</v>
      </c>
      <c r="H402" s="30">
        <v>39717.0</v>
      </c>
      <c r="I402" s="21">
        <v>35.0</v>
      </c>
      <c r="J402" s="21" t="s">
        <v>673</v>
      </c>
      <c r="K402" s="13">
        <f t="shared" si="1568"/>
        <v>16.15929476</v>
      </c>
      <c r="L402" s="13">
        <v>0.016</v>
      </c>
      <c r="M402" s="13">
        <f t="shared" si="1569"/>
        <v>0.009965757935</v>
      </c>
      <c r="N402" s="13">
        <f t="shared" si="1570"/>
        <v>0.01579047313</v>
      </c>
      <c r="O402" s="13">
        <f t="shared" si="1571"/>
        <v>0.06444170704</v>
      </c>
      <c r="P402" s="13">
        <v>0.089</v>
      </c>
      <c r="Q402" s="13">
        <f t="shared" si="1582"/>
        <v>1.000647625</v>
      </c>
      <c r="R402" s="13">
        <f t="shared" si="1572"/>
        <v>0.00002648581529</v>
      </c>
      <c r="S402" s="13">
        <f t="shared" si="1573"/>
        <v>0.003187435384</v>
      </c>
      <c r="T402" s="13">
        <f t="shared" si="1574"/>
        <v>0.06126295595</v>
      </c>
      <c r="U402" s="13">
        <f t="shared" si="1575"/>
        <v>11.29451196</v>
      </c>
      <c r="V402" s="13">
        <f t="shared" si="1576"/>
        <v>0.009768684226</v>
      </c>
      <c r="W402" s="13">
        <f t="shared" si="1577"/>
        <v>0.8951309603</v>
      </c>
      <c r="X402" s="13">
        <v>1.37</v>
      </c>
      <c r="Y402" s="13">
        <f t="shared" si="1578"/>
        <v>0.5265161553</v>
      </c>
      <c r="Z402" s="13">
        <f t="shared" si="1579"/>
        <v>0.0580298659</v>
      </c>
      <c r="AA402" s="13">
        <f t="shared" si="1580"/>
        <v>0.02922883636</v>
      </c>
      <c r="AB402" s="13">
        <f t="shared" si="1581"/>
        <v>0.0392172524</v>
      </c>
    </row>
    <row r="403" ht="14.25" customHeight="1">
      <c r="B403" s="31" t="s">
        <v>630</v>
      </c>
      <c r="C403" s="31" t="s">
        <v>1178</v>
      </c>
      <c r="D403" s="31" t="s">
        <v>1179</v>
      </c>
      <c r="E403" s="31" t="s">
        <v>1180</v>
      </c>
      <c r="F403" s="31" t="s">
        <v>1181</v>
      </c>
      <c r="G403" s="21" t="s">
        <v>1087</v>
      </c>
      <c r="H403" s="30">
        <v>40842.0</v>
      </c>
      <c r="I403" s="21">
        <v>295.0</v>
      </c>
      <c r="J403" s="21" t="s">
        <v>361</v>
      </c>
      <c r="K403" s="13">
        <f t="shared" ref="K403:K405" si="1583">(0.003+0.066)/0.00095742710775634</f>
        <v>72.06814957</v>
      </c>
      <c r="L403" s="13">
        <v>0.065</v>
      </c>
      <c r="M403" s="13">
        <f t="shared" ref="M403:M405" si="1584">496.4/97716.2</f>
        <v>0.005080017438</v>
      </c>
      <c r="N403" s="13">
        <f t="shared" ref="N403:N405" si="1585">496.4/68127.5</f>
        <v>0.007286338116</v>
      </c>
      <c r="O403" s="13">
        <f t="shared" ref="O403:O405" si="1586">6332.3/105321</f>
        <v>0.06012381197</v>
      </c>
      <c r="P403" s="13">
        <v>0.114</v>
      </c>
      <c r="Q403" s="13">
        <f t="shared" ref="Q403:Q405" si="1587">(6332.3/0.114)/105321</f>
        <v>0.5274018593</v>
      </c>
      <c r="R403" s="13">
        <f t="shared" ref="R403:R405" si="1588">245/118745.3</f>
        <v>0.002063239556</v>
      </c>
      <c r="S403" s="13">
        <f t="shared" ref="S403:S405" si="1589">1440.5/105321</f>
        <v>0.01367723436</v>
      </c>
      <c r="T403" s="13">
        <f t="shared" ref="T403:T405" si="1590">22142.1/105321</f>
        <v>0.2102344262</v>
      </c>
      <c r="U403" s="13">
        <f t="shared" ref="U403:U405" si="1591">ln(100437.4)</f>
        <v>11.51728993</v>
      </c>
      <c r="V403" s="13">
        <f t="shared" ref="V403:V405" si="1592">2099.8/(100437.4)</f>
        <v>0.02090655473</v>
      </c>
      <c r="W403" s="13">
        <f t="shared" ref="W403:W405" si="1593">72654/(100437.4)</f>
        <v>0.7233759536</v>
      </c>
      <c r="X403" s="13">
        <v>1.129</v>
      </c>
      <c r="Y403" s="13">
        <f t="shared" ref="Y403:Y405" si="1594">70613.6/(100437.4)</f>
        <v>0.703060812</v>
      </c>
      <c r="Z403" s="13">
        <f t="shared" ref="Z403:Z405" si="1595">5934.1/(100437.4)</f>
        <v>0.05908257283</v>
      </c>
      <c r="AA403" s="13">
        <f t="shared" ref="AA403:AA405" si="1596">100437.4/3400000</f>
        <v>0.02954041176</v>
      </c>
      <c r="AB403" s="13">
        <f t="shared" ref="AB403:AB405" si="1597">(695.93-745.65)/745.65</f>
        <v>-0.06668007778</v>
      </c>
    </row>
    <row r="404" ht="14.25" customHeight="1">
      <c r="B404" s="31" t="s">
        <v>630</v>
      </c>
      <c r="C404" s="31" t="s">
        <v>1178</v>
      </c>
      <c r="D404" s="31" t="s">
        <v>1179</v>
      </c>
      <c r="E404" s="31" t="s">
        <v>1182</v>
      </c>
      <c r="F404" s="31" t="s">
        <v>1183</v>
      </c>
      <c r="G404" s="21" t="s">
        <v>1087</v>
      </c>
      <c r="H404" s="30">
        <v>40842.0</v>
      </c>
      <c r="I404" s="21">
        <v>650.0</v>
      </c>
      <c r="J404" s="21" t="s">
        <v>361</v>
      </c>
      <c r="K404" s="13">
        <f t="shared" si="1583"/>
        <v>72.06814957</v>
      </c>
      <c r="L404" s="13">
        <v>0.065</v>
      </c>
      <c r="M404" s="13">
        <f t="shared" si="1584"/>
        <v>0.005080017438</v>
      </c>
      <c r="N404" s="13">
        <f t="shared" si="1585"/>
        <v>0.007286338116</v>
      </c>
      <c r="O404" s="13">
        <f t="shared" si="1586"/>
        <v>0.06012381197</v>
      </c>
      <c r="P404" s="13">
        <v>0.114</v>
      </c>
      <c r="Q404" s="13">
        <f t="shared" si="1587"/>
        <v>0.5274018593</v>
      </c>
      <c r="R404" s="13">
        <f t="shared" si="1588"/>
        <v>0.002063239556</v>
      </c>
      <c r="S404" s="13">
        <f t="shared" si="1589"/>
        <v>0.01367723436</v>
      </c>
      <c r="T404" s="13">
        <f t="shared" si="1590"/>
        <v>0.2102344262</v>
      </c>
      <c r="U404" s="13">
        <f t="shared" si="1591"/>
        <v>11.51728993</v>
      </c>
      <c r="V404" s="13">
        <f t="shared" si="1592"/>
        <v>0.02090655473</v>
      </c>
      <c r="W404" s="13">
        <f t="shared" si="1593"/>
        <v>0.7233759536</v>
      </c>
      <c r="X404" s="13">
        <v>1.129</v>
      </c>
      <c r="Y404" s="13">
        <f t="shared" si="1594"/>
        <v>0.703060812</v>
      </c>
      <c r="Z404" s="13">
        <f t="shared" si="1595"/>
        <v>0.05908257283</v>
      </c>
      <c r="AA404" s="13">
        <f t="shared" si="1596"/>
        <v>0.02954041176</v>
      </c>
      <c r="AB404" s="13">
        <f t="shared" si="1597"/>
        <v>-0.06668007778</v>
      </c>
    </row>
    <row r="405" ht="14.25" customHeight="1">
      <c r="B405" s="31" t="s">
        <v>630</v>
      </c>
      <c r="C405" s="31" t="s">
        <v>1178</v>
      </c>
      <c r="D405" s="31" t="s">
        <v>1179</v>
      </c>
      <c r="E405" s="31" t="s">
        <v>1184</v>
      </c>
      <c r="F405" s="31" t="s">
        <v>1185</v>
      </c>
      <c r="G405" s="21" t="s">
        <v>1087</v>
      </c>
      <c r="H405" s="30">
        <v>40842.0</v>
      </c>
      <c r="I405" s="21">
        <v>555.0</v>
      </c>
      <c r="J405" s="21" t="s">
        <v>361</v>
      </c>
      <c r="K405" s="13">
        <f t="shared" si="1583"/>
        <v>72.06814957</v>
      </c>
      <c r="L405" s="13">
        <v>0.065</v>
      </c>
      <c r="M405" s="13">
        <f t="shared" si="1584"/>
        <v>0.005080017438</v>
      </c>
      <c r="N405" s="13">
        <f t="shared" si="1585"/>
        <v>0.007286338116</v>
      </c>
      <c r="O405" s="13">
        <f t="shared" si="1586"/>
        <v>0.06012381197</v>
      </c>
      <c r="P405" s="13">
        <v>0.114</v>
      </c>
      <c r="Q405" s="13">
        <f t="shared" si="1587"/>
        <v>0.5274018593</v>
      </c>
      <c r="R405" s="13">
        <f t="shared" si="1588"/>
        <v>0.002063239556</v>
      </c>
      <c r="S405" s="13">
        <f t="shared" si="1589"/>
        <v>0.01367723436</v>
      </c>
      <c r="T405" s="13">
        <f t="shared" si="1590"/>
        <v>0.2102344262</v>
      </c>
      <c r="U405" s="13">
        <f t="shared" si="1591"/>
        <v>11.51728993</v>
      </c>
      <c r="V405" s="13">
        <f t="shared" si="1592"/>
        <v>0.02090655473</v>
      </c>
      <c r="W405" s="13">
        <f t="shared" si="1593"/>
        <v>0.7233759536</v>
      </c>
      <c r="X405" s="13">
        <v>1.129</v>
      </c>
      <c r="Y405" s="13">
        <f t="shared" si="1594"/>
        <v>0.703060812</v>
      </c>
      <c r="Z405" s="13">
        <f t="shared" si="1595"/>
        <v>0.05908257283</v>
      </c>
      <c r="AA405" s="13">
        <f t="shared" si="1596"/>
        <v>0.02954041176</v>
      </c>
      <c r="AB405" s="13">
        <f t="shared" si="1597"/>
        <v>-0.06668007778</v>
      </c>
    </row>
    <row r="406" ht="14.25" customHeight="1">
      <c r="B406" s="31" t="s">
        <v>630</v>
      </c>
      <c r="C406" s="31" t="s">
        <v>1186</v>
      </c>
      <c r="D406" s="31" t="s">
        <v>1187</v>
      </c>
      <c r="E406" s="31" t="s">
        <v>1188</v>
      </c>
      <c r="F406" s="31" t="s">
        <v>1189</v>
      </c>
      <c r="G406" s="21" t="s">
        <v>1141</v>
      </c>
      <c r="H406" s="30">
        <v>38981.0</v>
      </c>
      <c r="I406" s="21">
        <v>553.5</v>
      </c>
      <c r="J406" s="21" t="s">
        <v>1190</v>
      </c>
      <c r="K406" s="13">
        <f t="shared" ref="K406:K411" si="1598">(0.01+0.066)/0.0018929694486001</f>
        <v>40.14856133</v>
      </c>
      <c r="L406" s="13">
        <v>0.008</v>
      </c>
      <c r="M406" s="13">
        <f t="shared" ref="M406:M411" si="1599">519.725/85735.853</f>
        <v>0.00606193304</v>
      </c>
      <c r="N406" s="13">
        <f t="shared" ref="N406:N411" si="1600">519.725/41900.181</f>
        <v>0.01240388437</v>
      </c>
      <c r="O406" s="13">
        <f t="shared" ref="O406:O411" si="1601">6189.721/91650.434</f>
        <v>0.06753618864</v>
      </c>
      <c r="P406" s="13">
        <v>0.08</v>
      </c>
      <c r="Q406" s="13">
        <f t="shared" ref="Q406:Q411" si="1602">(6189.721/91650.434)/0.08</f>
        <v>0.8442023581</v>
      </c>
      <c r="R406" s="13">
        <f t="shared" ref="R406:R411" si="1603">73.427/97686.225</f>
        <v>0.0007516617619</v>
      </c>
      <c r="S406" s="13">
        <f t="shared" ref="S406:S411" si="1604">417.651/91650.434</f>
        <v>0.004556999697</v>
      </c>
      <c r="T406" s="13">
        <f t="shared" ref="T406:T411" si="1605">7613.994/91650.434</f>
        <v>0.08307646421</v>
      </c>
      <c r="U406" s="13">
        <f t="shared" ref="U406:U411" si="1606">ln(87441.609)</f>
        <v>11.37872652</v>
      </c>
      <c r="V406" s="13">
        <f t="shared" ref="V406:V411" si="1607">1251.35/(87441.609)</f>
        <v>0.01431069275</v>
      </c>
      <c r="W406" s="13">
        <f t="shared" ref="W406:W411" si="1608">84671.878/(87441.609)</f>
        <v>0.9683247937</v>
      </c>
      <c r="X406" s="13">
        <v>1.996</v>
      </c>
      <c r="Y406" s="13">
        <f t="shared" ref="Y406:Y411" si="1609">43448.146/(87441.609)</f>
        <v>0.496881822</v>
      </c>
      <c r="Z406" s="13">
        <f t="shared" ref="Z406:Z411" si="1610">5825.311/(87441.609)</f>
        <v>0.06661943972</v>
      </c>
      <c r="AA406" s="13">
        <f t="shared" ref="AA406:AA411" si="1611">87441.609/3083408</f>
        <v>0.02835875402</v>
      </c>
      <c r="AB406" s="13">
        <f t="shared" ref="AB406:AB411" si="1612">(765.56-717.82)/717.82</f>
        <v>0.06650692374</v>
      </c>
    </row>
    <row r="407" ht="14.25" customHeight="1">
      <c r="B407" s="31" t="s">
        <v>630</v>
      </c>
      <c r="C407" s="31" t="s">
        <v>1186</v>
      </c>
      <c r="D407" s="31" t="s">
        <v>1187</v>
      </c>
      <c r="E407" s="31" t="s">
        <v>1191</v>
      </c>
      <c r="F407" s="31" t="s">
        <v>1192</v>
      </c>
      <c r="G407" s="21" t="s">
        <v>1141</v>
      </c>
      <c r="H407" s="30">
        <v>38981.0</v>
      </c>
      <c r="I407" s="32">
        <v>1135.8</v>
      </c>
      <c r="J407" s="21" t="s">
        <v>1190</v>
      </c>
      <c r="K407" s="13">
        <f t="shared" si="1598"/>
        <v>40.14856133</v>
      </c>
      <c r="L407" s="13">
        <v>0.008</v>
      </c>
      <c r="M407" s="13">
        <f t="shared" si="1599"/>
        <v>0.00606193304</v>
      </c>
      <c r="N407" s="13">
        <f t="shared" si="1600"/>
        <v>0.01240388437</v>
      </c>
      <c r="O407" s="13">
        <f t="shared" si="1601"/>
        <v>0.06753618864</v>
      </c>
      <c r="P407" s="13">
        <v>0.08</v>
      </c>
      <c r="Q407" s="13">
        <f t="shared" si="1602"/>
        <v>0.8442023581</v>
      </c>
      <c r="R407" s="13">
        <f t="shared" si="1603"/>
        <v>0.0007516617619</v>
      </c>
      <c r="S407" s="13">
        <f t="shared" si="1604"/>
        <v>0.004556999697</v>
      </c>
      <c r="T407" s="13">
        <f t="shared" si="1605"/>
        <v>0.08307646421</v>
      </c>
      <c r="U407" s="13">
        <f t="shared" si="1606"/>
        <v>11.37872652</v>
      </c>
      <c r="V407" s="13">
        <f t="shared" si="1607"/>
        <v>0.01431069275</v>
      </c>
      <c r="W407" s="13">
        <f t="shared" si="1608"/>
        <v>0.9683247937</v>
      </c>
      <c r="X407" s="13">
        <v>1.996</v>
      </c>
      <c r="Y407" s="13">
        <f t="shared" si="1609"/>
        <v>0.496881822</v>
      </c>
      <c r="Z407" s="13">
        <f t="shared" si="1610"/>
        <v>0.06661943972</v>
      </c>
      <c r="AA407" s="13">
        <f t="shared" si="1611"/>
        <v>0.02835875402</v>
      </c>
      <c r="AB407" s="13">
        <f t="shared" si="1612"/>
        <v>0.06650692374</v>
      </c>
    </row>
    <row r="408" ht="14.25" customHeight="1">
      <c r="B408" s="31" t="s">
        <v>630</v>
      </c>
      <c r="C408" s="31" t="s">
        <v>1186</v>
      </c>
      <c r="D408" s="31" t="s">
        <v>1187</v>
      </c>
      <c r="E408" s="31" t="s">
        <v>1193</v>
      </c>
      <c r="F408" s="31" t="s">
        <v>1194</v>
      </c>
      <c r="G408" s="21" t="s">
        <v>1141</v>
      </c>
      <c r="H408" s="30">
        <v>38981.0</v>
      </c>
      <c r="I408" s="21">
        <v>28.8</v>
      </c>
      <c r="J408" s="21" t="s">
        <v>1190</v>
      </c>
      <c r="K408" s="13">
        <f t="shared" si="1598"/>
        <v>40.14856133</v>
      </c>
      <c r="L408" s="13">
        <v>0.008</v>
      </c>
      <c r="M408" s="13">
        <f t="shared" si="1599"/>
        <v>0.00606193304</v>
      </c>
      <c r="N408" s="13">
        <f t="shared" si="1600"/>
        <v>0.01240388437</v>
      </c>
      <c r="O408" s="13">
        <f t="shared" si="1601"/>
        <v>0.06753618864</v>
      </c>
      <c r="P408" s="13">
        <v>0.08</v>
      </c>
      <c r="Q408" s="13">
        <f t="shared" si="1602"/>
        <v>0.8442023581</v>
      </c>
      <c r="R408" s="13">
        <f t="shared" si="1603"/>
        <v>0.0007516617619</v>
      </c>
      <c r="S408" s="13">
        <f t="shared" si="1604"/>
        <v>0.004556999697</v>
      </c>
      <c r="T408" s="13">
        <f t="shared" si="1605"/>
        <v>0.08307646421</v>
      </c>
      <c r="U408" s="13">
        <f t="shared" si="1606"/>
        <v>11.37872652</v>
      </c>
      <c r="V408" s="13">
        <f t="shared" si="1607"/>
        <v>0.01431069275</v>
      </c>
      <c r="W408" s="13">
        <f t="shared" si="1608"/>
        <v>0.9683247937</v>
      </c>
      <c r="X408" s="13">
        <v>1.996</v>
      </c>
      <c r="Y408" s="13">
        <f t="shared" si="1609"/>
        <v>0.496881822</v>
      </c>
      <c r="Z408" s="13">
        <f t="shared" si="1610"/>
        <v>0.06661943972</v>
      </c>
      <c r="AA408" s="13">
        <f t="shared" si="1611"/>
        <v>0.02835875402</v>
      </c>
      <c r="AB408" s="13">
        <f t="shared" si="1612"/>
        <v>0.06650692374</v>
      </c>
    </row>
    <row r="409" ht="14.25" customHeight="1">
      <c r="B409" s="31" t="s">
        <v>630</v>
      </c>
      <c r="C409" s="31" t="s">
        <v>1186</v>
      </c>
      <c r="D409" s="31" t="s">
        <v>1187</v>
      </c>
      <c r="E409" s="31" t="s">
        <v>1195</v>
      </c>
      <c r="F409" s="31" t="s">
        <v>1196</v>
      </c>
      <c r="G409" s="21" t="s">
        <v>1141</v>
      </c>
      <c r="H409" s="30">
        <v>38981.0</v>
      </c>
      <c r="I409" s="21">
        <v>27.0</v>
      </c>
      <c r="J409" s="21" t="s">
        <v>1190</v>
      </c>
      <c r="K409" s="13">
        <f t="shared" si="1598"/>
        <v>40.14856133</v>
      </c>
      <c r="L409" s="13">
        <v>0.008</v>
      </c>
      <c r="M409" s="13">
        <f t="shared" si="1599"/>
        <v>0.00606193304</v>
      </c>
      <c r="N409" s="13">
        <f t="shared" si="1600"/>
        <v>0.01240388437</v>
      </c>
      <c r="O409" s="13">
        <f t="shared" si="1601"/>
        <v>0.06753618864</v>
      </c>
      <c r="P409" s="13">
        <v>0.08</v>
      </c>
      <c r="Q409" s="13">
        <f t="shared" si="1602"/>
        <v>0.8442023581</v>
      </c>
      <c r="R409" s="13">
        <f t="shared" si="1603"/>
        <v>0.0007516617619</v>
      </c>
      <c r="S409" s="13">
        <f t="shared" si="1604"/>
        <v>0.004556999697</v>
      </c>
      <c r="T409" s="13">
        <f t="shared" si="1605"/>
        <v>0.08307646421</v>
      </c>
      <c r="U409" s="13">
        <f t="shared" si="1606"/>
        <v>11.37872652</v>
      </c>
      <c r="V409" s="13">
        <f t="shared" si="1607"/>
        <v>0.01431069275</v>
      </c>
      <c r="W409" s="13">
        <f t="shared" si="1608"/>
        <v>0.9683247937</v>
      </c>
      <c r="X409" s="13">
        <v>1.996</v>
      </c>
      <c r="Y409" s="13">
        <f t="shared" si="1609"/>
        <v>0.496881822</v>
      </c>
      <c r="Z409" s="13">
        <f t="shared" si="1610"/>
        <v>0.06661943972</v>
      </c>
      <c r="AA409" s="13">
        <f t="shared" si="1611"/>
        <v>0.02835875402</v>
      </c>
      <c r="AB409" s="13">
        <f t="shared" si="1612"/>
        <v>0.06650692374</v>
      </c>
    </row>
    <row r="410" ht="14.25" customHeight="1">
      <c r="B410" s="31" t="s">
        <v>630</v>
      </c>
      <c r="C410" s="31" t="s">
        <v>1186</v>
      </c>
      <c r="D410" s="31" t="s">
        <v>1187</v>
      </c>
      <c r="E410" s="31" t="s">
        <v>1197</v>
      </c>
      <c r="F410" s="31" t="s">
        <v>1198</v>
      </c>
      <c r="G410" s="21" t="s">
        <v>1141</v>
      </c>
      <c r="H410" s="30">
        <v>38981.0</v>
      </c>
      <c r="I410" s="21">
        <v>54.9</v>
      </c>
      <c r="J410" s="21" t="s">
        <v>1190</v>
      </c>
      <c r="K410" s="13">
        <f t="shared" si="1598"/>
        <v>40.14856133</v>
      </c>
      <c r="L410" s="13">
        <v>0.008</v>
      </c>
      <c r="M410" s="13">
        <f t="shared" si="1599"/>
        <v>0.00606193304</v>
      </c>
      <c r="N410" s="13">
        <f t="shared" si="1600"/>
        <v>0.01240388437</v>
      </c>
      <c r="O410" s="13">
        <f t="shared" si="1601"/>
        <v>0.06753618864</v>
      </c>
      <c r="P410" s="13">
        <v>0.08</v>
      </c>
      <c r="Q410" s="13">
        <f t="shared" si="1602"/>
        <v>0.8442023581</v>
      </c>
      <c r="R410" s="13">
        <f t="shared" si="1603"/>
        <v>0.0007516617619</v>
      </c>
      <c r="S410" s="13">
        <f t="shared" si="1604"/>
        <v>0.004556999697</v>
      </c>
      <c r="T410" s="13">
        <f t="shared" si="1605"/>
        <v>0.08307646421</v>
      </c>
      <c r="U410" s="13">
        <f t="shared" si="1606"/>
        <v>11.37872652</v>
      </c>
      <c r="V410" s="13">
        <f t="shared" si="1607"/>
        <v>0.01431069275</v>
      </c>
      <c r="W410" s="13">
        <f t="shared" si="1608"/>
        <v>0.9683247937</v>
      </c>
      <c r="X410" s="13">
        <v>1.996</v>
      </c>
      <c r="Y410" s="13">
        <f t="shared" si="1609"/>
        <v>0.496881822</v>
      </c>
      <c r="Z410" s="13">
        <f t="shared" si="1610"/>
        <v>0.06661943972</v>
      </c>
      <c r="AA410" s="13">
        <f t="shared" si="1611"/>
        <v>0.02835875402</v>
      </c>
      <c r="AB410" s="13">
        <f t="shared" si="1612"/>
        <v>0.06650692374</v>
      </c>
    </row>
    <row r="411" ht="14.25" customHeight="1">
      <c r="B411" s="31" t="s">
        <v>630</v>
      </c>
      <c r="C411" s="31" t="s">
        <v>1186</v>
      </c>
      <c r="D411" s="31" t="s">
        <v>1187</v>
      </c>
      <c r="E411" s="31" t="s">
        <v>1199</v>
      </c>
      <c r="F411" s="31" t="s">
        <v>1200</v>
      </c>
      <c r="G411" s="21" t="s">
        <v>1141</v>
      </c>
      <c r="H411" s="30">
        <v>38981.0</v>
      </c>
      <c r="I411" s="21">
        <v>32.4</v>
      </c>
      <c r="J411" s="21" t="s">
        <v>1190</v>
      </c>
      <c r="K411" s="13">
        <f t="shared" si="1598"/>
        <v>40.14856133</v>
      </c>
      <c r="L411" s="13">
        <v>0.008</v>
      </c>
      <c r="M411" s="13">
        <f t="shared" si="1599"/>
        <v>0.00606193304</v>
      </c>
      <c r="N411" s="13">
        <f t="shared" si="1600"/>
        <v>0.01240388437</v>
      </c>
      <c r="O411" s="13">
        <f t="shared" si="1601"/>
        <v>0.06753618864</v>
      </c>
      <c r="P411" s="13">
        <v>0.08</v>
      </c>
      <c r="Q411" s="13">
        <f t="shared" si="1602"/>
        <v>0.8442023581</v>
      </c>
      <c r="R411" s="13">
        <f t="shared" si="1603"/>
        <v>0.0007516617619</v>
      </c>
      <c r="S411" s="13">
        <f t="shared" si="1604"/>
        <v>0.004556999697</v>
      </c>
      <c r="T411" s="13">
        <f t="shared" si="1605"/>
        <v>0.08307646421</v>
      </c>
      <c r="U411" s="13">
        <f t="shared" si="1606"/>
        <v>11.37872652</v>
      </c>
      <c r="V411" s="13">
        <f t="shared" si="1607"/>
        <v>0.01431069275</v>
      </c>
      <c r="W411" s="13">
        <f t="shared" si="1608"/>
        <v>0.9683247937</v>
      </c>
      <c r="X411" s="13">
        <v>1.996</v>
      </c>
      <c r="Y411" s="13">
        <f t="shared" si="1609"/>
        <v>0.496881822</v>
      </c>
      <c r="Z411" s="13">
        <f t="shared" si="1610"/>
        <v>0.06661943972</v>
      </c>
      <c r="AA411" s="13">
        <f t="shared" si="1611"/>
        <v>0.02835875402</v>
      </c>
      <c r="AB411" s="13">
        <f t="shared" si="1612"/>
        <v>0.06650692374</v>
      </c>
    </row>
    <row r="412" ht="14.25" customHeight="1">
      <c r="B412" s="31" t="s">
        <v>630</v>
      </c>
      <c r="C412" s="31" t="s">
        <v>1201</v>
      </c>
      <c r="D412" s="31" t="s">
        <v>1202</v>
      </c>
      <c r="E412" s="31" t="s">
        <v>1203</v>
      </c>
      <c r="F412" s="31" t="s">
        <v>1204</v>
      </c>
      <c r="G412" s="21" t="s">
        <v>1141</v>
      </c>
      <c r="H412" s="30">
        <v>41332.0</v>
      </c>
      <c r="I412" s="32">
        <v>1987.5</v>
      </c>
      <c r="J412" s="21" t="s">
        <v>275</v>
      </c>
      <c r="K412" s="13">
        <f t="shared" ref="K412:K413" si="1613">(0.002+0.064)/0.033336666500017</f>
        <v>1.97980203</v>
      </c>
      <c r="L412" s="13">
        <v>0.166</v>
      </c>
      <c r="M412" s="13">
        <f t="shared" ref="M412:M413" si="1614">612.339/149839.71</f>
        <v>0.00408662697</v>
      </c>
      <c r="N412" s="13">
        <f t="shared" ref="N412:N413" si="1615">612.339/101774.346</f>
        <v>0.006016634094</v>
      </c>
      <c r="O412" s="13">
        <f t="shared" ref="O412:O413" si="1616">9293.555/154000.898</f>
        <v>0.06034740784</v>
      </c>
      <c r="P412" s="13">
        <v>0.111</v>
      </c>
      <c r="Q412" s="13">
        <f t="shared" ref="Q412:Q413" si="1617">(9293.555/154000.898)/0.111</f>
        <v>0.5436703409</v>
      </c>
      <c r="R412" s="13">
        <v>0.0015632222666831445</v>
      </c>
      <c r="S412" s="13">
        <f t="shared" ref="S412:S413" si="1618">448.629/160297.002</f>
        <v>0.002798736061</v>
      </c>
      <c r="T412" s="13">
        <f t="shared" ref="T412:T413" si="1619">36423.969/160297.002</f>
        <v>0.2272280114</v>
      </c>
      <c r="U412" s="13">
        <f t="shared" ref="U412:U413" si="1620">ln(159936.521)</f>
        <v>11.98253227</v>
      </c>
      <c r="V412" s="13">
        <f t="shared" ref="V412:V413" si="1621">2915.256/(159936.521)</f>
        <v>0.01822758168</v>
      </c>
      <c r="W412" s="13">
        <f t="shared" ref="W412:W413" si="1622">113965.031/(159936.521)</f>
        <v>0.7125641491</v>
      </c>
      <c r="X412" s="13">
        <v>1.13</v>
      </c>
      <c r="Y412" s="13">
        <f t="shared" ref="Y412:Y413" si="1623">93461.617/(159936.521)</f>
        <v>0.5843669502</v>
      </c>
      <c r="Z412" s="13">
        <f t="shared" ref="Z412:Z413" si="1624">10185.975/(159936.521)</f>
        <v>0.06368761141</v>
      </c>
      <c r="AA412" s="13">
        <f t="shared" ref="AA412:AA413" si="1625">159936.521/3026000</f>
        <v>0.05285410476</v>
      </c>
      <c r="AB412" s="39">
        <f t="shared" ref="AB412:AB413" si="1626">(707.27-675.27)/675.27</f>
        <v>0.04738845203</v>
      </c>
    </row>
    <row r="413" ht="14.25" customHeight="1">
      <c r="B413" s="31" t="s">
        <v>630</v>
      </c>
      <c r="C413" s="31" t="s">
        <v>1201</v>
      </c>
      <c r="D413" s="31" t="s">
        <v>1202</v>
      </c>
      <c r="E413" s="31" t="s">
        <v>1205</v>
      </c>
      <c r="F413" s="31" t="s">
        <v>1206</v>
      </c>
      <c r="G413" s="21" t="s">
        <v>1141</v>
      </c>
      <c r="H413" s="30">
        <v>41332.0</v>
      </c>
      <c r="I413" s="21">
        <v>662.5</v>
      </c>
      <c r="J413" s="21" t="s">
        <v>275</v>
      </c>
      <c r="K413" s="13">
        <f t="shared" si="1613"/>
        <v>1.97980203</v>
      </c>
      <c r="L413" s="13">
        <v>0.166</v>
      </c>
      <c r="M413" s="13">
        <f t="shared" si="1614"/>
        <v>0.00408662697</v>
      </c>
      <c r="N413" s="13">
        <f t="shared" si="1615"/>
        <v>0.006016634094</v>
      </c>
      <c r="O413" s="13">
        <f t="shared" si="1616"/>
        <v>0.06034740784</v>
      </c>
      <c r="P413" s="13">
        <v>0.111</v>
      </c>
      <c r="Q413" s="13">
        <f t="shared" si="1617"/>
        <v>0.5436703409</v>
      </c>
      <c r="R413" s="13">
        <v>0.0015632222666831445</v>
      </c>
      <c r="S413" s="13">
        <f t="shared" si="1618"/>
        <v>0.002798736061</v>
      </c>
      <c r="T413" s="13">
        <f t="shared" si="1619"/>
        <v>0.2272280114</v>
      </c>
      <c r="U413" s="13">
        <f t="shared" si="1620"/>
        <v>11.98253227</v>
      </c>
      <c r="V413" s="13">
        <f t="shared" si="1621"/>
        <v>0.01822758168</v>
      </c>
      <c r="W413" s="13">
        <f t="shared" si="1622"/>
        <v>0.7125641491</v>
      </c>
      <c r="X413" s="13">
        <v>1.13</v>
      </c>
      <c r="Y413" s="13">
        <f t="shared" si="1623"/>
        <v>0.5843669502</v>
      </c>
      <c r="Z413" s="13">
        <f t="shared" si="1624"/>
        <v>0.06368761141</v>
      </c>
      <c r="AA413" s="13">
        <f t="shared" si="1625"/>
        <v>0.05285410476</v>
      </c>
      <c r="AB413" s="39">
        <f t="shared" si="1626"/>
        <v>0.04738845203</v>
      </c>
    </row>
    <row r="414" ht="14.25" customHeight="1">
      <c r="B414" s="31" t="s">
        <v>630</v>
      </c>
      <c r="C414" s="31" t="s">
        <v>1207</v>
      </c>
      <c r="D414" s="31" t="s">
        <v>1208</v>
      </c>
      <c r="E414" s="31" t="s">
        <v>1209</v>
      </c>
      <c r="F414" s="31" t="s">
        <v>1210</v>
      </c>
      <c r="G414" s="21" t="s">
        <v>1141</v>
      </c>
      <c r="H414" s="30">
        <v>42088.0</v>
      </c>
      <c r="I414" s="27">
        <v>2340.0</v>
      </c>
      <c r="J414" s="21" t="s">
        <v>122</v>
      </c>
      <c r="K414" s="13">
        <f t="shared" ref="K414:K415" si="1627">(0.002+0.077)/0.00081649658092773</f>
        <v>96.75484484</v>
      </c>
      <c r="L414" s="13">
        <v>0.176</v>
      </c>
      <c r="M414" s="13">
        <f t="shared" ref="M414:M415" si="1628">336.357/150147.223</f>
        <v>0.002240181292</v>
      </c>
      <c r="N414" s="13">
        <f t="shared" ref="N414:N415" si="1629">336.357/124433.277</f>
        <v>0.002703111323</v>
      </c>
      <c r="O414" s="13">
        <f t="shared" ref="O414:O415" si="1630">9952.312/162647.713</f>
        <v>0.06118937559</v>
      </c>
      <c r="P414" s="13">
        <v>0.125</v>
      </c>
      <c r="Q414" s="13">
        <f t="shared" ref="Q414:Q415" si="1631">(9952.312/162647.713)/0.125</f>
        <v>0.4895150047</v>
      </c>
      <c r="R414" s="13">
        <f t="shared" ref="R414:R415" si="1632">508.185/106873.51</f>
        <v>0.004755013661</v>
      </c>
      <c r="S414" s="13">
        <f t="shared" ref="S414:S415" si="1633">501.991/162647.713       </f>
        <v>0.003086369865</v>
      </c>
      <c r="T414" s="13">
        <f t="shared" ref="T414:T415" si="1634">42222.095/162647.713       </f>
        <v>0.2595923067</v>
      </c>
      <c r="U414" s="13">
        <f t="shared" ref="U414:U415" si="1635">ln(166798.576)</f>
        <v>12.02454223</v>
      </c>
      <c r="V414" s="13">
        <f t="shared" ref="V414:V415" si="1636">2678.091/(166798.576)</f>
        <v>0.01605583851</v>
      </c>
      <c r="W414" s="13">
        <f t="shared" ref="W414:W415" si="1637">107757.549/(166798.576)</f>
        <v>0.6460339865</v>
      </c>
      <c r="X414" s="13">
        <v>0.876</v>
      </c>
      <c r="Y414" s="13">
        <f t="shared" ref="Y414:Y415" si="1638">99573.435/(166798.576)</f>
        <v>0.596968136</v>
      </c>
      <c r="Z414" s="13">
        <f t="shared" ref="Z414:Z415" si="1639">13024.216/(166798.576)</f>
        <v>0.07808349635</v>
      </c>
      <c r="AA414" s="13">
        <f t="shared" ref="AA414:AA415" si="1640">166798.576/2760000</f>
        <v>0.06043426667</v>
      </c>
      <c r="AB414" s="13">
        <f t="shared" ref="AB414:AB415" si="1641">(741.03-702.27)/702.27</f>
        <v>0.05519244735</v>
      </c>
    </row>
    <row r="415" ht="14.25" customHeight="1">
      <c r="B415" s="31" t="s">
        <v>630</v>
      </c>
      <c r="C415" s="31" t="s">
        <v>1207</v>
      </c>
      <c r="D415" s="31" t="s">
        <v>1208</v>
      </c>
      <c r="E415" s="31" t="s">
        <v>1211</v>
      </c>
      <c r="F415" s="31" t="s">
        <v>1212</v>
      </c>
      <c r="G415" s="21" t="s">
        <v>1141</v>
      </c>
      <c r="H415" s="30">
        <v>42088.0</v>
      </c>
      <c r="I415" s="21">
        <v>660.0</v>
      </c>
      <c r="J415" s="21" t="s">
        <v>122</v>
      </c>
      <c r="K415" s="13">
        <f t="shared" si="1627"/>
        <v>96.75484484</v>
      </c>
      <c r="L415" s="13">
        <v>0.176</v>
      </c>
      <c r="M415" s="13">
        <f t="shared" si="1628"/>
        <v>0.002240181292</v>
      </c>
      <c r="N415" s="13">
        <f t="shared" si="1629"/>
        <v>0.002703111323</v>
      </c>
      <c r="O415" s="13">
        <f t="shared" si="1630"/>
        <v>0.06118937559</v>
      </c>
      <c r="P415" s="13">
        <v>0.125</v>
      </c>
      <c r="Q415" s="13">
        <f t="shared" si="1631"/>
        <v>0.4895150047</v>
      </c>
      <c r="R415" s="13">
        <f t="shared" si="1632"/>
        <v>0.004755013661</v>
      </c>
      <c r="S415" s="13">
        <f t="shared" si="1633"/>
        <v>0.003086369865</v>
      </c>
      <c r="T415" s="13">
        <f t="shared" si="1634"/>
        <v>0.2595923067</v>
      </c>
      <c r="U415" s="13">
        <f t="shared" si="1635"/>
        <v>12.02454223</v>
      </c>
      <c r="V415" s="13">
        <f t="shared" si="1636"/>
        <v>0.01605583851</v>
      </c>
      <c r="W415" s="13">
        <f t="shared" si="1637"/>
        <v>0.6460339865</v>
      </c>
      <c r="X415" s="13">
        <v>0.876</v>
      </c>
      <c r="Y415" s="13">
        <f t="shared" si="1638"/>
        <v>0.596968136</v>
      </c>
      <c r="Z415" s="13">
        <f t="shared" si="1639"/>
        <v>0.07808349635</v>
      </c>
      <c r="AA415" s="13">
        <f t="shared" si="1640"/>
        <v>0.06043426667</v>
      </c>
      <c r="AB415" s="13">
        <f t="shared" si="1641"/>
        <v>0.05519244735</v>
      </c>
    </row>
    <row r="416" ht="14.25" customHeight="1">
      <c r="B416" s="31" t="s">
        <v>630</v>
      </c>
      <c r="C416" s="31" t="s">
        <v>1213</v>
      </c>
      <c r="D416" s="31" t="s">
        <v>1214</v>
      </c>
      <c r="E416" s="31" t="s">
        <v>1215</v>
      </c>
      <c r="F416" s="31" t="s">
        <v>1216</v>
      </c>
      <c r="G416" s="21" t="s">
        <v>1141</v>
      </c>
      <c r="H416" s="30">
        <v>39050.0</v>
      </c>
      <c r="I416" s="21">
        <v>230.0</v>
      </c>
      <c r="J416" s="21" t="s">
        <v>762</v>
      </c>
      <c r="K416" s="13">
        <f t="shared" ref="K416:K424" si="1642">(0.013+0.064)/0.0018929694486001</f>
        <v>40.67683187</v>
      </c>
      <c r="L416" s="13">
        <v>0.008</v>
      </c>
      <c r="M416" s="13">
        <f t="shared" ref="M416:M424" si="1643">597.213/88172.937</f>
        <v>0.006773200716</v>
      </c>
      <c r="N416" s="13">
        <f t="shared" ref="N416:N424" si="1644">597.213/33999.739</f>
        <v>0.01756522307</v>
      </c>
      <c r="O416" s="13">
        <f t="shared" ref="O416:O424" si="1645">6629.172/94108.575</f>
        <v>0.07044174242</v>
      </c>
      <c r="P416" s="13">
        <v>0.082</v>
      </c>
      <c r="Q416" s="13">
        <f t="shared" ref="Q416:Q424" si="1646">(6629.172/94108.575)/0.082</f>
        <v>0.8590456393</v>
      </c>
      <c r="R416" s="13">
        <v>7.516617619321456E-4</v>
      </c>
      <c r="S416" s="13">
        <f t="shared" ref="S416:S424" si="1647">2020.383/94108.575</f>
        <v>0.02146863875</v>
      </c>
      <c r="T416" s="13">
        <f t="shared" ref="T416:T424" si="1648">4243.898/94108.575</f>
        <v>0.04509576306</v>
      </c>
      <c r="U416" s="13">
        <f t="shared" ref="U416:U424" si="1649">ln(91650.434)</f>
        <v>11.42573699</v>
      </c>
      <c r="V416" s="13">
        <f t="shared" ref="V416:V424" si="1650">3194.383/(91650.434)</f>
        <v>0.03485398662</v>
      </c>
      <c r="W416" s="13">
        <f t="shared" ref="W416:W424" si="1651">83621.454/(91650.434)</f>
        <v>0.912395614</v>
      </c>
      <c r="X416" s="13">
        <v>2.615</v>
      </c>
      <c r="Y416" s="13">
        <f t="shared" ref="Y416:Y424" si="1652">41900.181/(91650.434)</f>
        <v>0.4571738416</v>
      </c>
      <c r="Z416" s="13">
        <f t="shared" ref="Z416:Z424" si="1653">5914.581/(91650.434)</f>
        <v>0.06453412976</v>
      </c>
      <c r="AA416" s="13">
        <f t="shared" ref="AA416:AA424" si="1654">91650.434/3083408</f>
        <v>0.02972374528</v>
      </c>
      <c r="AB416" s="13">
        <f t="shared" ref="AB416:AB424" si="1655">(727.62-765.56)/765.56</f>
        <v>-0.04955849313</v>
      </c>
    </row>
    <row r="417" ht="14.25" customHeight="1">
      <c r="B417" s="31" t="s">
        <v>630</v>
      </c>
      <c r="C417" s="31" t="s">
        <v>1213</v>
      </c>
      <c r="D417" s="31" t="s">
        <v>1214</v>
      </c>
      <c r="E417" s="31" t="s">
        <v>1217</v>
      </c>
      <c r="F417" s="31" t="s">
        <v>1218</v>
      </c>
      <c r="G417" s="21" t="s">
        <v>1141</v>
      </c>
      <c r="H417" s="30">
        <v>39050.0</v>
      </c>
      <c r="I417" s="21">
        <v>250.0</v>
      </c>
      <c r="J417" s="21" t="s">
        <v>762</v>
      </c>
      <c r="K417" s="13">
        <f t="shared" si="1642"/>
        <v>40.67683187</v>
      </c>
      <c r="L417" s="13">
        <v>0.008</v>
      </c>
      <c r="M417" s="13">
        <f t="shared" si="1643"/>
        <v>0.006773200716</v>
      </c>
      <c r="N417" s="13">
        <f t="shared" si="1644"/>
        <v>0.01756522307</v>
      </c>
      <c r="O417" s="13">
        <f t="shared" si="1645"/>
        <v>0.07044174242</v>
      </c>
      <c r="P417" s="13">
        <v>0.082</v>
      </c>
      <c r="Q417" s="13">
        <f t="shared" si="1646"/>
        <v>0.8590456393</v>
      </c>
      <c r="R417" s="13">
        <v>7.516617619321456E-4</v>
      </c>
      <c r="S417" s="13">
        <f t="shared" si="1647"/>
        <v>0.02146863875</v>
      </c>
      <c r="T417" s="13">
        <f t="shared" si="1648"/>
        <v>0.04509576306</v>
      </c>
      <c r="U417" s="13">
        <f t="shared" si="1649"/>
        <v>11.42573699</v>
      </c>
      <c r="V417" s="13">
        <f t="shared" si="1650"/>
        <v>0.03485398662</v>
      </c>
      <c r="W417" s="13">
        <f t="shared" si="1651"/>
        <v>0.912395614</v>
      </c>
      <c r="X417" s="13">
        <v>2.615</v>
      </c>
      <c r="Y417" s="13">
        <f t="shared" si="1652"/>
        <v>0.4571738416</v>
      </c>
      <c r="Z417" s="13">
        <f t="shared" si="1653"/>
        <v>0.06453412976</v>
      </c>
      <c r="AA417" s="13">
        <f t="shared" si="1654"/>
        <v>0.02972374528</v>
      </c>
      <c r="AB417" s="13">
        <f t="shared" si="1655"/>
        <v>-0.04955849313</v>
      </c>
    </row>
    <row r="418" ht="14.25" customHeight="1">
      <c r="B418" s="31" t="s">
        <v>630</v>
      </c>
      <c r="C418" s="31" t="s">
        <v>1213</v>
      </c>
      <c r="D418" s="31" t="s">
        <v>1214</v>
      </c>
      <c r="E418" s="31" t="s">
        <v>1219</v>
      </c>
      <c r="F418" s="31" t="s">
        <v>1220</v>
      </c>
      <c r="G418" s="21" t="s">
        <v>1141</v>
      </c>
      <c r="H418" s="30">
        <v>39050.0</v>
      </c>
      <c r="I418" s="32">
        <v>1096.6</v>
      </c>
      <c r="J418" s="21" t="s">
        <v>762</v>
      </c>
      <c r="K418" s="13">
        <f t="shared" si="1642"/>
        <v>40.67683187</v>
      </c>
      <c r="L418" s="13">
        <v>0.008</v>
      </c>
      <c r="M418" s="13">
        <f t="shared" si="1643"/>
        <v>0.006773200716</v>
      </c>
      <c r="N418" s="13">
        <f t="shared" si="1644"/>
        <v>0.01756522307</v>
      </c>
      <c r="O418" s="13">
        <f t="shared" si="1645"/>
        <v>0.07044174242</v>
      </c>
      <c r="P418" s="13">
        <v>0.082</v>
      </c>
      <c r="Q418" s="13">
        <f t="shared" si="1646"/>
        <v>0.8590456393</v>
      </c>
      <c r="R418" s="13">
        <v>7.516617619321456E-4</v>
      </c>
      <c r="S418" s="13">
        <f t="shared" si="1647"/>
        <v>0.02146863875</v>
      </c>
      <c r="T418" s="13">
        <f t="shared" si="1648"/>
        <v>0.04509576306</v>
      </c>
      <c r="U418" s="13">
        <f t="shared" si="1649"/>
        <v>11.42573699</v>
      </c>
      <c r="V418" s="13">
        <f t="shared" si="1650"/>
        <v>0.03485398662</v>
      </c>
      <c r="W418" s="13">
        <f t="shared" si="1651"/>
        <v>0.912395614</v>
      </c>
      <c r="X418" s="13">
        <v>2.615</v>
      </c>
      <c r="Y418" s="13">
        <f t="shared" si="1652"/>
        <v>0.4571738416</v>
      </c>
      <c r="Z418" s="13">
        <f t="shared" si="1653"/>
        <v>0.06453412976</v>
      </c>
      <c r="AA418" s="13">
        <f t="shared" si="1654"/>
        <v>0.02972374528</v>
      </c>
      <c r="AB418" s="13">
        <f t="shared" si="1655"/>
        <v>-0.04955849313</v>
      </c>
    </row>
    <row r="419" ht="14.25" customHeight="1">
      <c r="B419" s="31" t="s">
        <v>630</v>
      </c>
      <c r="C419" s="31" t="s">
        <v>1213</v>
      </c>
      <c r="D419" s="31" t="s">
        <v>1214</v>
      </c>
      <c r="E419" s="31" t="s">
        <v>1221</v>
      </c>
      <c r="F419" s="31" t="s">
        <v>1222</v>
      </c>
      <c r="G419" s="21" t="s">
        <v>1141</v>
      </c>
      <c r="H419" s="30">
        <v>39050.0</v>
      </c>
      <c r="I419" s="21">
        <v>150.0</v>
      </c>
      <c r="J419" s="21" t="s">
        <v>762</v>
      </c>
      <c r="K419" s="13">
        <f t="shared" si="1642"/>
        <v>40.67683187</v>
      </c>
      <c r="L419" s="13">
        <v>0.008</v>
      </c>
      <c r="M419" s="13">
        <f t="shared" si="1643"/>
        <v>0.006773200716</v>
      </c>
      <c r="N419" s="13">
        <f t="shared" si="1644"/>
        <v>0.01756522307</v>
      </c>
      <c r="O419" s="13">
        <f t="shared" si="1645"/>
        <v>0.07044174242</v>
      </c>
      <c r="P419" s="13">
        <v>0.082</v>
      </c>
      <c r="Q419" s="13">
        <f t="shared" si="1646"/>
        <v>0.8590456393</v>
      </c>
      <c r="R419" s="13">
        <v>7.516617619321456E-4</v>
      </c>
      <c r="S419" s="13">
        <f t="shared" si="1647"/>
        <v>0.02146863875</v>
      </c>
      <c r="T419" s="13">
        <f t="shared" si="1648"/>
        <v>0.04509576306</v>
      </c>
      <c r="U419" s="13">
        <f t="shared" si="1649"/>
        <v>11.42573699</v>
      </c>
      <c r="V419" s="13">
        <f t="shared" si="1650"/>
        <v>0.03485398662</v>
      </c>
      <c r="W419" s="13">
        <f t="shared" si="1651"/>
        <v>0.912395614</v>
      </c>
      <c r="X419" s="13">
        <v>2.615</v>
      </c>
      <c r="Y419" s="13">
        <f t="shared" si="1652"/>
        <v>0.4571738416</v>
      </c>
      <c r="Z419" s="13">
        <f t="shared" si="1653"/>
        <v>0.06453412976</v>
      </c>
      <c r="AA419" s="13">
        <f t="shared" si="1654"/>
        <v>0.02972374528</v>
      </c>
      <c r="AB419" s="13">
        <f t="shared" si="1655"/>
        <v>-0.04955849313</v>
      </c>
    </row>
    <row r="420" ht="14.25" customHeight="1">
      <c r="B420" s="31" t="s">
        <v>630</v>
      </c>
      <c r="C420" s="31" t="s">
        <v>1213</v>
      </c>
      <c r="D420" s="31" t="s">
        <v>1214</v>
      </c>
      <c r="E420" s="31" t="s">
        <v>1223</v>
      </c>
      <c r="F420" s="31" t="s">
        <v>1224</v>
      </c>
      <c r="G420" s="21" t="s">
        <v>1141</v>
      </c>
      <c r="H420" s="30">
        <v>39050.0</v>
      </c>
      <c r="I420" s="21">
        <v>155.4</v>
      </c>
      <c r="J420" s="21" t="s">
        <v>762</v>
      </c>
      <c r="K420" s="13">
        <f t="shared" si="1642"/>
        <v>40.67683187</v>
      </c>
      <c r="L420" s="13">
        <v>0.008</v>
      </c>
      <c r="M420" s="13">
        <f t="shared" si="1643"/>
        <v>0.006773200716</v>
      </c>
      <c r="N420" s="13">
        <f t="shared" si="1644"/>
        <v>0.01756522307</v>
      </c>
      <c r="O420" s="13">
        <f t="shared" si="1645"/>
        <v>0.07044174242</v>
      </c>
      <c r="P420" s="13">
        <v>0.082</v>
      </c>
      <c r="Q420" s="13">
        <f t="shared" si="1646"/>
        <v>0.8590456393</v>
      </c>
      <c r="R420" s="13">
        <v>7.516617619321456E-4</v>
      </c>
      <c r="S420" s="13">
        <f t="shared" si="1647"/>
        <v>0.02146863875</v>
      </c>
      <c r="T420" s="13">
        <f t="shared" si="1648"/>
        <v>0.04509576306</v>
      </c>
      <c r="U420" s="13">
        <f t="shared" si="1649"/>
        <v>11.42573699</v>
      </c>
      <c r="V420" s="13">
        <f t="shared" si="1650"/>
        <v>0.03485398662</v>
      </c>
      <c r="W420" s="13">
        <f t="shared" si="1651"/>
        <v>0.912395614</v>
      </c>
      <c r="X420" s="13">
        <v>2.615</v>
      </c>
      <c r="Y420" s="13">
        <f t="shared" si="1652"/>
        <v>0.4571738416</v>
      </c>
      <c r="Z420" s="13">
        <f t="shared" si="1653"/>
        <v>0.06453412976</v>
      </c>
      <c r="AA420" s="13">
        <f t="shared" si="1654"/>
        <v>0.02972374528</v>
      </c>
      <c r="AB420" s="13">
        <f t="shared" si="1655"/>
        <v>-0.04955849313</v>
      </c>
    </row>
    <row r="421" ht="14.25" customHeight="1">
      <c r="B421" s="31" t="s">
        <v>630</v>
      </c>
      <c r="C421" s="31" t="s">
        <v>1213</v>
      </c>
      <c r="D421" s="31" t="s">
        <v>1214</v>
      </c>
      <c r="E421" s="31" t="s">
        <v>1225</v>
      </c>
      <c r="F421" s="31" t="s">
        <v>1226</v>
      </c>
      <c r="G421" s="21" t="s">
        <v>1141</v>
      </c>
      <c r="H421" s="30">
        <v>39050.0</v>
      </c>
      <c r="I421" s="21">
        <v>30.0</v>
      </c>
      <c r="J421" s="21" t="s">
        <v>762</v>
      </c>
      <c r="K421" s="13">
        <f t="shared" si="1642"/>
        <v>40.67683187</v>
      </c>
      <c r="L421" s="13">
        <v>0.008</v>
      </c>
      <c r="M421" s="13">
        <f t="shared" si="1643"/>
        <v>0.006773200716</v>
      </c>
      <c r="N421" s="13">
        <f t="shared" si="1644"/>
        <v>0.01756522307</v>
      </c>
      <c r="O421" s="13">
        <f t="shared" si="1645"/>
        <v>0.07044174242</v>
      </c>
      <c r="P421" s="13">
        <v>0.082</v>
      </c>
      <c r="Q421" s="13">
        <f t="shared" si="1646"/>
        <v>0.8590456393</v>
      </c>
      <c r="R421" s="13">
        <v>7.516617619321456E-4</v>
      </c>
      <c r="S421" s="13">
        <f t="shared" si="1647"/>
        <v>0.02146863875</v>
      </c>
      <c r="T421" s="13">
        <f t="shared" si="1648"/>
        <v>0.04509576306</v>
      </c>
      <c r="U421" s="13">
        <f t="shared" si="1649"/>
        <v>11.42573699</v>
      </c>
      <c r="V421" s="13">
        <f t="shared" si="1650"/>
        <v>0.03485398662</v>
      </c>
      <c r="W421" s="13">
        <f t="shared" si="1651"/>
        <v>0.912395614</v>
      </c>
      <c r="X421" s="13">
        <v>2.615</v>
      </c>
      <c r="Y421" s="13">
        <f t="shared" si="1652"/>
        <v>0.4571738416</v>
      </c>
      <c r="Z421" s="13">
        <f t="shared" si="1653"/>
        <v>0.06453412976</v>
      </c>
      <c r="AA421" s="13">
        <f t="shared" si="1654"/>
        <v>0.02972374528</v>
      </c>
      <c r="AB421" s="13">
        <f t="shared" si="1655"/>
        <v>-0.04955849313</v>
      </c>
    </row>
    <row r="422" ht="14.25" customHeight="1">
      <c r="B422" s="31" t="s">
        <v>630</v>
      </c>
      <c r="C422" s="31" t="s">
        <v>1213</v>
      </c>
      <c r="D422" s="31" t="s">
        <v>1214</v>
      </c>
      <c r="E422" s="31" t="s">
        <v>1227</v>
      </c>
      <c r="F422" s="31" t="s">
        <v>1228</v>
      </c>
      <c r="G422" s="21" t="s">
        <v>1141</v>
      </c>
      <c r="H422" s="30">
        <v>39050.0</v>
      </c>
      <c r="I422" s="21">
        <v>28.0</v>
      </c>
      <c r="J422" s="21" t="s">
        <v>762</v>
      </c>
      <c r="K422" s="13">
        <f t="shared" si="1642"/>
        <v>40.67683187</v>
      </c>
      <c r="L422" s="13">
        <v>0.008</v>
      </c>
      <c r="M422" s="13">
        <f t="shared" si="1643"/>
        <v>0.006773200716</v>
      </c>
      <c r="N422" s="13">
        <f t="shared" si="1644"/>
        <v>0.01756522307</v>
      </c>
      <c r="O422" s="13">
        <f t="shared" si="1645"/>
        <v>0.07044174242</v>
      </c>
      <c r="P422" s="13">
        <v>0.082</v>
      </c>
      <c r="Q422" s="13">
        <f t="shared" si="1646"/>
        <v>0.8590456393</v>
      </c>
      <c r="R422" s="13">
        <v>7.516617619321456E-4</v>
      </c>
      <c r="S422" s="13">
        <f t="shared" si="1647"/>
        <v>0.02146863875</v>
      </c>
      <c r="T422" s="13">
        <f t="shared" si="1648"/>
        <v>0.04509576306</v>
      </c>
      <c r="U422" s="13">
        <f t="shared" si="1649"/>
        <v>11.42573699</v>
      </c>
      <c r="V422" s="13">
        <f t="shared" si="1650"/>
        <v>0.03485398662</v>
      </c>
      <c r="W422" s="13">
        <f t="shared" si="1651"/>
        <v>0.912395614</v>
      </c>
      <c r="X422" s="13">
        <v>2.615</v>
      </c>
      <c r="Y422" s="13">
        <f t="shared" si="1652"/>
        <v>0.4571738416</v>
      </c>
      <c r="Z422" s="13">
        <f t="shared" si="1653"/>
        <v>0.06453412976</v>
      </c>
      <c r="AA422" s="13">
        <f t="shared" si="1654"/>
        <v>0.02972374528</v>
      </c>
      <c r="AB422" s="13">
        <f t="shared" si="1655"/>
        <v>-0.04955849313</v>
      </c>
    </row>
    <row r="423" ht="14.25" customHeight="1">
      <c r="B423" s="31" t="s">
        <v>630</v>
      </c>
      <c r="C423" s="31" t="s">
        <v>1213</v>
      </c>
      <c r="D423" s="31" t="s">
        <v>1214</v>
      </c>
      <c r="E423" s="31" t="s">
        <v>1229</v>
      </c>
      <c r="F423" s="31" t="s">
        <v>1230</v>
      </c>
      <c r="G423" s="21" t="s">
        <v>1141</v>
      </c>
      <c r="H423" s="30">
        <v>39050.0</v>
      </c>
      <c r="I423" s="21">
        <v>60.0</v>
      </c>
      <c r="J423" s="21" t="s">
        <v>762</v>
      </c>
      <c r="K423" s="13">
        <f t="shared" si="1642"/>
        <v>40.67683187</v>
      </c>
      <c r="L423" s="13">
        <v>0.008</v>
      </c>
      <c r="M423" s="13">
        <f t="shared" si="1643"/>
        <v>0.006773200716</v>
      </c>
      <c r="N423" s="13">
        <f t="shared" si="1644"/>
        <v>0.01756522307</v>
      </c>
      <c r="O423" s="13">
        <f t="shared" si="1645"/>
        <v>0.07044174242</v>
      </c>
      <c r="P423" s="13">
        <v>0.082</v>
      </c>
      <c r="Q423" s="13">
        <f t="shared" si="1646"/>
        <v>0.8590456393</v>
      </c>
      <c r="R423" s="13">
        <v>7.516617619321456E-4</v>
      </c>
      <c r="S423" s="13">
        <f t="shared" si="1647"/>
        <v>0.02146863875</v>
      </c>
      <c r="T423" s="13">
        <f t="shared" si="1648"/>
        <v>0.04509576306</v>
      </c>
      <c r="U423" s="13">
        <f t="shared" si="1649"/>
        <v>11.42573699</v>
      </c>
      <c r="V423" s="13">
        <f t="shared" si="1650"/>
        <v>0.03485398662</v>
      </c>
      <c r="W423" s="13">
        <f t="shared" si="1651"/>
        <v>0.912395614</v>
      </c>
      <c r="X423" s="13">
        <v>2.615</v>
      </c>
      <c r="Y423" s="13">
        <f t="shared" si="1652"/>
        <v>0.4571738416</v>
      </c>
      <c r="Z423" s="13">
        <f t="shared" si="1653"/>
        <v>0.06453412976</v>
      </c>
      <c r="AA423" s="13">
        <f t="shared" si="1654"/>
        <v>0.02972374528</v>
      </c>
      <c r="AB423" s="13">
        <f t="shared" si="1655"/>
        <v>-0.04955849313</v>
      </c>
    </row>
    <row r="424" ht="14.25" customHeight="1">
      <c r="B424" s="31" t="s">
        <v>630</v>
      </c>
      <c r="C424" s="31" t="s">
        <v>1213</v>
      </c>
      <c r="D424" s="31" t="s">
        <v>1214</v>
      </c>
      <c r="E424" s="31" t="s">
        <v>1231</v>
      </c>
      <c r="F424" s="31" t="s">
        <v>1232</v>
      </c>
      <c r="G424" s="21" t="s">
        <v>1141</v>
      </c>
      <c r="H424" s="30">
        <v>39050.0</v>
      </c>
      <c r="I424" s="21">
        <v>30.0</v>
      </c>
      <c r="J424" s="21" t="s">
        <v>762</v>
      </c>
      <c r="K424" s="13">
        <f t="shared" si="1642"/>
        <v>40.67683187</v>
      </c>
      <c r="L424" s="13">
        <v>0.008</v>
      </c>
      <c r="M424" s="13">
        <f t="shared" si="1643"/>
        <v>0.006773200716</v>
      </c>
      <c r="N424" s="13">
        <f t="shared" si="1644"/>
        <v>0.01756522307</v>
      </c>
      <c r="O424" s="13">
        <f t="shared" si="1645"/>
        <v>0.07044174242</v>
      </c>
      <c r="P424" s="13">
        <v>0.082</v>
      </c>
      <c r="Q424" s="13">
        <f t="shared" si="1646"/>
        <v>0.8590456393</v>
      </c>
      <c r="R424" s="13">
        <v>7.516617619321456E-4</v>
      </c>
      <c r="S424" s="13">
        <f t="shared" si="1647"/>
        <v>0.02146863875</v>
      </c>
      <c r="T424" s="13">
        <f t="shared" si="1648"/>
        <v>0.04509576306</v>
      </c>
      <c r="U424" s="13">
        <f t="shared" si="1649"/>
        <v>11.42573699</v>
      </c>
      <c r="V424" s="13">
        <f t="shared" si="1650"/>
        <v>0.03485398662</v>
      </c>
      <c r="W424" s="13">
        <f t="shared" si="1651"/>
        <v>0.912395614</v>
      </c>
      <c r="X424" s="13">
        <v>2.615</v>
      </c>
      <c r="Y424" s="13">
        <f t="shared" si="1652"/>
        <v>0.4571738416</v>
      </c>
      <c r="Z424" s="13">
        <f t="shared" si="1653"/>
        <v>0.06453412976</v>
      </c>
      <c r="AA424" s="13">
        <f t="shared" si="1654"/>
        <v>0.02972374528</v>
      </c>
      <c r="AB424" s="13">
        <f t="shared" si="1655"/>
        <v>-0.04955849313</v>
      </c>
    </row>
    <row r="425" ht="14.25" customHeight="1">
      <c r="B425" s="31" t="s">
        <v>630</v>
      </c>
      <c r="C425" s="31" t="s">
        <v>1233</v>
      </c>
      <c r="D425" s="31" t="s">
        <v>1234</v>
      </c>
      <c r="E425" s="31" t="s">
        <v>1235</v>
      </c>
      <c r="F425" s="31" t="s">
        <v>1236</v>
      </c>
      <c r="G425" s="21" t="s">
        <v>1141</v>
      </c>
      <c r="H425" s="29">
        <v>39269.0</v>
      </c>
      <c r="I425" s="32">
        <v>1463.0</v>
      </c>
      <c r="J425" s="21" t="s">
        <v>1237</v>
      </c>
      <c r="K425" s="40">
        <f t="shared" ref="K425:K431" si="1656">(0.013+0.062)/0.0005</f>
        <v>150</v>
      </c>
      <c r="L425" s="13">
        <v>0.008</v>
      </c>
      <c r="M425" s="13">
        <f t="shared" ref="M425:M431" si="1657">876.574/97861.922</f>
        <v>0.008957253057</v>
      </c>
      <c r="N425" s="13">
        <f t="shared" ref="N425:N431" si="1658">876.574/42493.448</f>
        <v>0.02062845077</v>
      </c>
      <c r="O425" s="13">
        <f t="shared" ref="O425:O431" si="1659">7205.751/104512.794</f>
        <v>0.06894611391</v>
      </c>
      <c r="P425" s="13">
        <v>0.08</v>
      </c>
      <c r="Q425" s="13">
        <f t="shared" ref="Q425:Q431" si="1660">(7205.751/104512.794)/0.08</f>
        <v>0.8618264239</v>
      </c>
      <c r="R425" s="13">
        <f t="shared" ref="R425:R431" si="1661">73.427/104512.794</f>
        <v>0.0007025647023</v>
      </c>
      <c r="S425" s="13">
        <f t="shared" ref="S425:S431" si="1662">1955.178/107169.353</f>
        <v>0.0182438164</v>
      </c>
      <c r="T425" s="13">
        <f t="shared" ref="T425:T431" si="1663">6021.684/107169.353</f>
        <v>0.05618848889</v>
      </c>
      <c r="U425" s="13">
        <f t="shared" ref="U425:U431" si="1664">ln(105102.945)</f>
        <v>11.56269558</v>
      </c>
      <c r="V425" s="13">
        <f t="shared" ref="V425:V431" si="1665">2092.769/(105102.945)</f>
        <v>0.01991161142</v>
      </c>
      <c r="W425" s="13">
        <f t="shared" ref="W425:W431" si="1666">96245.953/(105102.945)</f>
        <v>0.9157303156</v>
      </c>
      <c r="X425" s="13">
        <f t="shared" ref="X425:X431" si="1667">97686.225/42493.448</f>
        <v>2.298853814</v>
      </c>
      <c r="Y425" s="13">
        <f t="shared" ref="Y425:Y431" si="1668">37862.492/(105102.945)</f>
        <v>0.3602419704</v>
      </c>
      <c r="Z425" s="13">
        <f t="shared" ref="Z425:Z431" si="1669">6447.509/(105102.945)</f>
        <v>0.06134470352</v>
      </c>
      <c r="AA425" s="13">
        <f t="shared" ref="AA425:AA431" si="1670">105102.945/3127000</f>
        <v>0.03361143108</v>
      </c>
      <c r="AB425" s="13">
        <f t="shared" ref="AB425:AB431" si="1671">(793.52-743.54)/743.54</f>
        <v>0.06721897948</v>
      </c>
    </row>
    <row r="426" ht="14.25" customHeight="1">
      <c r="B426" s="31" t="s">
        <v>630</v>
      </c>
      <c r="C426" s="31" t="s">
        <v>1233</v>
      </c>
      <c r="D426" s="31" t="s">
        <v>1234</v>
      </c>
      <c r="E426" s="31" t="s">
        <v>1238</v>
      </c>
      <c r="F426" s="31" t="s">
        <v>1239</v>
      </c>
      <c r="G426" s="21" t="s">
        <v>1141</v>
      </c>
      <c r="H426" s="29">
        <v>39269.0</v>
      </c>
      <c r="I426" s="21">
        <v>200.3</v>
      </c>
      <c r="J426" s="21" t="s">
        <v>1237</v>
      </c>
      <c r="K426" s="40">
        <f t="shared" si="1656"/>
        <v>150</v>
      </c>
      <c r="L426" s="13">
        <v>0.008</v>
      </c>
      <c r="M426" s="13">
        <f t="shared" si="1657"/>
        <v>0.008957253057</v>
      </c>
      <c r="N426" s="13">
        <f t="shared" si="1658"/>
        <v>0.02062845077</v>
      </c>
      <c r="O426" s="13">
        <f t="shared" si="1659"/>
        <v>0.06894611391</v>
      </c>
      <c r="P426" s="13">
        <v>0.08</v>
      </c>
      <c r="Q426" s="13">
        <f t="shared" si="1660"/>
        <v>0.8618264239</v>
      </c>
      <c r="R426" s="13">
        <f t="shared" si="1661"/>
        <v>0.0007025647023</v>
      </c>
      <c r="S426" s="13">
        <f t="shared" si="1662"/>
        <v>0.0182438164</v>
      </c>
      <c r="T426" s="13">
        <f t="shared" si="1663"/>
        <v>0.05618848889</v>
      </c>
      <c r="U426" s="13">
        <f t="shared" si="1664"/>
        <v>11.56269558</v>
      </c>
      <c r="V426" s="13">
        <f t="shared" si="1665"/>
        <v>0.01991161142</v>
      </c>
      <c r="W426" s="13">
        <f t="shared" si="1666"/>
        <v>0.9157303156</v>
      </c>
      <c r="X426" s="13">
        <f t="shared" si="1667"/>
        <v>2.298853814</v>
      </c>
      <c r="Y426" s="13">
        <f t="shared" si="1668"/>
        <v>0.3602419704</v>
      </c>
      <c r="Z426" s="13">
        <f t="shared" si="1669"/>
        <v>0.06134470352</v>
      </c>
      <c r="AA426" s="13">
        <f t="shared" si="1670"/>
        <v>0.03361143108</v>
      </c>
      <c r="AB426" s="13">
        <f t="shared" si="1671"/>
        <v>0.06721897948</v>
      </c>
    </row>
    <row r="427" ht="14.25" customHeight="1">
      <c r="B427" s="31" t="s">
        <v>630</v>
      </c>
      <c r="C427" s="31" t="s">
        <v>1233</v>
      </c>
      <c r="D427" s="31" t="s">
        <v>1234</v>
      </c>
      <c r="E427" s="31" t="s">
        <v>1240</v>
      </c>
      <c r="F427" s="31" t="s">
        <v>1241</v>
      </c>
      <c r="G427" s="21" t="s">
        <v>1141</v>
      </c>
      <c r="H427" s="29">
        <v>39269.0</v>
      </c>
      <c r="I427" s="21">
        <v>221.7</v>
      </c>
      <c r="J427" s="21" t="s">
        <v>1237</v>
      </c>
      <c r="K427" s="40">
        <f t="shared" si="1656"/>
        <v>150</v>
      </c>
      <c r="L427" s="13">
        <v>0.008</v>
      </c>
      <c r="M427" s="13">
        <f t="shared" si="1657"/>
        <v>0.008957253057</v>
      </c>
      <c r="N427" s="13">
        <f t="shared" si="1658"/>
        <v>0.02062845077</v>
      </c>
      <c r="O427" s="13">
        <f t="shared" si="1659"/>
        <v>0.06894611391</v>
      </c>
      <c r="P427" s="13">
        <v>0.08</v>
      </c>
      <c r="Q427" s="13">
        <f t="shared" si="1660"/>
        <v>0.8618264239</v>
      </c>
      <c r="R427" s="13">
        <f t="shared" si="1661"/>
        <v>0.0007025647023</v>
      </c>
      <c r="S427" s="13">
        <f t="shared" si="1662"/>
        <v>0.0182438164</v>
      </c>
      <c r="T427" s="13">
        <f t="shared" si="1663"/>
        <v>0.05618848889</v>
      </c>
      <c r="U427" s="13">
        <f t="shared" si="1664"/>
        <v>11.56269558</v>
      </c>
      <c r="V427" s="13">
        <f t="shared" si="1665"/>
        <v>0.01991161142</v>
      </c>
      <c r="W427" s="13">
        <f t="shared" si="1666"/>
        <v>0.9157303156</v>
      </c>
      <c r="X427" s="13">
        <f t="shared" si="1667"/>
        <v>2.298853814</v>
      </c>
      <c r="Y427" s="13">
        <f t="shared" si="1668"/>
        <v>0.3602419704</v>
      </c>
      <c r="Z427" s="13">
        <f t="shared" si="1669"/>
        <v>0.06134470352</v>
      </c>
      <c r="AA427" s="13">
        <f t="shared" si="1670"/>
        <v>0.03361143108</v>
      </c>
      <c r="AB427" s="13">
        <f t="shared" si="1671"/>
        <v>0.06721897948</v>
      </c>
    </row>
    <row r="428" ht="14.25" customHeight="1">
      <c r="B428" s="31" t="s">
        <v>630</v>
      </c>
      <c r="C428" s="31" t="s">
        <v>1233</v>
      </c>
      <c r="D428" s="31" t="s">
        <v>1234</v>
      </c>
      <c r="E428" s="31" t="s">
        <v>1242</v>
      </c>
      <c r="F428" s="31" t="s">
        <v>1243</v>
      </c>
      <c r="G428" s="21" t="s">
        <v>1141</v>
      </c>
      <c r="H428" s="29">
        <v>39269.0</v>
      </c>
      <c r="I428" s="21">
        <v>47.0</v>
      </c>
      <c r="J428" s="21" t="s">
        <v>1237</v>
      </c>
      <c r="K428" s="40">
        <f t="shared" si="1656"/>
        <v>150</v>
      </c>
      <c r="L428" s="13">
        <v>0.008</v>
      </c>
      <c r="M428" s="13">
        <f t="shared" si="1657"/>
        <v>0.008957253057</v>
      </c>
      <c r="N428" s="13">
        <f t="shared" si="1658"/>
        <v>0.02062845077</v>
      </c>
      <c r="O428" s="13">
        <f t="shared" si="1659"/>
        <v>0.06894611391</v>
      </c>
      <c r="P428" s="13">
        <v>0.08</v>
      </c>
      <c r="Q428" s="13">
        <f t="shared" si="1660"/>
        <v>0.8618264239</v>
      </c>
      <c r="R428" s="13">
        <f t="shared" si="1661"/>
        <v>0.0007025647023</v>
      </c>
      <c r="S428" s="13">
        <f t="shared" si="1662"/>
        <v>0.0182438164</v>
      </c>
      <c r="T428" s="13">
        <f t="shared" si="1663"/>
        <v>0.05618848889</v>
      </c>
      <c r="U428" s="13">
        <f t="shared" si="1664"/>
        <v>11.56269558</v>
      </c>
      <c r="V428" s="13">
        <f t="shared" si="1665"/>
        <v>0.01991161142</v>
      </c>
      <c r="W428" s="13">
        <f t="shared" si="1666"/>
        <v>0.9157303156</v>
      </c>
      <c r="X428" s="13">
        <f t="shared" si="1667"/>
        <v>2.298853814</v>
      </c>
      <c r="Y428" s="13">
        <f t="shared" si="1668"/>
        <v>0.3602419704</v>
      </c>
      <c r="Z428" s="13">
        <f t="shared" si="1669"/>
        <v>0.06134470352</v>
      </c>
      <c r="AA428" s="13">
        <f t="shared" si="1670"/>
        <v>0.03361143108</v>
      </c>
      <c r="AB428" s="13">
        <f t="shared" si="1671"/>
        <v>0.06721897948</v>
      </c>
    </row>
    <row r="429" ht="14.25" customHeight="1">
      <c r="B429" s="31" t="s">
        <v>630</v>
      </c>
      <c r="C429" s="31" t="s">
        <v>1233</v>
      </c>
      <c r="D429" s="31" t="s">
        <v>1234</v>
      </c>
      <c r="E429" s="31" t="s">
        <v>1244</v>
      </c>
      <c r="F429" s="31" t="s">
        <v>1245</v>
      </c>
      <c r="G429" s="21" t="s">
        <v>1141</v>
      </c>
      <c r="H429" s="29">
        <v>39269.0</v>
      </c>
      <c r="I429" s="21">
        <v>23.0</v>
      </c>
      <c r="J429" s="21" t="s">
        <v>1237</v>
      </c>
      <c r="K429" s="40">
        <f t="shared" si="1656"/>
        <v>150</v>
      </c>
      <c r="L429" s="13">
        <v>0.008</v>
      </c>
      <c r="M429" s="13">
        <f t="shared" si="1657"/>
        <v>0.008957253057</v>
      </c>
      <c r="N429" s="13">
        <f t="shared" si="1658"/>
        <v>0.02062845077</v>
      </c>
      <c r="O429" s="13">
        <f t="shared" si="1659"/>
        <v>0.06894611391</v>
      </c>
      <c r="P429" s="13">
        <v>0.08</v>
      </c>
      <c r="Q429" s="13">
        <f t="shared" si="1660"/>
        <v>0.8618264239</v>
      </c>
      <c r="R429" s="13">
        <f t="shared" si="1661"/>
        <v>0.0007025647023</v>
      </c>
      <c r="S429" s="13">
        <f t="shared" si="1662"/>
        <v>0.0182438164</v>
      </c>
      <c r="T429" s="13">
        <f t="shared" si="1663"/>
        <v>0.05618848889</v>
      </c>
      <c r="U429" s="13">
        <f t="shared" si="1664"/>
        <v>11.56269558</v>
      </c>
      <c r="V429" s="13">
        <f t="shared" si="1665"/>
        <v>0.01991161142</v>
      </c>
      <c r="W429" s="13">
        <f t="shared" si="1666"/>
        <v>0.9157303156</v>
      </c>
      <c r="X429" s="13">
        <f t="shared" si="1667"/>
        <v>2.298853814</v>
      </c>
      <c r="Y429" s="13">
        <f t="shared" si="1668"/>
        <v>0.3602419704</v>
      </c>
      <c r="Z429" s="13">
        <f t="shared" si="1669"/>
        <v>0.06134470352</v>
      </c>
      <c r="AA429" s="13">
        <f t="shared" si="1670"/>
        <v>0.03361143108</v>
      </c>
      <c r="AB429" s="13">
        <f t="shared" si="1671"/>
        <v>0.06721897948</v>
      </c>
    </row>
    <row r="430" ht="14.25" customHeight="1">
      <c r="B430" s="31" t="s">
        <v>630</v>
      </c>
      <c r="C430" s="31" t="s">
        <v>1233</v>
      </c>
      <c r="D430" s="31" t="s">
        <v>1234</v>
      </c>
      <c r="E430" s="31" t="s">
        <v>1246</v>
      </c>
      <c r="F430" s="31" t="s">
        <v>1247</v>
      </c>
      <c r="G430" s="21" t="s">
        <v>1141</v>
      </c>
      <c r="H430" s="29">
        <v>39269.0</v>
      </c>
      <c r="I430" s="21">
        <v>45.0</v>
      </c>
      <c r="J430" s="21" t="s">
        <v>1237</v>
      </c>
      <c r="K430" s="40">
        <f t="shared" si="1656"/>
        <v>150</v>
      </c>
      <c r="L430" s="13">
        <v>0.008</v>
      </c>
      <c r="M430" s="13">
        <f t="shared" si="1657"/>
        <v>0.008957253057</v>
      </c>
      <c r="N430" s="13">
        <f t="shared" si="1658"/>
        <v>0.02062845077</v>
      </c>
      <c r="O430" s="13">
        <f t="shared" si="1659"/>
        <v>0.06894611391</v>
      </c>
      <c r="P430" s="13">
        <v>0.08</v>
      </c>
      <c r="Q430" s="13">
        <f t="shared" si="1660"/>
        <v>0.8618264239</v>
      </c>
      <c r="R430" s="13">
        <f t="shared" si="1661"/>
        <v>0.0007025647023</v>
      </c>
      <c r="S430" s="13">
        <f t="shared" si="1662"/>
        <v>0.0182438164</v>
      </c>
      <c r="T430" s="13">
        <f t="shared" si="1663"/>
        <v>0.05618848889</v>
      </c>
      <c r="U430" s="13">
        <f t="shared" si="1664"/>
        <v>11.56269558</v>
      </c>
      <c r="V430" s="13">
        <f t="shared" si="1665"/>
        <v>0.01991161142</v>
      </c>
      <c r="W430" s="13">
        <f t="shared" si="1666"/>
        <v>0.9157303156</v>
      </c>
      <c r="X430" s="13">
        <f t="shared" si="1667"/>
        <v>2.298853814</v>
      </c>
      <c r="Y430" s="13">
        <f t="shared" si="1668"/>
        <v>0.3602419704</v>
      </c>
      <c r="Z430" s="13">
        <f t="shared" si="1669"/>
        <v>0.06134470352</v>
      </c>
      <c r="AA430" s="13">
        <f t="shared" si="1670"/>
        <v>0.03361143108</v>
      </c>
      <c r="AB430" s="13">
        <f t="shared" si="1671"/>
        <v>0.06721897948</v>
      </c>
    </row>
    <row r="431" ht="14.25" customHeight="1">
      <c r="B431" s="31" t="s">
        <v>630</v>
      </c>
      <c r="C431" s="31" t="s">
        <v>1233</v>
      </c>
      <c r="D431" s="31" t="s">
        <v>1234</v>
      </c>
      <c r="E431" s="31" t="s">
        <v>1248</v>
      </c>
      <c r="F431" s="31" t="s">
        <v>1249</v>
      </c>
      <c r="G431" s="21" t="s">
        <v>1141</v>
      </c>
      <c r="H431" s="29">
        <v>39269.0</v>
      </c>
      <c r="I431" s="21">
        <v>39.0</v>
      </c>
      <c r="J431" s="21" t="s">
        <v>1237</v>
      </c>
      <c r="K431" s="40">
        <f t="shared" si="1656"/>
        <v>150</v>
      </c>
      <c r="L431" s="13">
        <v>0.008</v>
      </c>
      <c r="M431" s="13">
        <f t="shared" si="1657"/>
        <v>0.008957253057</v>
      </c>
      <c r="N431" s="13">
        <f t="shared" si="1658"/>
        <v>0.02062845077</v>
      </c>
      <c r="O431" s="13">
        <f t="shared" si="1659"/>
        <v>0.06894611391</v>
      </c>
      <c r="P431" s="13">
        <v>0.08</v>
      </c>
      <c r="Q431" s="13">
        <f t="shared" si="1660"/>
        <v>0.8618264239</v>
      </c>
      <c r="R431" s="13">
        <f t="shared" si="1661"/>
        <v>0.0007025647023</v>
      </c>
      <c r="S431" s="13">
        <f t="shared" si="1662"/>
        <v>0.0182438164</v>
      </c>
      <c r="T431" s="13">
        <f t="shared" si="1663"/>
        <v>0.05618848889</v>
      </c>
      <c r="U431" s="13">
        <f t="shared" si="1664"/>
        <v>11.56269558</v>
      </c>
      <c r="V431" s="13">
        <f t="shared" si="1665"/>
        <v>0.01991161142</v>
      </c>
      <c r="W431" s="13">
        <f t="shared" si="1666"/>
        <v>0.9157303156</v>
      </c>
      <c r="X431" s="13">
        <f t="shared" si="1667"/>
        <v>2.298853814</v>
      </c>
      <c r="Y431" s="13">
        <f t="shared" si="1668"/>
        <v>0.3602419704</v>
      </c>
      <c r="Z431" s="13">
        <f t="shared" si="1669"/>
        <v>0.06134470352</v>
      </c>
      <c r="AA431" s="13">
        <f t="shared" si="1670"/>
        <v>0.03361143108</v>
      </c>
      <c r="AB431" s="13">
        <f t="shared" si="1671"/>
        <v>0.06721897948</v>
      </c>
    </row>
    <row r="432" ht="14.25" customHeight="1">
      <c r="B432" s="31" t="s">
        <v>630</v>
      </c>
      <c r="C432" s="31" t="s">
        <v>1250</v>
      </c>
      <c r="D432" s="31" t="s">
        <v>1251</v>
      </c>
      <c r="E432" s="31" t="s">
        <v>1252</v>
      </c>
      <c r="F432" s="31" t="s">
        <v>1253</v>
      </c>
      <c r="G432" s="21" t="s">
        <v>1141</v>
      </c>
      <c r="H432" s="30">
        <v>42697.0</v>
      </c>
      <c r="I432" s="32">
        <v>1825.0</v>
      </c>
      <c r="J432" s="21" t="s">
        <v>132</v>
      </c>
      <c r="K432" s="13">
        <f t="shared" ref="K432:K433" si="1672">(0.004+0.074)/0.062932503525603</f>
        <v>1.239423122</v>
      </c>
      <c r="L432" s="13">
        <v>0.199</v>
      </c>
      <c r="M432" s="13">
        <f t="shared" ref="M432:M433" si="1673">172.227/136337.85</f>
        <v>0.001263236878</v>
      </c>
      <c r="N432" s="13">
        <f t="shared" ref="N432:N433" si="1674">172.227/81186.734</f>
        <v>0.002121368745</v>
      </c>
      <c r="O432" s="13">
        <f t="shared" ref="O432:O433" si="1675">6616.236/147114.451</f>
        <v>0.04497339286</v>
      </c>
      <c r="P432" s="13">
        <v>0.109</v>
      </c>
      <c r="Q432" s="13">
        <f t="shared" ref="Q432:Q433" si="1676">(6616.236/147114.451)/0.109</f>
        <v>0.4125999345</v>
      </c>
      <c r="R432" s="13">
        <f t="shared" ref="R432:R433" si="1677">151.769/95915.5</f>
        <v>0.001582319854</v>
      </c>
      <c r="S432" s="13">
        <f t="shared" ref="S432:S433" si="1678">6177.314/147114.451</f>
        <v>0.04198985183</v>
      </c>
      <c r="T432" s="13">
        <f t="shared" ref="T432:T433" si="1679">34542.195/147114.451</f>
        <v>0.2347981097</v>
      </c>
      <c r="U432" s="13">
        <f t="shared" ref="U432:U433" si="1680">ln(137473.77)</f>
        <v>11.83118841</v>
      </c>
      <c r="V432" s="13">
        <f t="shared" ref="V432:V433" si="1681">2671.777/(137473.77)</f>
        <v>0.01943481291</v>
      </c>
      <c r="W432" s="13">
        <f t="shared" ref="W432:W433" si="1682">104710.496/(137473.77)</f>
        <v>0.7616761801</v>
      </c>
      <c r="X432" s="13">
        <v>1.181</v>
      </c>
      <c r="Y432" s="13">
        <f t="shared" ref="Y432:Y433" si="1683">94148.896/(137473.77)</f>
        <v>0.6848498881</v>
      </c>
      <c r="Z432" s="13">
        <f t="shared" ref="Z432:Z433" si="1684">10122.844/(137473.77)</f>
        <v>0.07363473047</v>
      </c>
      <c r="AA432" s="13">
        <f t="shared" ref="AA432:AA433" si="1685">137473.77/2647000</f>
        <v>0.05193568946</v>
      </c>
      <c r="AB432" s="13">
        <f t="shared" ref="AB432:AB433" si="1686">(746.32-779.16)/779.16</f>
        <v>-0.04214795421</v>
      </c>
    </row>
    <row r="433" ht="14.25" customHeight="1">
      <c r="B433" s="31" t="s">
        <v>630</v>
      </c>
      <c r="C433" s="31" t="s">
        <v>1250</v>
      </c>
      <c r="D433" s="31" t="s">
        <v>1251</v>
      </c>
      <c r="E433" s="31" t="s">
        <v>1254</v>
      </c>
      <c r="F433" s="31" t="s">
        <v>1255</v>
      </c>
      <c r="G433" s="21" t="s">
        <v>1141</v>
      </c>
      <c r="H433" s="30">
        <v>42697.0</v>
      </c>
      <c r="I433" s="21">
        <v>675.0</v>
      </c>
      <c r="J433" s="21" t="s">
        <v>132</v>
      </c>
      <c r="K433" s="13">
        <f t="shared" si="1672"/>
        <v>1.239423122</v>
      </c>
      <c r="L433" s="13">
        <v>0.199</v>
      </c>
      <c r="M433" s="13">
        <f t="shared" si="1673"/>
        <v>0.001263236878</v>
      </c>
      <c r="N433" s="13">
        <f t="shared" si="1674"/>
        <v>0.002121368745</v>
      </c>
      <c r="O433" s="13">
        <f t="shared" si="1675"/>
        <v>0.04497339286</v>
      </c>
      <c r="P433" s="13">
        <v>0.109</v>
      </c>
      <c r="Q433" s="13">
        <f t="shared" si="1676"/>
        <v>0.4125999345</v>
      </c>
      <c r="R433" s="13">
        <f t="shared" si="1677"/>
        <v>0.001582319854</v>
      </c>
      <c r="S433" s="13">
        <f t="shared" si="1678"/>
        <v>0.04198985183</v>
      </c>
      <c r="T433" s="13">
        <f t="shared" si="1679"/>
        <v>0.2347981097</v>
      </c>
      <c r="U433" s="13">
        <f t="shared" si="1680"/>
        <v>11.83118841</v>
      </c>
      <c r="V433" s="13">
        <f t="shared" si="1681"/>
        <v>0.01943481291</v>
      </c>
      <c r="W433" s="13">
        <f t="shared" si="1682"/>
        <v>0.7616761801</v>
      </c>
      <c r="X433" s="13">
        <v>1.181</v>
      </c>
      <c r="Y433" s="13">
        <f t="shared" si="1683"/>
        <v>0.6848498881</v>
      </c>
      <c r="Z433" s="13">
        <f t="shared" si="1684"/>
        <v>0.07363473047</v>
      </c>
      <c r="AA433" s="13">
        <f t="shared" si="1685"/>
        <v>0.05193568946</v>
      </c>
      <c r="AB433" s="13">
        <f t="shared" si="1686"/>
        <v>-0.04214795421</v>
      </c>
    </row>
    <row r="434" ht="14.25" customHeight="1">
      <c r="B434" s="31" t="s">
        <v>630</v>
      </c>
      <c r="C434" s="31" t="s">
        <v>1256</v>
      </c>
      <c r="D434" s="31" t="s">
        <v>1257</v>
      </c>
      <c r="E434" s="31" t="s">
        <v>1258</v>
      </c>
      <c r="F434" s="31" t="s">
        <v>1259</v>
      </c>
      <c r="G434" s="21" t="s">
        <v>1087</v>
      </c>
      <c r="H434" s="30">
        <v>42573.0</v>
      </c>
      <c r="I434" s="32">
        <v>1448.1</v>
      </c>
      <c r="J434" s="21" t="s">
        <v>1153</v>
      </c>
      <c r="K434" s="12">
        <f t="shared" ref="K434:K435" si="1687">(0.001+0.063)/0.0017078251276599</f>
        <v>37.4745628</v>
      </c>
      <c r="L434" s="12">
        <v>0.062</v>
      </c>
      <c r="M434" s="12">
        <f t="shared" ref="M434:M435" si="1688">332.2/199424.7</f>
        <v>0.00166579165</v>
      </c>
      <c r="N434" s="12">
        <f t="shared" ref="N434:N435" si="1689">332.2/148093.5</f>
        <v>0.002243177452</v>
      </c>
      <c r="O434" s="13">
        <f t="shared" ref="O434:O435" si="1690">10332.4/212507.7       </f>
        <v>0.04862129702</v>
      </c>
      <c r="P434" s="13">
        <v>0.12</v>
      </c>
      <c r="Q434" s="13">
        <f t="shared" ref="Q434:Q435" si="1691">(10332.4/212507.7)/0.12</f>
        <v>0.4051774751</v>
      </c>
      <c r="R434" s="13">
        <f t="shared" ref="R434:R435" si="1692">473.6/154744.5</f>
        <v>0.003060528807</v>
      </c>
      <c r="S434" s="12">
        <f t="shared" ref="S434:S435" si="1693">1565.5/212507.7</f>
        <v>0.007366791886</v>
      </c>
      <c r="T434" s="12">
        <f t="shared" ref="T434:T435" si="1694">28671/212507.7</f>
        <v>0.1349174642</v>
      </c>
      <c r="U434" s="12">
        <f t="shared" ref="U434:U435" si="1695">ln(205843)</f>
        <v>12.23486902</v>
      </c>
      <c r="V434" s="12">
        <f t="shared" ref="V434:V435" si="1696">4841/(205843)</f>
        <v>0.02351792385</v>
      </c>
      <c r="W434" s="12">
        <f t="shared" ref="W434:W435" si="1697">152627/(205843)</f>
        <v>0.7414728701</v>
      </c>
      <c r="X434" s="12">
        <v>1.045</v>
      </c>
      <c r="Y434" s="12">
        <f t="shared" ref="Y434:Y435" si="1698">147374/(205843)</f>
        <v>0.7159534208</v>
      </c>
      <c r="Z434" s="12">
        <f t="shared" ref="Z434:Z435" si="1699">13195/(205843)</f>
        <v>0.06410225269</v>
      </c>
      <c r="AA434" s="13">
        <f t="shared" ref="AA434:AA435" si="1700">205843/2647000</f>
        <v>0.07776463921</v>
      </c>
      <c r="AB434" s="13">
        <f t="shared" ref="AB434:AB435" si="1701">(779.16-758.14)/758.14</f>
        <v>0.02772574986</v>
      </c>
    </row>
    <row r="435" ht="14.25" customHeight="1">
      <c r="B435" s="31" t="s">
        <v>630</v>
      </c>
      <c r="C435" s="31" t="s">
        <v>1256</v>
      </c>
      <c r="D435" s="31" t="s">
        <v>1257</v>
      </c>
      <c r="E435" s="31" t="s">
        <v>1260</v>
      </c>
      <c r="F435" s="31" t="s">
        <v>1261</v>
      </c>
      <c r="G435" s="21" t="s">
        <v>1087</v>
      </c>
      <c r="H435" s="30">
        <v>42573.0</v>
      </c>
      <c r="I435" s="21">
        <v>301.9</v>
      </c>
      <c r="J435" s="21" t="s">
        <v>1153</v>
      </c>
      <c r="K435" s="12">
        <f t="shared" si="1687"/>
        <v>37.4745628</v>
      </c>
      <c r="L435" s="12">
        <v>0.062</v>
      </c>
      <c r="M435" s="12">
        <f t="shared" si="1688"/>
        <v>0.00166579165</v>
      </c>
      <c r="N435" s="12">
        <f t="shared" si="1689"/>
        <v>0.002243177452</v>
      </c>
      <c r="O435" s="13">
        <f t="shared" si="1690"/>
        <v>0.04862129702</v>
      </c>
      <c r="P435" s="13">
        <v>0.12</v>
      </c>
      <c r="Q435" s="13">
        <f t="shared" si="1691"/>
        <v>0.4051774751</v>
      </c>
      <c r="R435" s="13">
        <f t="shared" si="1692"/>
        <v>0.003060528807</v>
      </c>
      <c r="S435" s="12">
        <f t="shared" si="1693"/>
        <v>0.007366791886</v>
      </c>
      <c r="T435" s="12">
        <f t="shared" si="1694"/>
        <v>0.1349174642</v>
      </c>
      <c r="U435" s="12">
        <f t="shared" si="1695"/>
        <v>12.23486902</v>
      </c>
      <c r="V435" s="12">
        <f t="shared" si="1696"/>
        <v>0.02351792385</v>
      </c>
      <c r="W435" s="12">
        <f t="shared" si="1697"/>
        <v>0.7414728701</v>
      </c>
      <c r="X435" s="12">
        <v>1.045</v>
      </c>
      <c r="Y435" s="12">
        <f t="shared" si="1698"/>
        <v>0.7159534208</v>
      </c>
      <c r="Z435" s="12">
        <f t="shared" si="1699"/>
        <v>0.06410225269</v>
      </c>
      <c r="AA435" s="13">
        <f t="shared" si="1700"/>
        <v>0.07776463921</v>
      </c>
      <c r="AB435" s="13">
        <f t="shared" si="1701"/>
        <v>0.02772574986</v>
      </c>
    </row>
    <row r="436" ht="14.25" customHeight="1">
      <c r="B436" s="31" t="s">
        <v>630</v>
      </c>
      <c r="C436" s="31" t="s">
        <v>1262</v>
      </c>
      <c r="D436" s="31" t="s">
        <v>1263</v>
      </c>
      <c r="E436" s="31" t="s">
        <v>1264</v>
      </c>
      <c r="F436" s="31" t="s">
        <v>1265</v>
      </c>
      <c r="G436" s="21" t="s">
        <v>1087</v>
      </c>
      <c r="H436" s="30">
        <v>43084.0</v>
      </c>
      <c r="I436" s="32">
        <v>1567.5</v>
      </c>
      <c r="J436" s="21" t="s">
        <v>817</v>
      </c>
      <c r="K436" s="12">
        <f t="shared" ref="K436:K437" si="1702">(0.005+0.059)/0.00081649658092773</f>
        <v>78.38367177</v>
      </c>
      <c r="L436" s="12">
        <v>0.052</v>
      </c>
      <c r="M436" s="12">
        <f t="shared" ref="M436:M437" si="1703">218/206139</f>
        <v>0.001057538845</v>
      </c>
      <c r="N436" s="12">
        <f t="shared" ref="N436:N437" si="1704">218/165215</f>
        <v>0.001319492782</v>
      </c>
      <c r="O436" s="13">
        <f t="shared" ref="O436:O437" si="1705">11270/219009</f>
        <v>0.05145907246</v>
      </c>
      <c r="P436" s="12">
        <v>0.144</v>
      </c>
      <c r="Q436" s="13">
        <f t="shared" ref="Q436:Q437" si="1706">(11270/219009)/0.144</f>
        <v>0.3573546698</v>
      </c>
      <c r="R436" s="13">
        <f t="shared" ref="R436:R437" si="1707">362.775/151458</f>
        <v>0.002395218476</v>
      </c>
      <c r="S436" s="12">
        <f t="shared" ref="S436:S437" si="1708">22782/219009</f>
        <v>0.1040231223</v>
      </c>
      <c r="T436" s="12">
        <f t="shared" ref="T436:T437" si="1709">30457/219009</f>
        <v>0.1390673443</v>
      </c>
      <c r="U436" s="12">
        <f t="shared" ref="U436:U437" si="1710">ln(221348.3)</f>
        <v>12.30749276</v>
      </c>
      <c r="V436" s="12">
        <f t="shared" ref="V436:V437" si="1711">1994.8/(221348.3)</f>
        <v>0.009012041204</v>
      </c>
      <c r="W436" s="12">
        <f t="shared" ref="W436:W437" si="1712">153004.2/(221348.3)</f>
        <v>0.6912372943</v>
      </c>
      <c r="X436" s="12">
        <v>0.917</v>
      </c>
      <c r="Y436" s="12">
        <f t="shared" ref="Y436:Y437" si="1713">160446.2/(221348.3)</f>
        <v>0.7248585148</v>
      </c>
      <c r="Z436" s="12">
        <f t="shared" ref="Z436:Z437" si="1714">13221.8/(221348.3)</f>
        <v>0.05973300902</v>
      </c>
      <c r="AA436" s="13">
        <f t="shared" ref="AA436:AA437" si="1715">221348.3/2652000</f>
        <v>0.08346466817</v>
      </c>
      <c r="AB436" s="13">
        <f t="shared" ref="AB436:AB437" si="1716">(764.56-803.32)/803.32</f>
        <v>-0.04824976348</v>
      </c>
    </row>
    <row r="437" ht="14.25" customHeight="1">
      <c r="B437" s="31" t="s">
        <v>630</v>
      </c>
      <c r="C437" s="31" t="s">
        <v>1262</v>
      </c>
      <c r="D437" s="31" t="s">
        <v>1263</v>
      </c>
      <c r="E437" s="31" t="s">
        <v>1266</v>
      </c>
      <c r="F437" s="31" t="s">
        <v>1267</v>
      </c>
      <c r="G437" s="21" t="s">
        <v>1087</v>
      </c>
      <c r="H437" s="30">
        <v>43084.0</v>
      </c>
      <c r="I437" s="21">
        <v>332.5</v>
      </c>
      <c r="J437" s="21" t="s">
        <v>817</v>
      </c>
      <c r="K437" s="12">
        <f t="shared" si="1702"/>
        <v>78.38367177</v>
      </c>
      <c r="L437" s="12">
        <v>0.052</v>
      </c>
      <c r="M437" s="12">
        <f t="shared" si="1703"/>
        <v>0.001057538845</v>
      </c>
      <c r="N437" s="12">
        <f t="shared" si="1704"/>
        <v>0.001319492782</v>
      </c>
      <c r="O437" s="13">
        <f t="shared" si="1705"/>
        <v>0.05145907246</v>
      </c>
      <c r="P437" s="12">
        <v>0.144</v>
      </c>
      <c r="Q437" s="13">
        <f t="shared" si="1706"/>
        <v>0.3573546698</v>
      </c>
      <c r="R437" s="13">
        <f t="shared" si="1707"/>
        <v>0.002395218476</v>
      </c>
      <c r="S437" s="12">
        <f t="shared" si="1708"/>
        <v>0.1040231223</v>
      </c>
      <c r="T437" s="12">
        <f t="shared" si="1709"/>
        <v>0.1390673443</v>
      </c>
      <c r="U437" s="12">
        <f t="shared" si="1710"/>
        <v>12.30749276</v>
      </c>
      <c r="V437" s="12">
        <f t="shared" si="1711"/>
        <v>0.009012041204</v>
      </c>
      <c r="W437" s="12">
        <f t="shared" si="1712"/>
        <v>0.6912372943</v>
      </c>
      <c r="X437" s="12">
        <v>0.917</v>
      </c>
      <c r="Y437" s="12">
        <f t="shared" si="1713"/>
        <v>0.7248585148</v>
      </c>
      <c r="Z437" s="12">
        <f t="shared" si="1714"/>
        <v>0.05973300902</v>
      </c>
      <c r="AA437" s="13">
        <f t="shared" si="1715"/>
        <v>0.08346466817</v>
      </c>
      <c r="AB437" s="13">
        <f t="shared" si="1716"/>
        <v>-0.04824976348</v>
      </c>
    </row>
    <row r="438" ht="14.25" customHeight="1">
      <c r="B438" s="31" t="s">
        <v>630</v>
      </c>
      <c r="C438" s="31" t="s">
        <v>1268</v>
      </c>
      <c r="D438" s="31" t="s">
        <v>1269</v>
      </c>
      <c r="E438" s="31" t="s">
        <v>1270</v>
      </c>
      <c r="F438" s="31" t="s">
        <v>1271</v>
      </c>
      <c r="G438" s="21" t="s">
        <v>1272</v>
      </c>
      <c r="H438" s="30">
        <v>39283.0</v>
      </c>
      <c r="I438" s="21">
        <v>180.0</v>
      </c>
      <c r="J438" s="21" t="s">
        <v>1237</v>
      </c>
      <c r="K438" s="13">
        <f t="shared" ref="K438:K443" si="1717">(0.007+0.062)/0.00070710678118655</f>
        <v>97.5807358</v>
      </c>
      <c r="L438" s="13">
        <v>0.007</v>
      </c>
      <c r="M438" s="13">
        <f t="shared" ref="M438:M443" si="1718">175.664/18287.53</f>
        <v>0.009605671187</v>
      </c>
      <c r="N438" s="13">
        <f t="shared" ref="N438:N443" si="1719">175.664/12635.556</f>
        <v>0.01390235618</v>
      </c>
      <c r="O438" s="13">
        <f t="shared" ref="O438:O443" si="1720">1280.091/19941.324</f>
        <v>0.06419287907</v>
      </c>
      <c r="P438" s="13">
        <v>0.072</v>
      </c>
      <c r="Q438" s="13">
        <f t="shared" ref="Q438:Q443" si="1721">(1280.091/19941.324)/0.072</f>
        <v>0.8915677648</v>
      </c>
      <c r="R438" s="13">
        <f t="shared" ref="R438:R443" si="1722">15.03/18029.108</f>
        <v>0.0008336518923</v>
      </c>
      <c r="S438" s="13">
        <f t="shared" ref="S438:S443" si="1723">49.213/19633.198</f>
        <v>0.002506621693</v>
      </c>
      <c r="T438" s="13">
        <f t="shared" ref="T438:T443" si="1724">1537.851/19633.198</f>
        <v>0.07832911378</v>
      </c>
      <c r="U438" s="13">
        <f t="shared" ref="U438:U443" si="1725">ln(18669.589)</f>
        <v>9.834651222</v>
      </c>
      <c r="V438" s="13">
        <f t="shared" ref="V438:V443" si="1726">12.915/(18669.589)</f>
        <v>0.0006917667015</v>
      </c>
      <c r="W438" s="13">
        <f t="shared" ref="W438:W443" si="1727">16993.556/(18669.589)</f>
        <v>0.9102265722</v>
      </c>
      <c r="X438" s="13">
        <v>1.39</v>
      </c>
      <c r="Y438" s="13">
        <f t="shared" ref="Y438:Y443" si="1728">12045.512/(18669.589)</f>
        <v>0.6451942782</v>
      </c>
      <c r="Z438" s="13">
        <f t="shared" ref="Z438:Z443" si="1729">1045.014/(18669.589)</f>
        <v>0.05597412991</v>
      </c>
      <c r="AA438" s="13">
        <f t="shared" ref="AA438:AA443" si="1730">18669.589/3127000</f>
        <v>0.005970447394</v>
      </c>
      <c r="AB438" s="13">
        <f t="shared" ref="AB438:AB443" si="1731">(793.52-743.54)/743.54</f>
        <v>0.06721897948</v>
      </c>
    </row>
    <row r="439" ht="14.25" customHeight="1">
      <c r="B439" s="31" t="s">
        <v>630</v>
      </c>
      <c r="C439" s="31" t="s">
        <v>1268</v>
      </c>
      <c r="D439" s="31" t="s">
        <v>1269</v>
      </c>
      <c r="E439" s="31" t="s">
        <v>1273</v>
      </c>
      <c r="F439" s="31" t="s">
        <v>1274</v>
      </c>
      <c r="G439" s="21" t="s">
        <v>1272</v>
      </c>
      <c r="H439" s="30">
        <v>39283.0</v>
      </c>
      <c r="I439" s="21">
        <v>574.8</v>
      </c>
      <c r="J439" s="21" t="s">
        <v>1237</v>
      </c>
      <c r="K439" s="13">
        <f t="shared" si="1717"/>
        <v>97.5807358</v>
      </c>
      <c r="L439" s="13">
        <v>0.007</v>
      </c>
      <c r="M439" s="13">
        <f t="shared" si="1718"/>
        <v>0.009605671187</v>
      </c>
      <c r="N439" s="13">
        <f t="shared" si="1719"/>
        <v>0.01390235618</v>
      </c>
      <c r="O439" s="13">
        <f t="shared" si="1720"/>
        <v>0.06419287907</v>
      </c>
      <c r="P439" s="13">
        <v>0.072</v>
      </c>
      <c r="Q439" s="13">
        <f t="shared" si="1721"/>
        <v>0.8915677648</v>
      </c>
      <c r="R439" s="13">
        <f t="shared" si="1722"/>
        <v>0.0008336518923</v>
      </c>
      <c r="S439" s="13">
        <f t="shared" si="1723"/>
        <v>0.002506621693</v>
      </c>
      <c r="T439" s="13">
        <f t="shared" si="1724"/>
        <v>0.07832911378</v>
      </c>
      <c r="U439" s="13">
        <f t="shared" si="1725"/>
        <v>9.834651222</v>
      </c>
      <c r="V439" s="13">
        <f t="shared" si="1726"/>
        <v>0.0006917667015</v>
      </c>
      <c r="W439" s="13">
        <f t="shared" si="1727"/>
        <v>0.9102265722</v>
      </c>
      <c r="X439" s="13">
        <v>1.39</v>
      </c>
      <c r="Y439" s="13">
        <f t="shared" si="1728"/>
        <v>0.6451942782</v>
      </c>
      <c r="Z439" s="13">
        <f t="shared" si="1729"/>
        <v>0.05597412991</v>
      </c>
      <c r="AA439" s="13">
        <f t="shared" si="1730"/>
        <v>0.005970447394</v>
      </c>
      <c r="AB439" s="13">
        <f t="shared" si="1731"/>
        <v>0.06721897948</v>
      </c>
    </row>
    <row r="440" ht="14.25" customHeight="1">
      <c r="B440" s="31" t="s">
        <v>630</v>
      </c>
      <c r="C440" s="31" t="s">
        <v>1268</v>
      </c>
      <c r="D440" s="31" t="s">
        <v>1269</v>
      </c>
      <c r="E440" s="31" t="s">
        <v>1275</v>
      </c>
      <c r="F440" s="31" t="s">
        <v>1276</v>
      </c>
      <c r="G440" s="21" t="s">
        <v>1272</v>
      </c>
      <c r="H440" s="30">
        <v>39283.0</v>
      </c>
      <c r="I440" s="21">
        <v>47.6</v>
      </c>
      <c r="J440" s="21" t="s">
        <v>1237</v>
      </c>
      <c r="K440" s="13">
        <f t="shared" si="1717"/>
        <v>97.5807358</v>
      </c>
      <c r="L440" s="13">
        <v>0.007</v>
      </c>
      <c r="M440" s="13">
        <f t="shared" si="1718"/>
        <v>0.009605671187</v>
      </c>
      <c r="N440" s="13">
        <f t="shared" si="1719"/>
        <v>0.01390235618</v>
      </c>
      <c r="O440" s="13">
        <f t="shared" si="1720"/>
        <v>0.06419287907</v>
      </c>
      <c r="P440" s="13">
        <v>0.072</v>
      </c>
      <c r="Q440" s="13">
        <f t="shared" si="1721"/>
        <v>0.8915677648</v>
      </c>
      <c r="R440" s="13">
        <f t="shared" si="1722"/>
        <v>0.0008336518923</v>
      </c>
      <c r="S440" s="13">
        <f t="shared" si="1723"/>
        <v>0.002506621693</v>
      </c>
      <c r="T440" s="13">
        <f t="shared" si="1724"/>
        <v>0.07832911378</v>
      </c>
      <c r="U440" s="13">
        <f t="shared" si="1725"/>
        <v>9.834651222</v>
      </c>
      <c r="V440" s="13">
        <f t="shared" si="1726"/>
        <v>0.0006917667015</v>
      </c>
      <c r="W440" s="13">
        <f t="shared" si="1727"/>
        <v>0.9102265722</v>
      </c>
      <c r="X440" s="13">
        <v>1.39</v>
      </c>
      <c r="Y440" s="13">
        <f t="shared" si="1728"/>
        <v>0.6451942782</v>
      </c>
      <c r="Z440" s="13">
        <f t="shared" si="1729"/>
        <v>0.05597412991</v>
      </c>
      <c r="AA440" s="13">
        <f t="shared" si="1730"/>
        <v>0.005970447394</v>
      </c>
      <c r="AB440" s="13">
        <f t="shared" si="1731"/>
        <v>0.06721897948</v>
      </c>
    </row>
    <row r="441" ht="14.25" customHeight="1">
      <c r="B441" s="31" t="s">
        <v>630</v>
      </c>
      <c r="C441" s="31" t="s">
        <v>1268</v>
      </c>
      <c r="D441" s="31" t="s">
        <v>1269</v>
      </c>
      <c r="E441" s="31" t="s">
        <v>1277</v>
      </c>
      <c r="F441" s="31" t="s">
        <v>1278</v>
      </c>
      <c r="G441" s="21" t="s">
        <v>1272</v>
      </c>
      <c r="H441" s="30">
        <v>39283.0</v>
      </c>
      <c r="I441" s="21">
        <v>34.0</v>
      </c>
      <c r="J441" s="21" t="s">
        <v>1237</v>
      </c>
      <c r="K441" s="13">
        <f t="shared" si="1717"/>
        <v>97.5807358</v>
      </c>
      <c r="L441" s="13">
        <v>0.007</v>
      </c>
      <c r="M441" s="13">
        <f t="shared" si="1718"/>
        <v>0.009605671187</v>
      </c>
      <c r="N441" s="13">
        <f t="shared" si="1719"/>
        <v>0.01390235618</v>
      </c>
      <c r="O441" s="13">
        <f t="shared" si="1720"/>
        <v>0.06419287907</v>
      </c>
      <c r="P441" s="13">
        <v>0.072</v>
      </c>
      <c r="Q441" s="13">
        <f t="shared" si="1721"/>
        <v>0.8915677648</v>
      </c>
      <c r="R441" s="13">
        <f t="shared" si="1722"/>
        <v>0.0008336518923</v>
      </c>
      <c r="S441" s="13">
        <f t="shared" si="1723"/>
        <v>0.002506621693</v>
      </c>
      <c r="T441" s="13">
        <f t="shared" si="1724"/>
        <v>0.07832911378</v>
      </c>
      <c r="U441" s="13">
        <f t="shared" si="1725"/>
        <v>9.834651222</v>
      </c>
      <c r="V441" s="13">
        <f t="shared" si="1726"/>
        <v>0.0006917667015</v>
      </c>
      <c r="W441" s="13">
        <f t="shared" si="1727"/>
        <v>0.9102265722</v>
      </c>
      <c r="X441" s="13">
        <v>1.39</v>
      </c>
      <c r="Y441" s="13">
        <f t="shared" si="1728"/>
        <v>0.6451942782</v>
      </c>
      <c r="Z441" s="13">
        <f t="shared" si="1729"/>
        <v>0.05597412991</v>
      </c>
      <c r="AA441" s="13">
        <f t="shared" si="1730"/>
        <v>0.005970447394</v>
      </c>
      <c r="AB441" s="13">
        <f t="shared" si="1731"/>
        <v>0.06721897948</v>
      </c>
    </row>
    <row r="442" ht="14.25" customHeight="1">
      <c r="B442" s="31" t="s">
        <v>630</v>
      </c>
      <c r="C442" s="31" t="s">
        <v>1268</v>
      </c>
      <c r="D442" s="31" t="s">
        <v>1269</v>
      </c>
      <c r="E442" s="31" t="s">
        <v>1279</v>
      </c>
      <c r="F442" s="31" t="s">
        <v>1280</v>
      </c>
      <c r="G442" s="21" t="s">
        <v>1272</v>
      </c>
      <c r="H442" s="30">
        <v>39283.0</v>
      </c>
      <c r="I442" s="21">
        <v>13.6</v>
      </c>
      <c r="J442" s="21" t="s">
        <v>1237</v>
      </c>
      <c r="K442" s="13">
        <f t="shared" si="1717"/>
        <v>97.5807358</v>
      </c>
      <c r="L442" s="13">
        <v>0.007</v>
      </c>
      <c r="M442" s="13">
        <f t="shared" si="1718"/>
        <v>0.009605671187</v>
      </c>
      <c r="N442" s="13">
        <f t="shared" si="1719"/>
        <v>0.01390235618</v>
      </c>
      <c r="O442" s="13">
        <f t="shared" si="1720"/>
        <v>0.06419287907</v>
      </c>
      <c r="P442" s="13">
        <v>0.072</v>
      </c>
      <c r="Q442" s="13">
        <f t="shared" si="1721"/>
        <v>0.8915677648</v>
      </c>
      <c r="R442" s="13">
        <f t="shared" si="1722"/>
        <v>0.0008336518923</v>
      </c>
      <c r="S442" s="13">
        <f t="shared" si="1723"/>
        <v>0.002506621693</v>
      </c>
      <c r="T442" s="13">
        <f t="shared" si="1724"/>
        <v>0.07832911378</v>
      </c>
      <c r="U442" s="13">
        <f t="shared" si="1725"/>
        <v>9.834651222</v>
      </c>
      <c r="V442" s="13">
        <f t="shared" si="1726"/>
        <v>0.0006917667015</v>
      </c>
      <c r="W442" s="13">
        <f t="shared" si="1727"/>
        <v>0.9102265722</v>
      </c>
      <c r="X442" s="13">
        <v>1.39</v>
      </c>
      <c r="Y442" s="13">
        <f t="shared" si="1728"/>
        <v>0.6451942782</v>
      </c>
      <c r="Z442" s="13">
        <f t="shared" si="1729"/>
        <v>0.05597412991</v>
      </c>
      <c r="AA442" s="13">
        <f t="shared" si="1730"/>
        <v>0.005970447394</v>
      </c>
      <c r="AB442" s="13">
        <f t="shared" si="1731"/>
        <v>0.06721897948</v>
      </c>
    </row>
    <row r="443" ht="14.25" customHeight="1">
      <c r="B443" s="31" t="s">
        <v>630</v>
      </c>
      <c r="C443" s="31" t="s">
        <v>1268</v>
      </c>
      <c r="D443" s="31" t="s">
        <v>1269</v>
      </c>
      <c r="E443" s="31" t="s">
        <v>1281</v>
      </c>
      <c r="F443" s="31" t="s">
        <v>1282</v>
      </c>
      <c r="G443" s="21" t="s">
        <v>1272</v>
      </c>
      <c r="H443" s="30">
        <v>39283.0</v>
      </c>
      <c r="I443" s="21">
        <v>15.3</v>
      </c>
      <c r="J443" s="21" t="s">
        <v>1237</v>
      </c>
      <c r="K443" s="13">
        <f t="shared" si="1717"/>
        <v>97.5807358</v>
      </c>
      <c r="L443" s="13">
        <v>0.007</v>
      </c>
      <c r="M443" s="13">
        <f t="shared" si="1718"/>
        <v>0.009605671187</v>
      </c>
      <c r="N443" s="13">
        <f t="shared" si="1719"/>
        <v>0.01390235618</v>
      </c>
      <c r="O443" s="13">
        <f t="shared" si="1720"/>
        <v>0.06419287907</v>
      </c>
      <c r="P443" s="13">
        <v>0.072</v>
      </c>
      <c r="Q443" s="13">
        <f t="shared" si="1721"/>
        <v>0.8915677648</v>
      </c>
      <c r="R443" s="13">
        <f t="shared" si="1722"/>
        <v>0.0008336518923</v>
      </c>
      <c r="S443" s="13">
        <f t="shared" si="1723"/>
        <v>0.002506621693</v>
      </c>
      <c r="T443" s="13">
        <f t="shared" si="1724"/>
        <v>0.07832911378</v>
      </c>
      <c r="U443" s="13">
        <f t="shared" si="1725"/>
        <v>9.834651222</v>
      </c>
      <c r="V443" s="13">
        <f t="shared" si="1726"/>
        <v>0.0006917667015</v>
      </c>
      <c r="W443" s="13">
        <f t="shared" si="1727"/>
        <v>0.9102265722</v>
      </c>
      <c r="X443" s="13">
        <v>1.39</v>
      </c>
      <c r="Y443" s="13">
        <f t="shared" si="1728"/>
        <v>0.6451942782</v>
      </c>
      <c r="Z443" s="13">
        <f t="shared" si="1729"/>
        <v>0.05597412991</v>
      </c>
      <c r="AA443" s="13">
        <f t="shared" si="1730"/>
        <v>0.005970447394</v>
      </c>
      <c r="AB443" s="13">
        <f t="shared" si="1731"/>
        <v>0.06721897948</v>
      </c>
    </row>
    <row r="444" ht="14.25" customHeight="1">
      <c r="X444" s="12"/>
      <c r="AB444" s="13"/>
    </row>
    <row r="445" ht="14.25" customHeight="1">
      <c r="X445" s="12"/>
      <c r="AB445" s="13"/>
    </row>
    <row r="446" ht="14.25" customHeight="1">
      <c r="X446" s="12"/>
      <c r="AB446" s="13"/>
    </row>
    <row r="447" ht="14.25" customHeight="1">
      <c r="X447" s="12"/>
      <c r="AB447" s="13"/>
    </row>
    <row r="448" ht="14.25" customHeight="1">
      <c r="X448" s="12"/>
      <c r="AB448" s="13"/>
    </row>
    <row r="449" ht="14.25" customHeight="1">
      <c r="X449" s="12"/>
      <c r="AB449" s="13"/>
    </row>
    <row r="450" ht="14.25" customHeight="1">
      <c r="X450" s="12"/>
      <c r="AB450" s="13"/>
    </row>
    <row r="451" ht="14.25" customHeight="1">
      <c r="X451" s="12"/>
      <c r="AB451" s="13"/>
    </row>
    <row r="452" ht="14.25" customHeight="1">
      <c r="X452" s="12"/>
      <c r="AB452" s="13"/>
    </row>
    <row r="453" ht="14.25" customHeight="1">
      <c r="X453" s="12"/>
      <c r="AB453" s="13"/>
    </row>
    <row r="454" ht="14.25" customHeight="1">
      <c r="X454" s="12"/>
      <c r="AB454" s="13"/>
    </row>
    <row r="455" ht="14.25" customHeight="1">
      <c r="X455" s="12"/>
      <c r="AB455" s="13"/>
    </row>
    <row r="456" ht="14.25" customHeight="1">
      <c r="X456" s="12"/>
      <c r="AB456" s="13"/>
    </row>
    <row r="457" ht="14.25" customHeight="1">
      <c r="X457" s="12"/>
      <c r="AB457" s="13"/>
    </row>
    <row r="458" ht="14.25" customHeight="1">
      <c r="X458" s="12"/>
      <c r="AB458" s="13"/>
    </row>
    <row r="459" ht="14.25" customHeight="1">
      <c r="X459" s="12"/>
      <c r="AB459" s="13"/>
    </row>
    <row r="460" ht="14.25" customHeight="1">
      <c r="X460" s="12"/>
      <c r="AB460" s="13"/>
    </row>
    <row r="461" ht="14.25" customHeight="1">
      <c r="X461" s="12"/>
      <c r="AB461" s="13"/>
    </row>
    <row r="462" ht="14.25" customHeight="1">
      <c r="X462" s="12"/>
      <c r="AB462" s="13"/>
    </row>
    <row r="463" ht="14.25" customHeight="1">
      <c r="X463" s="12"/>
      <c r="AB463" s="13"/>
    </row>
    <row r="464" ht="14.25" customHeight="1">
      <c r="X464" s="12"/>
      <c r="AB464" s="13"/>
    </row>
    <row r="465" ht="14.25" customHeight="1">
      <c r="X465" s="12"/>
      <c r="AB465" s="13"/>
    </row>
    <row r="466" ht="14.25" customHeight="1">
      <c r="X466" s="12"/>
      <c r="AB466" s="13"/>
    </row>
    <row r="467" ht="14.25" customHeight="1">
      <c r="X467" s="12"/>
      <c r="AB467" s="13"/>
    </row>
    <row r="468" ht="14.25" customHeight="1">
      <c r="X468" s="12"/>
      <c r="AB468" s="13"/>
    </row>
    <row r="469" ht="14.25" customHeight="1">
      <c r="X469" s="12"/>
      <c r="AB469" s="13"/>
    </row>
    <row r="470" ht="14.25" customHeight="1">
      <c r="X470" s="12"/>
      <c r="AB470" s="13"/>
    </row>
    <row r="471" ht="14.25" customHeight="1">
      <c r="X471" s="12"/>
      <c r="AB471" s="13"/>
    </row>
    <row r="472" ht="14.25" customHeight="1">
      <c r="X472" s="12"/>
      <c r="AB472" s="13"/>
    </row>
    <row r="473" ht="14.25" customHeight="1">
      <c r="X473" s="12"/>
      <c r="AB473" s="13"/>
    </row>
    <row r="474" ht="14.25" customHeight="1">
      <c r="X474" s="12"/>
      <c r="AB474" s="13"/>
    </row>
    <row r="475" ht="14.25" customHeight="1">
      <c r="X475" s="12"/>
      <c r="AB475" s="13"/>
    </row>
    <row r="476" ht="14.25" customHeight="1">
      <c r="X476" s="12"/>
      <c r="AB476" s="13"/>
    </row>
    <row r="477" ht="14.25" customHeight="1">
      <c r="X477" s="12"/>
      <c r="AB477" s="13"/>
    </row>
    <row r="478" ht="14.25" customHeight="1">
      <c r="X478" s="12"/>
      <c r="AB478" s="13"/>
    </row>
    <row r="479" ht="14.25" customHeight="1">
      <c r="X479" s="12"/>
      <c r="AB479" s="13"/>
    </row>
    <row r="480" ht="14.25" customHeight="1">
      <c r="X480" s="12"/>
      <c r="AB480" s="13"/>
    </row>
    <row r="481" ht="14.25" customHeight="1">
      <c r="X481" s="12"/>
      <c r="AB481" s="13"/>
    </row>
    <row r="482" ht="14.25" customHeight="1">
      <c r="X482" s="12"/>
      <c r="AB482" s="13"/>
    </row>
    <row r="483" ht="14.25" customHeight="1">
      <c r="X483" s="12"/>
      <c r="AB483" s="13"/>
    </row>
    <row r="484" ht="14.25" customHeight="1">
      <c r="X484" s="12"/>
      <c r="AB484" s="13"/>
    </row>
    <row r="485" ht="14.25" customHeight="1">
      <c r="X485" s="12"/>
      <c r="AB485" s="13"/>
    </row>
    <row r="486" ht="14.25" customHeight="1">
      <c r="X486" s="12"/>
      <c r="AB486" s="13"/>
    </row>
    <row r="487" ht="14.25" customHeight="1">
      <c r="X487" s="12"/>
      <c r="AB487" s="13"/>
    </row>
    <row r="488" ht="14.25" customHeight="1">
      <c r="X488" s="12"/>
      <c r="AB488" s="13"/>
    </row>
    <row r="489" ht="14.25" customHeight="1">
      <c r="X489" s="12"/>
      <c r="AB489" s="13"/>
    </row>
    <row r="490" ht="14.25" customHeight="1">
      <c r="X490" s="12"/>
      <c r="AB490" s="13"/>
    </row>
    <row r="491" ht="14.25" customHeight="1">
      <c r="X491" s="12"/>
      <c r="AB491" s="13"/>
    </row>
    <row r="492" ht="14.25" customHeight="1">
      <c r="X492" s="12"/>
      <c r="AB492" s="13"/>
    </row>
    <row r="493" ht="14.25" customHeight="1">
      <c r="X493" s="12"/>
      <c r="AB493" s="13"/>
    </row>
    <row r="494" ht="14.25" customHeight="1">
      <c r="X494" s="12"/>
      <c r="AB494" s="13"/>
    </row>
    <row r="495" ht="14.25" customHeight="1">
      <c r="X495" s="12"/>
      <c r="AB495" s="13"/>
    </row>
    <row r="496" ht="14.25" customHeight="1">
      <c r="X496" s="12"/>
      <c r="AB496" s="13"/>
    </row>
    <row r="497" ht="14.25" customHeight="1">
      <c r="X497" s="12"/>
      <c r="AB497" s="13"/>
    </row>
    <row r="498" ht="14.25" customHeight="1">
      <c r="X498" s="12"/>
      <c r="AB498" s="13"/>
    </row>
    <row r="499" ht="14.25" customHeight="1">
      <c r="X499" s="12"/>
      <c r="AB499" s="13"/>
    </row>
    <row r="500" ht="14.25" customHeight="1">
      <c r="X500" s="12"/>
      <c r="AB500" s="13"/>
    </row>
    <row r="501" ht="14.25" customHeight="1">
      <c r="X501" s="12"/>
      <c r="AB501" s="13"/>
    </row>
    <row r="502" ht="14.25" customHeight="1">
      <c r="X502" s="12"/>
      <c r="AB502" s="13"/>
    </row>
    <row r="503" ht="14.25" customHeight="1">
      <c r="X503" s="12"/>
      <c r="AB503" s="13"/>
    </row>
    <row r="504" ht="14.25" customHeight="1">
      <c r="X504" s="12"/>
      <c r="AB504" s="13"/>
    </row>
    <row r="505" ht="14.25" customHeight="1">
      <c r="X505" s="12"/>
      <c r="AB505" s="13"/>
    </row>
    <row r="506" ht="14.25" customHeight="1">
      <c r="X506" s="12"/>
      <c r="AB506" s="13"/>
    </row>
    <row r="507" ht="14.25" customHeight="1">
      <c r="X507" s="12"/>
      <c r="AB507" s="13"/>
    </row>
    <row r="508" ht="14.25" customHeight="1">
      <c r="X508" s="12"/>
      <c r="AB508" s="13"/>
    </row>
    <row r="509" ht="14.25" customHeight="1">
      <c r="X509" s="12"/>
      <c r="AB509" s="13"/>
    </row>
    <row r="510" ht="14.25" customHeight="1">
      <c r="X510" s="12"/>
      <c r="AB510" s="13"/>
    </row>
    <row r="511" ht="14.25" customHeight="1">
      <c r="X511" s="12"/>
      <c r="AB511" s="13"/>
    </row>
    <row r="512" ht="14.25" customHeight="1">
      <c r="X512" s="12"/>
      <c r="AB512" s="13"/>
    </row>
    <row r="513" ht="14.25" customHeight="1">
      <c r="X513" s="12"/>
      <c r="AB513" s="13"/>
    </row>
    <row r="514" ht="14.25" customHeight="1">
      <c r="X514" s="12"/>
      <c r="AB514" s="13"/>
    </row>
    <row r="515" ht="14.25" customHeight="1">
      <c r="X515" s="12"/>
      <c r="AB515" s="13"/>
    </row>
    <row r="516" ht="14.25" customHeight="1">
      <c r="X516" s="12"/>
      <c r="AB516" s="13"/>
    </row>
    <row r="517" ht="14.25" customHeight="1">
      <c r="X517" s="12"/>
      <c r="AB517" s="13"/>
    </row>
    <row r="518" ht="14.25" customHeight="1">
      <c r="X518" s="12"/>
      <c r="AB518" s="13"/>
    </row>
    <row r="519" ht="14.25" customHeight="1">
      <c r="X519" s="12"/>
      <c r="AB519" s="13"/>
    </row>
    <row r="520" ht="14.25" customHeight="1">
      <c r="X520" s="12"/>
      <c r="AB520" s="13"/>
    </row>
    <row r="521" ht="14.25" customHeight="1">
      <c r="X521" s="12"/>
      <c r="AB521" s="13"/>
    </row>
    <row r="522" ht="14.25" customHeight="1">
      <c r="X522" s="12"/>
      <c r="AB522" s="13"/>
    </row>
    <row r="523" ht="14.25" customHeight="1">
      <c r="X523" s="12"/>
      <c r="AB523" s="13"/>
    </row>
    <row r="524" ht="14.25" customHeight="1">
      <c r="X524" s="12"/>
      <c r="AB524" s="13"/>
    </row>
    <row r="525" ht="14.25" customHeight="1">
      <c r="X525" s="12"/>
      <c r="AB525" s="13"/>
    </row>
    <row r="526" ht="14.25" customHeight="1">
      <c r="X526" s="12"/>
      <c r="AB526" s="13"/>
    </row>
    <row r="527" ht="14.25" customHeight="1">
      <c r="X527" s="12"/>
      <c r="AB527" s="13"/>
    </row>
    <row r="528" ht="14.25" customHeight="1">
      <c r="X528" s="12"/>
      <c r="AB528" s="13"/>
    </row>
    <row r="529" ht="14.25" customHeight="1">
      <c r="X529" s="12"/>
      <c r="AB529" s="13"/>
    </row>
    <row r="530" ht="14.25" customHeight="1">
      <c r="X530" s="12"/>
      <c r="AB530" s="13"/>
    </row>
    <row r="531" ht="14.25" customHeight="1">
      <c r="X531" s="12"/>
      <c r="AB531" s="13"/>
    </row>
    <row r="532" ht="14.25" customHeight="1">
      <c r="X532" s="12"/>
      <c r="AB532" s="13"/>
    </row>
    <row r="533" ht="14.25" customHeight="1">
      <c r="X533" s="12"/>
      <c r="AB533" s="13"/>
    </row>
    <row r="534" ht="14.25" customHeight="1">
      <c r="X534" s="12"/>
      <c r="AB534" s="13"/>
    </row>
    <row r="535" ht="14.25" customHeight="1">
      <c r="X535" s="12"/>
      <c r="AB535" s="13"/>
    </row>
    <row r="536" ht="14.25" customHeight="1">
      <c r="X536" s="12"/>
      <c r="AB536" s="13"/>
    </row>
    <row r="537" ht="14.25" customHeight="1">
      <c r="X537" s="12"/>
      <c r="AB537" s="13"/>
    </row>
    <row r="538" ht="14.25" customHeight="1">
      <c r="X538" s="12"/>
      <c r="AB538" s="13"/>
    </row>
    <row r="539" ht="14.25" customHeight="1">
      <c r="X539" s="12"/>
      <c r="AB539" s="13"/>
    </row>
    <row r="540" ht="14.25" customHeight="1">
      <c r="X540" s="12"/>
      <c r="AB540" s="13"/>
    </row>
    <row r="541" ht="14.25" customHeight="1">
      <c r="X541" s="12"/>
      <c r="AB541" s="13"/>
    </row>
    <row r="542" ht="14.25" customHeight="1">
      <c r="X542" s="12"/>
      <c r="AB542" s="13"/>
    </row>
    <row r="543" ht="14.25" customHeight="1">
      <c r="X543" s="12"/>
      <c r="AB543" s="13"/>
    </row>
    <row r="544" ht="14.25" customHeight="1">
      <c r="X544" s="12"/>
      <c r="AB544" s="13"/>
    </row>
    <row r="545" ht="14.25" customHeight="1">
      <c r="X545" s="12"/>
      <c r="AB545" s="13"/>
    </row>
    <row r="546" ht="14.25" customHeight="1">
      <c r="X546" s="12"/>
      <c r="AB546" s="13"/>
    </row>
    <row r="547" ht="14.25" customHeight="1">
      <c r="X547" s="12"/>
      <c r="AB547" s="13"/>
    </row>
    <row r="548" ht="14.25" customHeight="1">
      <c r="X548" s="12"/>
      <c r="AB548" s="13"/>
    </row>
    <row r="549" ht="14.25" customHeight="1">
      <c r="X549" s="12"/>
      <c r="AB549" s="13"/>
    </row>
    <row r="550" ht="14.25" customHeight="1">
      <c r="X550" s="12"/>
      <c r="AB550" s="13"/>
    </row>
    <row r="551" ht="14.25" customHeight="1">
      <c r="X551" s="12"/>
      <c r="AB551" s="13"/>
    </row>
    <row r="552" ht="14.25" customHeight="1">
      <c r="X552" s="12"/>
      <c r="AB552" s="13"/>
    </row>
    <row r="553" ht="14.25" customHeight="1">
      <c r="X553" s="12"/>
      <c r="AB553" s="13"/>
    </row>
    <row r="554" ht="14.25" customHeight="1">
      <c r="X554" s="12"/>
      <c r="AB554" s="13"/>
    </row>
    <row r="555" ht="14.25" customHeight="1">
      <c r="X555" s="12"/>
      <c r="AB555" s="13"/>
    </row>
    <row r="556" ht="14.25" customHeight="1">
      <c r="X556" s="12"/>
      <c r="AB556" s="13"/>
    </row>
    <row r="557" ht="14.25" customHeight="1">
      <c r="X557" s="12"/>
      <c r="AB557" s="13"/>
    </row>
    <row r="558" ht="14.25" customHeight="1">
      <c r="X558" s="12"/>
      <c r="AB558" s="13"/>
    </row>
    <row r="559" ht="14.25" customHeight="1">
      <c r="X559" s="12"/>
      <c r="AB559" s="13"/>
    </row>
    <row r="560" ht="14.25" customHeight="1">
      <c r="X560" s="12"/>
      <c r="AB560" s="13"/>
    </row>
    <row r="561" ht="14.25" customHeight="1">
      <c r="X561" s="12"/>
      <c r="AB561" s="13"/>
    </row>
    <row r="562" ht="14.25" customHeight="1">
      <c r="X562" s="12"/>
      <c r="AB562" s="13"/>
    </row>
    <row r="563" ht="14.25" customHeight="1">
      <c r="X563" s="12"/>
      <c r="AB563" s="13"/>
    </row>
    <row r="564" ht="14.25" customHeight="1">
      <c r="X564" s="12"/>
      <c r="AB564" s="13"/>
    </row>
    <row r="565" ht="14.25" customHeight="1">
      <c r="X565" s="12"/>
      <c r="AB565" s="13"/>
    </row>
    <row r="566" ht="14.25" customHeight="1">
      <c r="X566" s="12"/>
      <c r="AB566" s="13"/>
    </row>
    <row r="567" ht="14.25" customHeight="1">
      <c r="X567" s="12"/>
      <c r="AB567" s="13"/>
    </row>
    <row r="568" ht="14.25" customHeight="1">
      <c r="X568" s="12"/>
      <c r="AB568" s="13"/>
    </row>
    <row r="569" ht="14.25" customHeight="1">
      <c r="X569" s="12"/>
      <c r="AB569" s="13"/>
    </row>
    <row r="570" ht="14.25" customHeight="1">
      <c r="X570" s="12"/>
      <c r="AB570" s="13"/>
    </row>
    <row r="571" ht="14.25" customHeight="1">
      <c r="X571" s="12"/>
      <c r="AB571" s="13"/>
    </row>
    <row r="572" ht="14.25" customHeight="1">
      <c r="X572" s="12"/>
      <c r="AB572" s="13"/>
    </row>
    <row r="573" ht="14.25" customHeight="1">
      <c r="X573" s="12"/>
      <c r="AB573" s="13"/>
    </row>
    <row r="574" ht="14.25" customHeight="1">
      <c r="X574" s="12"/>
      <c r="AB574" s="13"/>
    </row>
    <row r="575" ht="14.25" customHeight="1">
      <c r="X575" s="12"/>
      <c r="AB575" s="13"/>
    </row>
    <row r="576" ht="14.25" customHeight="1">
      <c r="X576" s="12"/>
      <c r="AB576" s="13"/>
    </row>
    <row r="577" ht="14.25" customHeight="1">
      <c r="X577" s="12"/>
      <c r="AB577" s="13"/>
    </row>
    <row r="578" ht="14.25" customHeight="1">
      <c r="X578" s="12"/>
      <c r="AB578" s="13"/>
    </row>
    <row r="579" ht="14.25" customHeight="1">
      <c r="X579" s="12"/>
      <c r="AB579" s="13"/>
    </row>
    <row r="580" ht="14.25" customHeight="1">
      <c r="X580" s="12"/>
      <c r="AB580" s="13"/>
    </row>
    <row r="581" ht="14.25" customHeight="1">
      <c r="X581" s="12"/>
      <c r="AB581" s="13"/>
    </row>
    <row r="582" ht="14.25" customHeight="1">
      <c r="X582" s="12"/>
      <c r="AB582" s="13"/>
    </row>
    <row r="583" ht="14.25" customHeight="1">
      <c r="X583" s="12"/>
      <c r="AB583" s="13"/>
    </row>
    <row r="584" ht="14.25" customHeight="1">
      <c r="X584" s="12"/>
      <c r="AB584" s="13"/>
    </row>
    <row r="585" ht="14.25" customHeight="1">
      <c r="X585" s="12"/>
      <c r="AB585" s="13"/>
    </row>
    <row r="586" ht="14.25" customHeight="1">
      <c r="X586" s="12"/>
      <c r="AB586" s="13"/>
    </row>
    <row r="587" ht="14.25" customHeight="1">
      <c r="X587" s="12"/>
      <c r="AB587" s="13"/>
    </row>
    <row r="588" ht="14.25" customHeight="1">
      <c r="X588" s="12"/>
      <c r="AB588" s="13"/>
    </row>
    <row r="589" ht="14.25" customHeight="1">
      <c r="X589" s="12"/>
      <c r="AB589" s="13"/>
    </row>
    <row r="590" ht="14.25" customHeight="1">
      <c r="X590" s="12"/>
      <c r="AB590" s="13"/>
    </row>
    <row r="591" ht="14.25" customHeight="1">
      <c r="X591" s="12"/>
      <c r="AB591" s="13"/>
    </row>
    <row r="592" ht="14.25" customHeight="1">
      <c r="X592" s="12"/>
      <c r="AB592" s="13"/>
    </row>
    <row r="593" ht="14.25" customHeight="1">
      <c r="X593" s="12"/>
      <c r="AB593" s="13"/>
    </row>
    <row r="594" ht="14.25" customHeight="1">
      <c r="X594" s="12"/>
      <c r="AB594" s="13"/>
    </row>
    <row r="595" ht="14.25" customHeight="1">
      <c r="X595" s="12"/>
      <c r="AB595" s="13"/>
    </row>
    <row r="596" ht="14.25" customHeight="1">
      <c r="X596" s="12"/>
      <c r="AB596" s="13"/>
    </row>
    <row r="597" ht="14.25" customHeight="1">
      <c r="X597" s="12"/>
      <c r="AB597" s="13"/>
    </row>
    <row r="598" ht="14.25" customHeight="1">
      <c r="X598" s="12"/>
      <c r="AB598" s="13"/>
    </row>
    <row r="599" ht="14.25" customHeight="1">
      <c r="X599" s="12"/>
      <c r="AB599" s="13"/>
    </row>
    <row r="600" ht="14.25" customHeight="1">
      <c r="X600" s="12"/>
      <c r="AB600" s="13"/>
    </row>
    <row r="601" ht="14.25" customHeight="1">
      <c r="X601" s="12"/>
      <c r="AB601" s="13"/>
    </row>
  </sheetData>
  <mergeCells count="15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M2:N2"/>
    <mergeCell ref="O2:P2"/>
    <mergeCell ref="Q2:R2"/>
    <mergeCell ref="S2:T2"/>
    <mergeCell ref="U2:AB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0.29"/>
    <col customWidth="1" min="3" max="4" width="22.14"/>
  </cols>
  <sheetData>
    <row r="1">
      <c r="A1" s="41"/>
      <c r="B1" s="42"/>
      <c r="C1" s="41"/>
    </row>
    <row r="2">
      <c r="A2" s="41"/>
      <c r="B2" s="42"/>
      <c r="C2" s="41"/>
    </row>
    <row r="3">
      <c r="A3" s="41" t="s">
        <v>1283</v>
      </c>
      <c r="B3" s="42" t="s">
        <v>1284</v>
      </c>
      <c r="C3" s="42" t="s">
        <v>1285</v>
      </c>
    </row>
    <row r="4">
      <c r="A4" s="43">
        <v>2003.0</v>
      </c>
      <c r="B4" s="44">
        <v>23.25652</v>
      </c>
      <c r="C4" s="44">
        <v>17.3864</v>
      </c>
    </row>
    <row r="5">
      <c r="A5" s="43">
        <v>2004.0</v>
      </c>
      <c r="B5" s="44">
        <v>15.1995</v>
      </c>
      <c r="C5" s="44">
        <v>46.88406667</v>
      </c>
    </row>
    <row r="6">
      <c r="A6" s="43">
        <v>2005.0</v>
      </c>
      <c r="B6" s="44">
        <v>8.821472</v>
      </c>
      <c r="C6" s="44">
        <v>41.53046667</v>
      </c>
    </row>
    <row r="7">
      <c r="A7" s="43">
        <v>2006.0</v>
      </c>
      <c r="B7" s="44">
        <v>7.655297</v>
      </c>
      <c r="C7" s="44">
        <v>50.41937143</v>
      </c>
    </row>
    <row r="8">
      <c r="A8" s="43">
        <v>2007.0</v>
      </c>
      <c r="B8" s="44">
        <v>8.901686</v>
      </c>
      <c r="C8" s="44">
        <v>63.9163</v>
      </c>
    </row>
    <row r="9">
      <c r="A9" s="43">
        <v>2008.0</v>
      </c>
      <c r="B9" s="44">
        <v>4.960108</v>
      </c>
      <c r="C9" s="44">
        <v>29.4912</v>
      </c>
    </row>
    <row r="10">
      <c r="A10" s="43">
        <v>2009.0</v>
      </c>
      <c r="B10" s="44">
        <v>6.34375</v>
      </c>
      <c r="C10" s="44">
        <v>32.69832</v>
      </c>
    </row>
    <row r="11">
      <c r="A11" s="43">
        <v>2010.0</v>
      </c>
      <c r="B11" s="44">
        <v>8.335304</v>
      </c>
      <c r="C11" s="44">
        <v>57.52641667</v>
      </c>
    </row>
    <row r="12">
      <c r="A12" s="43">
        <v>2011.0</v>
      </c>
      <c r="B12" s="44">
        <v>8.926591</v>
      </c>
      <c r="C12" s="44">
        <v>40.48202308</v>
      </c>
    </row>
    <row r="13">
      <c r="A13" s="43">
        <v>2012.0</v>
      </c>
      <c r="B13" s="44">
        <v>8.553244</v>
      </c>
      <c r="C13" s="44">
        <v>46.6615</v>
      </c>
    </row>
    <row r="14">
      <c r="A14" s="43">
        <v>2013.0</v>
      </c>
      <c r="B14" s="44">
        <v>9.445988</v>
      </c>
      <c r="C14" s="44">
        <v>66.7104</v>
      </c>
    </row>
    <row r="15">
      <c r="A15" s="43">
        <v>2014.0</v>
      </c>
      <c r="B15" s="44">
        <v>11.43032</v>
      </c>
      <c r="C15" s="44">
        <v>66.35937</v>
      </c>
    </row>
    <row r="16">
      <c r="A16" s="43">
        <v>2015.0</v>
      </c>
      <c r="B16" s="44">
        <v>17.46931</v>
      </c>
      <c r="C16" s="44">
        <v>46.75098571</v>
      </c>
    </row>
    <row r="17">
      <c r="A17" s="43">
        <v>2016.0</v>
      </c>
      <c r="B17" s="44">
        <v>16.87351</v>
      </c>
      <c r="C17" s="44">
        <v>37.71198</v>
      </c>
    </row>
    <row r="18">
      <c r="A18" s="43">
        <v>2017.0</v>
      </c>
      <c r="B18" s="44">
        <v>17.44134</v>
      </c>
      <c r="C18" s="44">
        <v>83.82228571</v>
      </c>
    </row>
    <row r="19">
      <c r="A19" s="43">
        <v>2018.0</v>
      </c>
      <c r="B19" s="44">
        <v>17.83418</v>
      </c>
      <c r="C19" s="44">
        <v>120.3830429</v>
      </c>
    </row>
    <row r="20">
      <c r="A20" s="43">
        <v>2019.0</v>
      </c>
      <c r="B20" s="44">
        <v>17.0659</v>
      </c>
      <c r="C20" s="44">
        <v>88.20592222</v>
      </c>
    </row>
    <row r="21">
      <c r="A21" s="43">
        <v>2020.0</v>
      </c>
      <c r="B21" s="44">
        <v>16.23698</v>
      </c>
      <c r="C21" s="44">
        <v>31.920875</v>
      </c>
    </row>
    <row r="22">
      <c r="A22" s="43">
        <v>2021.0</v>
      </c>
      <c r="B22" s="44">
        <v>16.73698</v>
      </c>
      <c r="C22" s="44">
        <v>46.75873333</v>
      </c>
    </row>
    <row r="23">
      <c r="A23" s="43">
        <v>2022.0</v>
      </c>
      <c r="B23" s="44">
        <v>17.13698</v>
      </c>
      <c r="C23" s="44">
        <v>47.75873333</v>
      </c>
    </row>
    <row r="25">
      <c r="A25" s="41" t="s">
        <v>1283</v>
      </c>
      <c r="B25" s="41" t="s">
        <v>1286</v>
      </c>
      <c r="C25" s="41" t="s">
        <v>1287</v>
      </c>
    </row>
    <row r="26">
      <c r="A26" s="43">
        <v>2003.0</v>
      </c>
      <c r="B26" s="44">
        <v>0.0052</v>
      </c>
      <c r="C26" s="44">
        <v>0.0103</v>
      </c>
    </row>
    <row r="27">
      <c r="A27" s="43">
        <v>2004.0</v>
      </c>
      <c r="B27" s="44">
        <v>0.0124</v>
      </c>
      <c r="C27" s="44">
        <v>0.015633333</v>
      </c>
    </row>
    <row r="28">
      <c r="A28" s="43">
        <v>2005.0</v>
      </c>
      <c r="B28" s="44">
        <v>0.007133333</v>
      </c>
      <c r="C28" s="44">
        <v>0.0098</v>
      </c>
    </row>
    <row r="29">
      <c r="A29" s="43">
        <v>2006.0</v>
      </c>
      <c r="B29" s="44">
        <v>0.013842857</v>
      </c>
      <c r="C29" s="44">
        <v>0.016642857</v>
      </c>
    </row>
    <row r="30">
      <c r="A30" s="43">
        <v>2007.0</v>
      </c>
      <c r="B30" s="44">
        <v>0.014514286</v>
      </c>
      <c r="C30" s="44">
        <v>0.016814286</v>
      </c>
    </row>
    <row r="31">
      <c r="A31" s="43">
        <v>2008.0</v>
      </c>
      <c r="B31" s="44">
        <v>0.01025</v>
      </c>
      <c r="C31" s="44">
        <v>0.0119</v>
      </c>
    </row>
    <row r="32">
      <c r="A32" s="43">
        <v>2009.0</v>
      </c>
      <c r="B32" s="44">
        <v>0.00962</v>
      </c>
      <c r="C32" s="44">
        <v>0.01868</v>
      </c>
    </row>
    <row r="33">
      <c r="A33" s="43">
        <v>2010.0</v>
      </c>
      <c r="B33" s="44">
        <v>0.020083333</v>
      </c>
      <c r="C33" s="44">
        <v>0.026783333</v>
      </c>
    </row>
    <row r="34">
      <c r="A34" s="43">
        <v>2011.0</v>
      </c>
      <c r="B34" s="44">
        <v>0.0149</v>
      </c>
      <c r="C34" s="44">
        <v>0.021207692</v>
      </c>
    </row>
    <row r="35">
      <c r="A35" s="43">
        <v>2012.0</v>
      </c>
      <c r="B35" s="44">
        <v>0.037778571</v>
      </c>
      <c r="C35" s="44">
        <v>0.05385</v>
      </c>
    </row>
    <row r="36">
      <c r="A36" s="43">
        <v>2013.0</v>
      </c>
      <c r="B36" s="44">
        <v>0.015533333</v>
      </c>
      <c r="C36" s="44">
        <v>0.022266667</v>
      </c>
    </row>
    <row r="37">
      <c r="A37" s="43">
        <v>2014.0</v>
      </c>
      <c r="B37" s="44">
        <v>0.04049</v>
      </c>
      <c r="C37" s="44">
        <v>0.06055</v>
      </c>
    </row>
    <row r="38">
      <c r="A38" s="43">
        <v>2015.0</v>
      </c>
      <c r="B38" s="44">
        <v>0.021585714</v>
      </c>
      <c r="C38" s="44">
        <v>0.028971429</v>
      </c>
    </row>
    <row r="39">
      <c r="A39" s="43">
        <v>2016.0</v>
      </c>
      <c r="B39" s="44">
        <v>0.02004</v>
      </c>
      <c r="C39" s="44">
        <v>0.02662</v>
      </c>
    </row>
    <row r="40">
      <c r="A40" s="43">
        <v>2017.0</v>
      </c>
      <c r="B40" s="44">
        <v>0.017142857</v>
      </c>
      <c r="C40" s="44">
        <v>0.027114286</v>
      </c>
    </row>
    <row r="41">
      <c r="A41" s="43">
        <v>2018.0</v>
      </c>
      <c r="B41" s="44">
        <v>0.039085714</v>
      </c>
      <c r="C41" s="44">
        <v>0.0508</v>
      </c>
    </row>
    <row r="42">
      <c r="A42" s="43">
        <v>2019.0</v>
      </c>
      <c r="B42" s="44">
        <v>0.038366667</v>
      </c>
      <c r="C42" s="44">
        <v>0.046533333</v>
      </c>
    </row>
    <row r="43">
      <c r="A43" s="43">
        <v>2020.0</v>
      </c>
      <c r="B43" s="44">
        <v>0.01985</v>
      </c>
      <c r="C43" s="44">
        <v>0.0305875</v>
      </c>
    </row>
    <row r="44">
      <c r="A44" s="43">
        <v>2021.0</v>
      </c>
      <c r="B44" s="44">
        <v>0.032344444</v>
      </c>
      <c r="C44" s="44">
        <v>0.043911111</v>
      </c>
    </row>
    <row r="45">
      <c r="A45" s="43">
        <v>2022.0</v>
      </c>
      <c r="B45" s="44">
        <v>0.032344444</v>
      </c>
      <c r="C45" s="44">
        <v>0.043911111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9.57"/>
    <col customWidth="1" min="2" max="2" width="18.43"/>
    <col customWidth="1" min="3" max="3" width="11.71"/>
    <col customWidth="1" min="4" max="4" width="17.29"/>
    <col customWidth="1" min="5" max="6" width="16.14"/>
    <col customWidth="1" min="7" max="7" width="17.29"/>
    <col customWidth="1" min="8" max="8" width="12.43"/>
    <col customWidth="1" min="9" max="9" width="13.86"/>
    <col customWidth="1" min="10" max="10" width="18.14"/>
    <col customWidth="1" min="11" max="11" width="13.86"/>
    <col customWidth="1" min="12" max="12" width="12.71"/>
    <col customWidth="1" min="13" max="13" width="11.43"/>
    <col customWidth="1" min="14" max="14" width="12.71"/>
    <col customWidth="1" min="15" max="15" width="18.29"/>
    <col customWidth="1" min="16" max="16" width="19.29"/>
    <col customWidth="1" min="17" max="18" width="8.71"/>
    <col customWidth="1" min="19" max="19" width="11.86"/>
    <col customWidth="1" min="20" max="20" width="8.71"/>
    <col customWidth="1" min="21" max="21" width="11.57"/>
    <col customWidth="1" min="22" max="24" width="8.71"/>
  </cols>
  <sheetData>
    <row r="1" ht="14.25" customHeight="1">
      <c r="A1" s="15" t="s">
        <v>1288</v>
      </c>
      <c r="B1" s="15" t="s">
        <v>40</v>
      </c>
      <c r="C1" s="14" t="s">
        <v>1289</v>
      </c>
      <c r="D1" s="15" t="s">
        <v>42</v>
      </c>
      <c r="E1" s="15" t="s">
        <v>7</v>
      </c>
      <c r="G1" s="15" t="s">
        <v>10</v>
      </c>
      <c r="I1" s="15" t="s">
        <v>13</v>
      </c>
      <c r="K1" s="15" t="s">
        <v>16</v>
      </c>
      <c r="M1" s="15" t="s">
        <v>19</v>
      </c>
      <c r="O1" s="15" t="s">
        <v>22</v>
      </c>
      <c r="Q1" s="15" t="s">
        <v>25</v>
      </c>
    </row>
    <row r="2" ht="42.75" customHeight="1">
      <c r="E2" s="45" t="s">
        <v>1290</v>
      </c>
      <c r="F2" s="45" t="s">
        <v>9</v>
      </c>
      <c r="G2" s="46" t="s">
        <v>11</v>
      </c>
      <c r="H2" s="46" t="s">
        <v>12</v>
      </c>
      <c r="I2" s="46" t="s">
        <v>14</v>
      </c>
      <c r="J2" s="46" t="s">
        <v>15</v>
      </c>
      <c r="K2" s="46" t="s">
        <v>17</v>
      </c>
      <c r="L2" s="46" t="s">
        <v>18</v>
      </c>
      <c r="M2" s="46" t="s">
        <v>20</v>
      </c>
      <c r="N2" s="46" t="s">
        <v>21</v>
      </c>
      <c r="O2" s="46" t="s">
        <v>23</v>
      </c>
      <c r="P2" s="46" t="s">
        <v>24</v>
      </c>
      <c r="Q2" s="46" t="s">
        <v>26</v>
      </c>
      <c r="R2" s="46" t="s">
        <v>27</v>
      </c>
      <c r="S2" s="46" t="s">
        <v>28</v>
      </c>
      <c r="T2" s="46" t="s">
        <v>29</v>
      </c>
      <c r="U2" s="46" t="s">
        <v>30</v>
      </c>
      <c r="V2" s="46" t="s">
        <v>31</v>
      </c>
      <c r="W2" s="46" t="s">
        <v>32</v>
      </c>
      <c r="X2" s="46" t="s">
        <v>33</v>
      </c>
    </row>
    <row r="3" ht="14.25" customHeight="1">
      <c r="A3" s="21" t="s">
        <v>48</v>
      </c>
      <c r="B3" s="22">
        <v>41135.0</v>
      </c>
      <c r="C3" s="47">
        <v>6587.5</v>
      </c>
      <c r="D3" s="21" t="s">
        <v>49</v>
      </c>
      <c r="E3" s="13">
        <f>(0.005+0.061)/0.0006</f>
        <v>110</v>
      </c>
      <c r="F3" s="24">
        <f>0.019</f>
        <v>0.019</v>
      </c>
      <c r="G3" s="24">
        <f>3801.325/157309.5</f>
        <v>0.02416462451</v>
      </c>
      <c r="H3" s="24">
        <f>3801.325/99038.4</f>
        <v>0.03838233453</v>
      </c>
      <c r="I3" s="24">
        <f>10632.1/168190.3</f>
        <v>0.06321470382</v>
      </c>
      <c r="J3" s="13">
        <v>0.226</v>
      </c>
      <c r="K3" s="13">
        <f>(10673.2/0.23)/168190.3</f>
        <v>0.2759089995</v>
      </c>
      <c r="L3" s="24">
        <f>36.45/93836.39</f>
        <v>0.0003884420532</v>
      </c>
      <c r="M3" s="24">
        <f>1063/168190.3</f>
        <v>0.006320221796</v>
      </c>
      <c r="N3" s="24">
        <f>4961.4/168190.3</f>
        <v>0.02949872852</v>
      </c>
      <c r="O3" s="24">
        <f>C3/169149.1
</f>
        <v>0.03894493083</v>
      </c>
      <c r="P3" s="24">
        <f>C3/86338.2</f>
        <v>0.07629878779</v>
      </c>
      <c r="Q3" s="24">
        <v>12.038535853473446</v>
      </c>
      <c r="R3" s="24">
        <v>0.2681580924758098</v>
      </c>
      <c r="S3" s="24">
        <v>0.5547555381613026</v>
      </c>
      <c r="T3" s="13">
        <v>0.906</v>
      </c>
      <c r="U3" s="24">
        <v>0.5855094706386259</v>
      </c>
      <c r="V3" s="24">
        <v>0.06432667983453651</v>
      </c>
      <c r="W3" s="24">
        <v>0.16109438095238096</v>
      </c>
      <c r="X3" s="13">
        <v>0.0074</v>
      </c>
    </row>
    <row r="4" ht="14.25" customHeight="1">
      <c r="A4" s="21" t="s">
        <v>48</v>
      </c>
      <c r="B4" s="22">
        <v>43446.0</v>
      </c>
      <c r="C4" s="47">
        <v>9297.5</v>
      </c>
      <c r="D4" s="21" t="s">
        <v>58</v>
      </c>
      <c r="E4" s="24">
        <v>146.00000000000003</v>
      </c>
      <c r="F4" s="24">
        <v>0.027</v>
      </c>
      <c r="G4" s="24">
        <v>0.0028663924975337266</v>
      </c>
      <c r="H4" s="24">
        <v>0.0034301162839929567</v>
      </c>
      <c r="I4" s="24">
        <v>0.06637729981860585</v>
      </c>
      <c r="J4" s="24">
        <v>0.16</v>
      </c>
      <c r="K4" s="24">
        <v>0.46911380005986</v>
      </c>
      <c r="L4" s="24">
        <v>9.885968015071241E-4</v>
      </c>
      <c r="M4" s="24">
        <v>0.00352422450864925</v>
      </c>
      <c r="N4" s="24">
        <v>0.1377</v>
      </c>
      <c r="O4" s="24">
        <f>C4/151817.8</f>
        <v>0.06124117198</v>
      </c>
      <c r="P4" s="24">
        <f>C4/116659.8</f>
        <v>0.07969754791</v>
      </c>
      <c r="Q4" s="24">
        <v>11.930436396621344</v>
      </c>
      <c r="R4" s="24">
        <v>0.05244444327345015</v>
      </c>
      <c r="S4" s="24">
        <v>0.7935169657312912</v>
      </c>
      <c r="T4" s="24">
        <v>1.001</v>
      </c>
      <c r="U4" s="24">
        <v>0.7934188217718872</v>
      </c>
      <c r="V4" s="24">
        <v>0.06728855246222776</v>
      </c>
      <c r="W4" s="24">
        <v>0.1276257087734489</v>
      </c>
      <c r="X4" s="24">
        <v>0.018</v>
      </c>
    </row>
    <row r="5" ht="14.25" customHeight="1">
      <c r="A5" s="21" t="s">
        <v>67</v>
      </c>
      <c r="B5" s="22">
        <v>40149.0</v>
      </c>
      <c r="C5" s="47">
        <v>8630.0</v>
      </c>
      <c r="D5" s="21" t="s">
        <v>68</v>
      </c>
      <c r="E5" s="13">
        <v>79.72270363951472</v>
      </c>
      <c r="F5" s="13">
        <v>0.06</v>
      </c>
      <c r="G5" s="13">
        <v>0.002773443624065876</v>
      </c>
      <c r="H5" s="13">
        <v>0.006860910355696187</v>
      </c>
      <c r="I5" s="13">
        <v>0.04632248518598693</v>
      </c>
      <c r="J5" s="13">
        <v>0.148</v>
      </c>
      <c r="K5" s="13">
        <v>0.3129889932656008</v>
      </c>
      <c r="L5" s="13">
        <v>2.0E-4</v>
      </c>
      <c r="M5" s="13">
        <v>0.04999774013449768</v>
      </c>
      <c r="N5" s="13">
        <v>0.241</v>
      </c>
      <c r="O5" s="13">
        <f>C5/428285</f>
        <v>0.02015013367</v>
      </c>
      <c r="P5" s="13">
        <f>C5/157232</f>
        <v>0.05488704589</v>
      </c>
      <c r="Q5" s="13">
        <v>12.967544140809457</v>
      </c>
      <c r="R5" s="13">
        <v>0.16896459133520902</v>
      </c>
      <c r="S5" s="13">
        <v>0.35583081359375185</v>
      </c>
      <c r="T5" s="13">
        <v>1.251</v>
      </c>
      <c r="U5" s="13">
        <v>0.3792848220227185</v>
      </c>
      <c r="V5" s="13">
        <v>0.043270252285277325</v>
      </c>
      <c r="W5" s="13">
        <v>0.428285</v>
      </c>
      <c r="X5" s="13">
        <v>0.0072</v>
      </c>
    </row>
    <row r="6" ht="14.25" customHeight="1">
      <c r="A6" s="21" t="s">
        <v>85</v>
      </c>
      <c r="B6" s="26">
        <v>41771.0</v>
      </c>
      <c r="C6" s="40">
        <v>4124.0</v>
      </c>
      <c r="D6" s="21" t="s">
        <v>86</v>
      </c>
      <c r="E6" s="13">
        <v>82.0</v>
      </c>
      <c r="F6" s="13">
        <v>0.017</v>
      </c>
      <c r="G6" s="13">
        <v>0.004434777665880526</v>
      </c>
      <c r="H6" s="13">
        <v>0.012427792571576272</v>
      </c>
      <c r="I6" s="13">
        <v>0.03742916929002629</v>
      </c>
      <c r="J6" s="13">
        <v>0.147</v>
      </c>
      <c r="K6" s="13">
        <v>0.25462019925187956</v>
      </c>
      <c r="L6" s="13">
        <v>2.5304035091366445E-4</v>
      </c>
      <c r="M6" s="13">
        <v>0.0056480941520829706</v>
      </c>
      <c r="N6" s="13">
        <v>0.16060415878694184</v>
      </c>
      <c r="O6" s="13">
        <f>C6/182777.4</f>
        <v>0.02256296457</v>
      </c>
      <c r="P6" s="13">
        <f>C6/117736.6</f>
        <v>0.03502734069</v>
      </c>
      <c r="Q6" s="13">
        <v>12.116024297973953</v>
      </c>
      <c r="R6" s="13">
        <v>0.21519673657684155</v>
      </c>
      <c r="S6" s="13">
        <v>0.6466559870093349</v>
      </c>
      <c r="T6" s="13">
        <v>1.971</v>
      </c>
      <c r="U6" s="13">
        <v>0.36407345765942617</v>
      </c>
      <c r="V6" s="13">
        <v>0.04336750604834077</v>
      </c>
      <c r="W6" s="13">
        <v>0.17423965681601525</v>
      </c>
      <c r="X6" s="13">
        <v>0.006884681583476792</v>
      </c>
    </row>
    <row r="7" ht="14.25" customHeight="1">
      <c r="A7" s="13" t="s">
        <v>93</v>
      </c>
      <c r="B7" s="29">
        <v>42832.0</v>
      </c>
      <c r="C7" s="40">
        <v>3920.0</v>
      </c>
      <c r="D7" s="13" t="s">
        <v>94</v>
      </c>
      <c r="E7" s="13">
        <v>44.0</v>
      </c>
      <c r="F7" s="13">
        <v>0.062</v>
      </c>
      <c r="G7" s="13">
        <v>0.0023372640921442995</v>
      </c>
      <c r="H7" s="13">
        <v>0.003104218978505008</v>
      </c>
      <c r="I7" s="13">
        <v>0.05029611192172346</v>
      </c>
      <c r="J7" s="13">
        <v>0.158</v>
      </c>
      <c r="K7" s="13">
        <v>0.3183298222938335</v>
      </c>
      <c r="L7" s="13">
        <v>0.0013845142085770654</v>
      </c>
      <c r="M7" s="13">
        <v>0.11861642777443997</v>
      </c>
      <c r="N7" s="13">
        <v>0.29809770523014023</v>
      </c>
      <c r="O7" s="13">
        <f>C7/260522       </f>
        <v>0.01504671391</v>
      </c>
      <c r="P7" s="13">
        <f>C7/164891</f>
        <v>0.02377328053</v>
      </c>
      <c r="Q7" s="13">
        <v>12.454189745578256</v>
      </c>
      <c r="R7" s="13">
        <v>0.030091057341937094</v>
      </c>
      <c r="S7" s="13">
        <v>0.5766964989349334</v>
      </c>
      <c r="T7" s="13">
        <v>0.816</v>
      </c>
      <c r="U7" s="13">
        <v>0.7069428297219903</v>
      </c>
      <c r="V7" s="13">
        <v>0.06107942353758163</v>
      </c>
      <c r="W7" s="13">
        <v>0.4285</v>
      </c>
      <c r="X7" s="13">
        <v>-6.514021431130139E-4</v>
      </c>
    </row>
    <row r="8" ht="14.25" customHeight="1">
      <c r="A8" s="13" t="s">
        <v>93</v>
      </c>
      <c r="B8" s="30">
        <v>44027.0</v>
      </c>
      <c r="C8" s="40">
        <v>3500.0</v>
      </c>
      <c r="D8" s="13" t="s">
        <v>99</v>
      </c>
      <c r="E8" s="13">
        <v>18.5150258740123</v>
      </c>
      <c r="F8" s="13">
        <v>0.036</v>
      </c>
      <c r="G8" s="13">
        <v>0.0015149143598229059</v>
      </c>
      <c r="H8" s="13">
        <v>0.0017991183656127182</v>
      </c>
      <c r="I8" s="13">
        <v>0.056533250820150566</v>
      </c>
      <c r="J8" s="13">
        <v>0.174</v>
      </c>
      <c r="K8" s="13">
        <v>0.32490374034367214</v>
      </c>
      <c r="L8" s="13">
        <v>7.317385498161507E-4</v>
      </c>
      <c r="M8" s="13">
        <v>0.09117823902334396</v>
      </c>
      <c r="N8" s="13">
        <v>0.3145264223854514</v>
      </c>
      <c r="O8" s="13">
        <f>C8/284399    </f>
        <v>0.01230665368</v>
      </c>
      <c r="P8" s="13">
        <f>C8/166295</f>
        <v>0.02104693466</v>
      </c>
      <c r="Q8" s="13">
        <v>12.55813346073064</v>
      </c>
      <c r="R8" s="13">
        <v>0.03741574337462509</v>
      </c>
      <c r="S8" s="13">
        <v>0.5833599977496404</v>
      </c>
      <c r="T8" s="13">
        <v>0.734</v>
      </c>
      <c r="U8" s="13">
        <v>0.7944613026065492</v>
      </c>
      <c r="V8" s="13">
        <v>0.05649457276572702</v>
      </c>
      <c r="W8" s="13">
        <v>0.1885</v>
      </c>
      <c r="X8" s="13">
        <v>-0.005281803542673064</v>
      </c>
    </row>
    <row r="9" ht="14.25" customHeight="1">
      <c r="A9" s="21" t="s">
        <v>105</v>
      </c>
      <c r="B9" s="30">
        <v>44095.0</v>
      </c>
      <c r="C9" s="40">
        <v>604.1</v>
      </c>
      <c r="D9" s="21" t="s">
        <v>99</v>
      </c>
      <c r="E9" s="13">
        <v>12.259646890721838</v>
      </c>
      <c r="F9" s="13">
        <v>0.013</v>
      </c>
      <c r="G9" s="13">
        <f>22.5/14918.7</f>
        <v>0.001508174305</v>
      </c>
      <c r="H9" s="13">
        <f>22.5/8156</f>
        <v>0.002758705248</v>
      </c>
      <c r="I9" s="13">
        <f>1224/15674</f>
        <v>0.07809110629</v>
      </c>
      <c r="J9" s="13">
        <v>0.122</v>
      </c>
      <c r="K9" s="13">
        <f>(1224/0.122)/15674</f>
        <v>0.6400910352</v>
      </c>
      <c r="L9" s="13">
        <v>8.0E-4</v>
      </c>
      <c r="M9" s="13">
        <f>486.9/15360.6</f>
        <v>0.03169798055</v>
      </c>
      <c r="N9" s="13">
        <f>4783.6/15360.6</f>
        <v>0.3114201268</v>
      </c>
      <c r="O9" s="13">
        <f>C9/15360.6</f>
        <v>0.03932789084</v>
      </c>
      <c r="P9" s="13">
        <f>C9/10901       </f>
        <v>0.05541693423</v>
      </c>
      <c r="Q9" s="24">
        <f>LN(15360.6)</f>
        <v>9.639561068</v>
      </c>
      <c r="R9" s="13">
        <f>40/15360.6</f>
        <v>0.002604064945</v>
      </c>
      <c r="S9" s="13">
        <f>14060/15674</f>
        <v>0.8970269236</v>
      </c>
      <c r="T9" s="13">
        <v>1.856</v>
      </c>
      <c r="U9" s="13">
        <f>8156/15674</f>
        <v>0.5203521756</v>
      </c>
      <c r="V9" s="13">
        <f>441.9/15360.6</f>
        <v>0.02876840748</v>
      </c>
      <c r="W9" s="13">
        <f>15360.6/8000000</f>
        <v>0.001920075</v>
      </c>
      <c r="X9" s="13">
        <f>(1.67-1.68)/1.67</f>
        <v>-0.005988023952</v>
      </c>
    </row>
    <row r="10" ht="14.25" customHeight="1">
      <c r="A10" s="21" t="s">
        <v>105</v>
      </c>
      <c r="B10" s="30">
        <v>44525.0</v>
      </c>
      <c r="C10" s="40">
        <v>66.1</v>
      </c>
      <c r="D10" s="21" t="s">
        <v>112</v>
      </c>
      <c r="E10" s="13">
        <v>21.712003244289242</v>
      </c>
      <c r="F10" s="13">
        <v>0.014</v>
      </c>
      <c r="G10" s="13">
        <v>0.001383273036816344</v>
      </c>
      <c r="H10" s="13">
        <v>0.0025443632567849687</v>
      </c>
      <c r="I10" s="13">
        <v>0.10187951207368683</v>
      </c>
      <c r="J10" s="13">
        <v>0.155</v>
      </c>
      <c r="K10" s="13">
        <v>0.6572871746689474</v>
      </c>
      <c r="L10" s="13">
        <v>0.0016389143831126263</v>
      </c>
      <c r="M10" s="13">
        <v>0.05311457535597928</v>
      </c>
      <c r="N10" s="13">
        <v>0.3282732570968705</v>
      </c>
      <c r="O10" s="13">
        <f>C10/15408.2</f>
        <v>0.004289923547</v>
      </c>
      <c r="P10" s="13">
        <f>C10/5554     </f>
        <v>0.01190133237</v>
      </c>
      <c r="Q10" s="24">
        <v>9.642655114223654</v>
      </c>
      <c r="R10" s="13">
        <v>0.012509335324869305</v>
      </c>
      <c r="S10" s="13">
        <v>0.9493403037092357</v>
      </c>
      <c r="T10" s="13">
        <v>1.835</v>
      </c>
      <c r="U10" s="13">
        <v>0.47697286532237987</v>
      </c>
      <c r="V10" s="13">
        <v>0.03400786594151166</v>
      </c>
      <c r="W10" s="13">
        <v>0.001926025</v>
      </c>
      <c r="X10" s="13">
        <v>0.0</v>
      </c>
    </row>
    <row r="11" ht="14.25" customHeight="1">
      <c r="A11" s="21" t="s">
        <v>105</v>
      </c>
      <c r="B11" s="30">
        <v>41450.0</v>
      </c>
      <c r="C11" s="40">
        <v>125.7</v>
      </c>
      <c r="D11" s="21" t="s">
        <v>116</v>
      </c>
      <c r="E11" s="13">
        <v>9.669776127764138</v>
      </c>
      <c r="F11" s="13">
        <v>0.033</v>
      </c>
      <c r="G11" s="13">
        <v>0.0064495324089003546</v>
      </c>
      <c r="H11" s="13">
        <v>0.10303542357862634</v>
      </c>
      <c r="I11" s="13">
        <v>0.08244640983360815</v>
      </c>
      <c r="J11" s="13">
        <v>0.122</v>
      </c>
      <c r="K11" s="13">
        <v>0.6757902445377718</v>
      </c>
      <c r="L11" s="13">
        <v>4.0E-4</v>
      </c>
      <c r="M11" s="13">
        <v>1.7488632388947187E-5</v>
      </c>
      <c r="N11" s="13">
        <v>1.7488632388947187E-5</v>
      </c>
      <c r="O11" s="13">
        <f>C11/7671.6</f>
        <v>0.01638510871</v>
      </c>
      <c r="P11" s="13">
        <f>C11/8000  </f>
        <v>0.0157125</v>
      </c>
      <c r="Q11" s="24">
        <v>9.0057486660565</v>
      </c>
      <c r="R11" s="13">
        <v>0.004634487583071004</v>
      </c>
      <c r="S11" s="13">
        <v>0.9767821512787956</v>
      </c>
      <c r="T11" s="13">
        <v>1.092</v>
      </c>
      <c r="U11" s="13">
        <v>0.8802285506983494</v>
      </c>
      <c r="V11" s="13">
        <v>0.037326069351395125</v>
      </c>
      <c r="W11" s="13">
        <v>0.001152633390414834</v>
      </c>
      <c r="X11" s="13">
        <v>0.0</v>
      </c>
    </row>
    <row r="12" ht="14.25" customHeight="1">
      <c r="A12" s="21" t="s">
        <v>105</v>
      </c>
      <c r="B12" s="26">
        <v>41785.0</v>
      </c>
      <c r="C12" s="47">
        <v>160.6</v>
      </c>
      <c r="D12" s="21" t="s">
        <v>86</v>
      </c>
      <c r="E12" s="13">
        <v>10.121048099787618</v>
      </c>
      <c r="F12" s="13">
        <v>0.032</v>
      </c>
      <c r="G12" s="13">
        <v>0.007354346967128491</v>
      </c>
      <c r="H12" s="13">
        <v>0.007614990312993259</v>
      </c>
      <c r="I12" s="13">
        <v>0.06753151724873856</v>
      </c>
      <c r="J12" s="13">
        <v>0.135</v>
      </c>
      <c r="K12" s="13">
        <v>0.500233461101767</v>
      </c>
      <c r="L12" s="13">
        <v>0.0018</v>
      </c>
      <c r="M12" s="13">
        <v>1.227023976048492E-6</v>
      </c>
      <c r="N12" s="13">
        <v>1.227023976048492E-6</v>
      </c>
      <c r="O12" s="13">
        <f>C12/8005.2</f>
        <v>0.02006195973</v>
      </c>
      <c r="P12" s="13">
        <f>C12/6119.5</f>
        <v>0.02624397418</v>
      </c>
      <c r="Q12" s="13">
        <v>9.0057486660565</v>
      </c>
      <c r="R12" s="13">
        <v>0.0028277870089483074</v>
      </c>
      <c r="S12" s="13">
        <v>0.6705208920867697</v>
      </c>
      <c r="T12" s="13">
        <v>1.027</v>
      </c>
      <c r="U12" s="13">
        <v>0.600402445159225</v>
      </c>
      <c r="V12" s="13">
        <v>0.037326069351395125</v>
      </c>
      <c r="W12" s="13">
        <v>0.001152633390414834</v>
      </c>
      <c r="X12" s="13">
        <v>0.0</v>
      </c>
    </row>
    <row r="13" ht="14.25" customHeight="1">
      <c r="A13" s="21" t="s">
        <v>105</v>
      </c>
      <c r="B13" s="30">
        <v>42088.0</v>
      </c>
      <c r="C13" s="47">
        <v>260.0</v>
      </c>
      <c r="D13" s="21" t="s">
        <v>122</v>
      </c>
      <c r="E13" s="13">
        <v>22.240060159473998</v>
      </c>
      <c r="F13" s="13">
        <v>0.028</v>
      </c>
      <c r="G13" s="13">
        <v>0.004098924376220737</v>
      </c>
      <c r="H13" s="13">
        <v>0.004858539862037033</v>
      </c>
      <c r="I13" s="13">
        <v>0.09274005698746492</v>
      </c>
      <c r="J13" s="13">
        <v>0.123</v>
      </c>
      <c r="K13" s="13">
        <v>0.7459061992630203</v>
      </c>
      <c r="L13" s="13">
        <v>0.0012</v>
      </c>
      <c r="M13" s="13">
        <v>0.012422360248447206</v>
      </c>
      <c r="N13" s="13">
        <v>0.2932762712720295</v>
      </c>
      <c r="O13" s="13">
        <f t="shared" ref="O13:O15" si="1">C13/8149.8</f>
        <v>0.03190262338</v>
      </c>
      <c r="P13" s="13">
        <f t="shared" ref="P13:P15" si="2">C13/7983.2</f>
        <v>0.03256839363</v>
      </c>
      <c r="Q13" s="13">
        <v>8.977297988482725</v>
      </c>
      <c r="R13" s="13">
        <v>0.0011361078659392718</v>
      </c>
      <c r="S13" s="13">
        <v>0.9628192623873271</v>
      </c>
      <c r="T13" s="13">
        <v>1.346</v>
      </c>
      <c r="U13" s="13">
        <v>0.6573916678277831</v>
      </c>
      <c r="V13" s="13">
        <v>0.08218451749734888</v>
      </c>
      <c r="W13" s="13">
        <v>0.0016963818181818181</v>
      </c>
      <c r="X13" s="13">
        <v>0.0</v>
      </c>
    </row>
    <row r="14" ht="14.25" customHeight="1">
      <c r="A14" s="21" t="s">
        <v>105</v>
      </c>
      <c r="B14" s="30">
        <v>42180.0</v>
      </c>
      <c r="C14" s="47">
        <v>491.09999999999997</v>
      </c>
      <c r="D14" s="21" t="s">
        <v>125</v>
      </c>
      <c r="E14" s="13">
        <v>22.240060159473998</v>
      </c>
      <c r="F14" s="13">
        <v>0.028</v>
      </c>
      <c r="G14" s="13">
        <v>0.0027922202965530523</v>
      </c>
      <c r="H14" s="13">
        <v>0.003309676483199724</v>
      </c>
      <c r="I14" s="13">
        <v>0.09496146879454667</v>
      </c>
      <c r="J14" s="13">
        <v>0.133</v>
      </c>
      <c r="K14" s="13">
        <v>0.7139990670304742</v>
      </c>
      <c r="L14" s="13">
        <v>0.0011</v>
      </c>
      <c r="M14" s="13">
        <v>0.012422360248447206</v>
      </c>
      <c r="N14" s="13">
        <v>0.2932762712720295</v>
      </c>
      <c r="O14" s="13">
        <f t="shared" si="1"/>
        <v>0.06025914746</v>
      </c>
      <c r="P14" s="13">
        <f t="shared" si="2"/>
        <v>0.06151668504</v>
      </c>
      <c r="Q14" s="13">
        <v>8.977297988482725</v>
      </c>
      <c r="R14" s="13">
        <v>0.0011361078659392718</v>
      </c>
      <c r="S14" s="13">
        <v>0.9628192623873271</v>
      </c>
      <c r="T14" s="13">
        <v>1.346</v>
      </c>
      <c r="U14" s="13">
        <v>0.6573916678277831</v>
      </c>
      <c r="V14" s="13">
        <v>0.08218451749734888</v>
      </c>
      <c r="W14" s="13">
        <v>0.0016963818181818181</v>
      </c>
      <c r="X14" s="13">
        <v>0.006172839506172707</v>
      </c>
    </row>
    <row r="15" ht="14.25" customHeight="1">
      <c r="A15" s="21" t="s">
        <v>105</v>
      </c>
      <c r="B15" s="30">
        <v>42272.0</v>
      </c>
      <c r="C15" s="47">
        <v>121.1</v>
      </c>
      <c r="D15" s="21" t="s">
        <v>130</v>
      </c>
      <c r="E15" s="13">
        <v>22.240060159473998</v>
      </c>
      <c r="F15" s="13">
        <v>0.028</v>
      </c>
      <c r="G15" s="13">
        <v>0.0027922202965530523</v>
      </c>
      <c r="H15" s="13">
        <v>0.003309676483199724</v>
      </c>
      <c r="I15" s="13">
        <v>0.09496146879454667</v>
      </c>
      <c r="J15" s="13">
        <v>0.133</v>
      </c>
      <c r="K15" s="13">
        <v>0.7139990670304742</v>
      </c>
      <c r="L15" s="13">
        <v>0.0011</v>
      </c>
      <c r="M15" s="13">
        <v>0.012422360248447206</v>
      </c>
      <c r="N15" s="13">
        <v>0.2932762712720295</v>
      </c>
      <c r="O15" s="13">
        <f t="shared" si="1"/>
        <v>0.01485926035</v>
      </c>
      <c r="P15" s="13">
        <f t="shared" si="2"/>
        <v>0.01516935565</v>
      </c>
      <c r="Q15" s="13">
        <v>8.977297988482725</v>
      </c>
      <c r="R15" s="13">
        <v>0.0011361078659392718</v>
      </c>
      <c r="S15" s="13">
        <v>0.9628192623873271</v>
      </c>
      <c r="T15" s="13">
        <v>1.346</v>
      </c>
      <c r="U15" s="13">
        <v>0.6573916678277831</v>
      </c>
      <c r="V15" s="13">
        <v>0.08218451749734888</v>
      </c>
      <c r="W15" s="13">
        <v>0.0016963818181818181</v>
      </c>
      <c r="X15" s="13">
        <v>0.0</v>
      </c>
    </row>
    <row r="16" ht="14.25" customHeight="1">
      <c r="A16" s="21" t="s">
        <v>105</v>
      </c>
      <c r="B16" s="30">
        <v>42731.0</v>
      </c>
      <c r="C16" s="40">
        <v>66.7</v>
      </c>
      <c r="D16" s="21" t="s">
        <v>132</v>
      </c>
      <c r="E16" s="13">
        <f>(0.026+(548/8983.5))/0.0028284271247462</f>
        <v>30.75940079</v>
      </c>
      <c r="F16" s="13">
        <v>0.024</v>
      </c>
      <c r="G16" s="13">
        <f>18.1/8435.5</f>
        <v>0.002145693794</v>
      </c>
      <c r="H16" s="13">
        <f>18.1/6444.23</f>
        <v>0.002808714152</v>
      </c>
      <c r="I16" s="13">
        <f>884/10205.9</f>
        <v>0.08661656493</v>
      </c>
      <c r="J16" s="13">
        <v>0.126</v>
      </c>
      <c r="K16" s="13">
        <f>(884/0.126)/10205.9</f>
        <v>0.687433055</v>
      </c>
      <c r="L16" s="13">
        <f>(16.5/9943.1)</f>
        <v>0.001659442226</v>
      </c>
      <c r="M16" s="13">
        <f>260.5/8983.5</f>
        <v>0.02899760672</v>
      </c>
      <c r="N16" s="13">
        <f>2339.9/8983.5</f>
        <v>0.2604664106</v>
      </c>
      <c r="O16" s="13">
        <f>C16/7921.2</f>
        <v>0.008420441347</v>
      </c>
      <c r="P16" s="13">
        <f>C16/8094.1335</f>
        <v>0.008240536186</v>
      </c>
      <c r="Q16" s="13">
        <f>LN(8983.5)</f>
        <v>9.10314484</v>
      </c>
      <c r="R16" s="13">
        <f>3.8/10721.6</f>
        <v>0.0003544247127</v>
      </c>
      <c r="S16" s="13">
        <f>10256.9/10721.6</f>
        <v>0.9566575884</v>
      </c>
      <c r="T16" s="13">
        <f>10256.9/6553.5</f>
        <v>1.565102617</v>
      </c>
      <c r="U16" s="13">
        <f>6553.5/10721.6</f>
        <v>0.611242725</v>
      </c>
      <c r="V16" s="13">
        <f>548/8983.5</f>
        <v>0.06100072355</v>
      </c>
      <c r="W16" s="13">
        <f>10721.6/5495788.42</f>
        <v>0.001950875685</v>
      </c>
      <c r="X16" s="13">
        <f>(1.66-1.65)/1.65</f>
        <v>0.006060606061</v>
      </c>
    </row>
    <row r="17" ht="14.25" customHeight="1">
      <c r="A17" s="21" t="s">
        <v>138</v>
      </c>
      <c r="B17" s="30">
        <v>40931.0</v>
      </c>
      <c r="C17" s="40">
        <v>1402.75</v>
      </c>
      <c r="D17" s="21" t="s">
        <v>139</v>
      </c>
      <c r="E17" s="13">
        <v>55.11351921262124</v>
      </c>
      <c r="F17" s="13">
        <v>0.067</v>
      </c>
      <c r="G17" s="13">
        <v>0.0038935049334761847</v>
      </c>
      <c r="H17" s="13">
        <v>0.011967722167579008</v>
      </c>
      <c r="I17" s="13">
        <v>0.0312685996088768</v>
      </c>
      <c r="J17" s="13">
        <v>0.116</v>
      </c>
      <c r="K17" s="13">
        <v>0.26955689317997233</v>
      </c>
      <c r="L17" s="13">
        <v>9.0E-4</v>
      </c>
      <c r="M17" s="13">
        <v>0.05243505477810416</v>
      </c>
      <c r="N17" s="13">
        <v>0.5530270337042961</v>
      </c>
      <c r="O17" s="13">
        <f>C17/1193900</f>
        <v>0.001174930899</v>
      </c>
      <c r="P17" s="13">
        <f>C17/392200</f>
        <v>0.003576619072</v>
      </c>
      <c r="Q17" s="13">
        <v>14.035983345963103</v>
      </c>
      <c r="R17" s="13">
        <v>0.3653111579204053</v>
      </c>
      <c r="S17" s="13">
        <v>0.314230916701025</v>
      </c>
      <c r="T17" s="13">
        <v>1.009</v>
      </c>
      <c r="U17" s="13">
        <v>0.31153332167557307</v>
      </c>
      <c r="V17" s="13">
        <v>0.04241954140082428</v>
      </c>
      <c r="W17" s="13">
        <v>0.16802212643737807</v>
      </c>
      <c r="X17" s="13">
        <v>0.0</v>
      </c>
    </row>
    <row r="18" ht="14.25" customHeight="1">
      <c r="A18" s="21" t="s">
        <v>144</v>
      </c>
      <c r="B18" s="30">
        <v>40528.0</v>
      </c>
      <c r="C18" s="47">
        <v>702.05</v>
      </c>
      <c r="D18" s="21" t="s">
        <v>145</v>
      </c>
      <c r="E18" s="13">
        <v>79.37941111579806</v>
      </c>
      <c r="F18" s="13">
        <v>0.041</v>
      </c>
      <c r="G18" s="13">
        <v>0.004314493737274017</v>
      </c>
      <c r="H18" s="13">
        <v>0.010343705391152563</v>
      </c>
      <c r="I18" s="13">
        <v>0.0521427965524499</v>
      </c>
      <c r="J18" s="13">
        <v>0.13</v>
      </c>
      <c r="K18" s="13">
        <v>0.4010984350188454</v>
      </c>
      <c r="L18" s="13">
        <v>3.796966442144571E-4</v>
      </c>
      <c r="M18" s="13">
        <v>0.03660391899413436</v>
      </c>
      <c r="N18" s="13">
        <v>0.4536613909146698</v>
      </c>
      <c r="O18" s="13">
        <f>C18/30115.4</f>
        <v>0.0233119932</v>
      </c>
      <c r="P18" s="13">
        <f>C18/17167</f>
        <v>0.04089532242</v>
      </c>
      <c r="Q18" s="13">
        <v>10.464088569259953</v>
      </c>
      <c r="R18" s="13">
        <v>0.16375001783955814</v>
      </c>
      <c r="S18" s="13">
        <v>0.4899941486249269</v>
      </c>
      <c r="T18" s="13">
        <v>1.27</v>
      </c>
      <c r="U18" s="13">
        <v>0.38591388488489914</v>
      </c>
      <c r="V18" s="13">
        <v>0.074797699410581</v>
      </c>
      <c r="W18" s="13">
        <v>0.005861924192565694</v>
      </c>
      <c r="X18" s="13">
        <v>0.006410256410256416</v>
      </c>
    </row>
    <row r="19" ht="14.25" customHeight="1">
      <c r="A19" s="21" t="s">
        <v>151</v>
      </c>
      <c r="B19" s="30">
        <v>43565.0</v>
      </c>
      <c r="C19" s="40">
        <v>2000.0</v>
      </c>
      <c r="D19" s="21" t="s">
        <v>152</v>
      </c>
      <c r="E19" s="13">
        <v>72.74613391789231</v>
      </c>
      <c r="F19" s="13">
        <v>0.016</v>
      </c>
      <c r="G19" s="13">
        <v>0.0019952976225246803</v>
      </c>
      <c r="H19" s="13">
        <v>0.005469575660528423</v>
      </c>
      <c r="I19" s="13">
        <v>0.024817518248175182</v>
      </c>
      <c r="J19" s="13">
        <v>0.134</v>
      </c>
      <c r="K19" s="13">
        <v>0.1852053600610088</v>
      </c>
      <c r="L19" s="13">
        <v>8.256315465187923E-4</v>
      </c>
      <c r="M19" s="13">
        <v>0.04458169567658619</v>
      </c>
      <c r="N19" s="13">
        <v>0.45384615384615384</v>
      </c>
      <c r="O19" s="13">
        <f>C19/1713784</f>
        <v>0.001167008211</v>
      </c>
      <c r="P19" s="13">
        <f>C19/485475</f>
        <v>0.004119676605</v>
      </c>
      <c r="Q19" s="13">
        <v>14.392685562271799</v>
      </c>
      <c r="R19" s="13">
        <v>0.2610331274564851</v>
      </c>
      <c r="S19" s="13">
        <v>0.4556428972487367</v>
      </c>
      <c r="T19" s="13">
        <v>1.299</v>
      </c>
      <c r="U19" s="13">
        <v>0.3506457046603032</v>
      </c>
      <c r="V19" s="13">
        <v>0.03879842784952274</v>
      </c>
      <c r="W19" s="13">
        <v>0.222625</v>
      </c>
      <c r="X19" s="13">
        <v>0.0</v>
      </c>
    </row>
    <row r="20" ht="14.25" customHeight="1">
      <c r="A20" s="21" t="s">
        <v>156</v>
      </c>
      <c r="B20" s="29">
        <v>42921.0</v>
      </c>
      <c r="C20" s="40">
        <v>500.0</v>
      </c>
      <c r="D20" s="21" t="s">
        <v>157</v>
      </c>
      <c r="E20" s="13">
        <v>82.0</v>
      </c>
      <c r="F20" s="13">
        <v>0.027</v>
      </c>
      <c r="G20" s="13">
        <v>0.004444699047708908</v>
      </c>
      <c r="H20" s="13">
        <v>0.0014045631797862167</v>
      </c>
      <c r="I20" s="13">
        <v>0.03724011740000737</v>
      </c>
      <c r="J20" s="13">
        <v>0.162</v>
      </c>
      <c r="K20" s="13">
        <v>0.22987726790128005</v>
      </c>
      <c r="L20" s="13">
        <v>7.970325863707427E-5</v>
      </c>
      <c r="M20" s="13">
        <v>2.660739358065929E-5</v>
      </c>
      <c r="N20" s="13">
        <v>0.5466489011146451</v>
      </c>
      <c r="O20" s="13">
        <f>C20/506893</f>
        <v>0.0009864014693</v>
      </c>
      <c r="P20" s="13">
        <f>C20/164437</f>
        <v>0.003040678193</v>
      </c>
      <c r="Q20" s="13">
        <v>13.099270784100135</v>
      </c>
      <c r="R20" s="13">
        <v>0.29558972217787655</v>
      </c>
      <c r="S20" s="13">
        <v>0.33383068692103335</v>
      </c>
      <c r="T20" s="13">
        <v>1.099</v>
      </c>
      <c r="U20" s="13">
        <v>0.3036906501618958</v>
      </c>
      <c r="V20" s="13">
        <v>0.03897983159566586</v>
      </c>
      <c r="W20" s="13">
        <v>0.08430017878395912</v>
      </c>
      <c r="X20" s="13">
        <v>0.0059171597633136145</v>
      </c>
    </row>
    <row r="21" ht="14.25" customHeight="1">
      <c r="A21" s="21" t="s">
        <v>162</v>
      </c>
      <c r="B21" s="30">
        <v>43763.0</v>
      </c>
      <c r="C21" s="21">
        <v>1719.78</v>
      </c>
      <c r="D21" s="21" t="s">
        <v>163</v>
      </c>
      <c r="E21" s="13">
        <v>42.666666666666664</v>
      </c>
      <c r="F21" s="13">
        <v>0.049</v>
      </c>
      <c r="G21" s="13">
        <v>0.003353304646554656</v>
      </c>
      <c r="H21" s="13">
        <v>0.06647684351211575</v>
      </c>
      <c r="I21" s="13">
        <v>0.24177996874808844</v>
      </c>
      <c r="J21" s="13">
        <v>0.305</v>
      </c>
      <c r="K21" s="13">
        <v>0.792721209010126</v>
      </c>
      <c r="L21" s="13">
        <v>2.160565361030472E-5</v>
      </c>
      <c r="M21" s="13">
        <v>0.11065651257583592</v>
      </c>
      <c r="N21" s="13">
        <v>0.1648635648310339</v>
      </c>
      <c r="O21" s="13">
        <f>C21/59163.1</f>
        <v>0.02906845652</v>
      </c>
      <c r="P21" s="13">
        <f>C21/47247.8</f>
        <v>0.03639915509</v>
      </c>
      <c r="Q21" s="13">
        <v>11.183470946462197</v>
      </c>
      <c r="R21" s="13">
        <v>0.009677248942050503</v>
      </c>
      <c r="S21" s="13">
        <v>0.7077918466988082</v>
      </c>
      <c r="T21" s="13">
        <v>14.792</v>
      </c>
      <c r="U21" s="13">
        <v>0.04784823359969749</v>
      </c>
      <c r="V21" s="13">
        <v>0.051443315594258986</v>
      </c>
      <c r="W21" s="13">
        <v>0.008991450000000002</v>
      </c>
      <c r="X21" s="13">
        <v>-0.05172413793103453</v>
      </c>
    </row>
    <row r="22" ht="14.25" customHeight="1">
      <c r="A22" s="21" t="s">
        <v>162</v>
      </c>
      <c r="B22" s="30">
        <v>44160.0</v>
      </c>
      <c r="C22" s="21">
        <v>3399.62</v>
      </c>
      <c r="D22" s="21" t="s">
        <v>166</v>
      </c>
      <c r="E22" s="13">
        <v>36.13108828080987</v>
      </c>
      <c r="F22" s="13">
        <v>0.042</v>
      </c>
      <c r="G22" s="13">
        <v>0.0033612026712497474</v>
      </c>
      <c r="H22" s="13">
        <v>0.09771109055070598</v>
      </c>
      <c r="I22" s="13">
        <v>0.24325950430518412</v>
      </c>
      <c r="J22" s="13">
        <v>0.305</v>
      </c>
      <c r="K22" s="13">
        <v>0.7975721452628988</v>
      </c>
      <c r="L22" s="13">
        <v>2.0128161493729164E-5</v>
      </c>
      <c r="M22" s="13">
        <v>0.08672143979684441</v>
      </c>
      <c r="N22" s="13">
        <v>0.34509587310019535</v>
      </c>
      <c r="O22" s="13">
        <f>C22/94316</f>
        <v>0.03604499767</v>
      </c>
      <c r="P22" s="13">
        <f>C22/52551.8</f>
        <v>0.06469083837</v>
      </c>
      <c r="Q22" s="13">
        <v>11.506824894271949</v>
      </c>
      <c r="R22" s="13">
        <v>0.06142055984497715</v>
      </c>
      <c r="S22" s="13">
        <v>0.5498421398948404</v>
      </c>
      <c r="T22" s="13">
        <v>21.984</v>
      </c>
      <c r="U22" s="13">
        <v>0.025011117617348717</v>
      </c>
      <c r="V22" s="13">
        <v>0.2729198988246515</v>
      </c>
      <c r="W22" s="13">
        <v>0.012423975</v>
      </c>
      <c r="X22" s="13">
        <v>0.0</v>
      </c>
    </row>
    <row r="23" ht="14.25" customHeight="1">
      <c r="A23" s="21" t="s">
        <v>173</v>
      </c>
      <c r="B23" s="30">
        <v>43301.0</v>
      </c>
      <c r="C23" s="40">
        <v>1000.0</v>
      </c>
      <c r="D23" s="21" t="s">
        <v>174</v>
      </c>
      <c r="E23" s="13">
        <v>125.21243512037579</v>
      </c>
      <c r="F23" s="13">
        <v>0.1037671698626411</v>
      </c>
      <c r="G23" s="13">
        <v>0.002998452411658499</v>
      </c>
      <c r="H23" s="13">
        <v>0.0038382170862567067</v>
      </c>
      <c r="I23" s="13">
        <v>0.1021998624011008</v>
      </c>
      <c r="J23" s="13">
        <v>0.155</v>
      </c>
      <c r="K23" s="13">
        <v>0.6593539509748438</v>
      </c>
      <c r="L23" s="13">
        <v>7.309941520467836E-4</v>
      </c>
      <c r="M23" s="13">
        <v>0.038199747735351446</v>
      </c>
      <c r="N23" s="13">
        <v>0.05490024079807362</v>
      </c>
      <c r="O23" s="13">
        <f>C23/16167</f>
        <v>0.06185439475</v>
      </c>
      <c r="P23" s="13">
        <f>C23/14106</f>
        <v>0.07089181908</v>
      </c>
      <c r="Q23" s="13">
        <v>9.76663636978693</v>
      </c>
      <c r="R23" s="13">
        <v>0.0054127966976264185</v>
      </c>
      <c r="S23" s="13">
        <v>0.8431372549019608</v>
      </c>
      <c r="T23" s="13">
        <v>1.2138671068922824</v>
      </c>
      <c r="U23" s="13">
        <v>0.6945877766311203</v>
      </c>
      <c r="V23" s="13">
        <v>0.11088177961242977</v>
      </c>
      <c r="W23" s="13">
        <v>0.0</v>
      </c>
      <c r="X23" s="13">
        <v>0.005847953216374275</v>
      </c>
    </row>
    <row r="24" ht="14.25" customHeight="1">
      <c r="A24" s="21" t="s">
        <v>179</v>
      </c>
      <c r="B24" s="30">
        <v>44253.0</v>
      </c>
      <c r="C24" s="40">
        <v>1400.0</v>
      </c>
      <c r="D24" s="21" t="s">
        <v>180</v>
      </c>
      <c r="E24" s="13">
        <v>47.09660818232</v>
      </c>
      <c r="F24" s="13">
        <v>0.035</v>
      </c>
      <c r="G24" s="13">
        <v>0.004657552501822572</v>
      </c>
      <c r="H24" s="13">
        <v>0.011696867743596155</v>
      </c>
      <c r="I24" s="13">
        <v>0.037488542381305806</v>
      </c>
      <c r="J24" s="13">
        <v>0.142</v>
      </c>
      <c r="K24" s="13">
        <v>0.26400381958666064</v>
      </c>
      <c r="L24" s="13">
        <v>0.0012195864375785393</v>
      </c>
      <c r="M24" s="13">
        <v>0.14702356423733337</v>
      </c>
      <c r="N24" s="13">
        <v>0.46259099192567715</v>
      </c>
      <c r="O24" s="13">
        <f>C24/2660266</f>
        <v>0.0005262631632</v>
      </c>
      <c r="P24" s="13">
        <f>C24/855271</f>
        <v>0.001636908068</v>
      </c>
      <c r="Q24" s="13">
        <v>14.798264083375754</v>
      </c>
      <c r="R24" s="13">
        <v>0.19133708585550657</v>
      </c>
      <c r="S24" s="13">
        <v>0.32584064019690073</v>
      </c>
      <c r="T24" s="13">
        <v>0.857</v>
      </c>
      <c r="U24" s="13">
        <v>0.38023499487050505</v>
      </c>
      <c r="V24" s="13">
        <v>0.04508678222159343</v>
      </c>
      <c r="W24" s="13">
        <v>0.33095540691192865</v>
      </c>
      <c r="X24" s="13">
        <v>0.011976047904191628</v>
      </c>
    </row>
    <row r="25" ht="14.25" customHeight="1">
      <c r="A25" s="21" t="s">
        <v>138</v>
      </c>
      <c r="B25" s="30">
        <v>40505.0</v>
      </c>
      <c r="C25" s="40">
        <v>1859.4</v>
      </c>
      <c r="D25" s="21" t="s">
        <v>145</v>
      </c>
      <c r="E25" s="13">
        <v>98.0</v>
      </c>
      <c r="F25" s="13">
        <v>0.058</v>
      </c>
      <c r="G25" s="13">
        <v>0.009274816176470588</v>
      </c>
      <c r="H25" s="13">
        <v>0.029601056028160752</v>
      </c>
      <c r="I25" s="13">
        <v>0.03199157746973153</v>
      </c>
      <c r="J25" s="13">
        <v>0.113</v>
      </c>
      <c r="K25" s="13">
        <v>0.283111305041872</v>
      </c>
      <c r="L25" s="13">
        <v>0.0036350037397157816</v>
      </c>
      <c r="M25" s="13">
        <v>0.02096859098087384</v>
      </c>
      <c r="N25" s="13">
        <v>0.4921038778733111</v>
      </c>
      <c r="O25" s="13">
        <f>C25/1132072</f>
        <v>0.001642475037</v>
      </c>
      <c r="P25" s="13">
        <f>C25/406110        </f>
        <v>0.004578562458</v>
      </c>
      <c r="Q25" s="13">
        <v>13.946363366383036</v>
      </c>
      <c r="R25" s="13">
        <v>0.39340235128969997</v>
      </c>
      <c r="S25" s="13">
        <v>0.351903842779435</v>
      </c>
      <c r="T25" s="13">
        <v>1.177</v>
      </c>
      <c r="U25" s="13">
        <v>0.29908755922091596</v>
      </c>
      <c r="V25" s="13">
        <v>0.0454465695736094</v>
      </c>
      <c r="W25" s="13">
        <v>0.16898093128765515</v>
      </c>
      <c r="X25" s="13">
        <v>0.006410256410256416</v>
      </c>
    </row>
    <row r="26" ht="14.25" customHeight="1">
      <c r="A26" s="21" t="s">
        <v>105</v>
      </c>
      <c r="B26" s="30">
        <v>41593.0</v>
      </c>
      <c r="C26" s="40">
        <v>188.9</v>
      </c>
      <c r="D26" s="21" t="s">
        <v>189</v>
      </c>
      <c r="E26" s="13">
        <v>10.73502064089275</v>
      </c>
      <c r="F26" s="13">
        <v>0.032</v>
      </c>
      <c r="G26" s="13">
        <v>0.0076984845201830306</v>
      </c>
      <c r="H26" s="13">
        <v>0.010197156276484749</v>
      </c>
      <c r="I26" s="13">
        <v>0.09496183955434488</v>
      </c>
      <c r="J26" s="13">
        <v>0.133</v>
      </c>
      <c r="K26" s="13">
        <v>0.8403702615428751</v>
      </c>
      <c r="L26" s="13">
        <v>0.002972771395</v>
      </c>
      <c r="M26" s="13">
        <v>0.012422360248447206</v>
      </c>
      <c r="N26" s="13">
        <v>0.2932762712720295</v>
      </c>
      <c r="O26" s="13">
        <f>C26/7671.6</f>
        <v>0.02462328589</v>
      </c>
      <c r="P26" s="13">
        <f>C26/5064.44</f>
        <v>0.03729928679</v>
      </c>
      <c r="Q26" s="13">
        <v>8.98784660950347</v>
      </c>
      <c r="R26" s="13">
        <v>0.28085391102358226</v>
      </c>
      <c r="S26" s="13">
        <v>0.6705</v>
      </c>
      <c r="T26" s="13">
        <v>1.11678</v>
      </c>
      <c r="U26" s="13">
        <v>0.600405494</v>
      </c>
      <c r="V26" s="13">
        <v>0.03156698146204967</v>
      </c>
      <c r="W26" s="13">
        <v>0.001152633390414834</v>
      </c>
      <c r="X26" s="13">
        <v>0.0</v>
      </c>
    </row>
    <row r="27" ht="14.25" customHeight="1">
      <c r="A27" s="21" t="s">
        <v>194</v>
      </c>
      <c r="B27" s="30">
        <v>42941.0</v>
      </c>
      <c r="C27" s="40">
        <v>675.0</v>
      </c>
      <c r="D27" s="21" t="s">
        <v>157</v>
      </c>
      <c r="E27" s="13">
        <v>222.0</v>
      </c>
      <c r="F27" s="13">
        <v>0.012</v>
      </c>
      <c r="G27" s="13">
        <v>0.004178706379195376</v>
      </c>
      <c r="H27" s="13">
        <v>0.011728741655748954</v>
      </c>
      <c r="I27" s="13">
        <v>0.09921744553300207</v>
      </c>
      <c r="J27" s="13">
        <v>0.15</v>
      </c>
      <c r="K27" s="13">
        <v>0.6614496368866805</v>
      </c>
      <c r="L27" s="13">
        <v>5.769186830260241E-4</v>
      </c>
      <c r="M27" s="13">
        <v>0.04443863284314711</v>
      </c>
      <c r="N27" s="13">
        <v>0.07485565994085579</v>
      </c>
      <c r="O27" s="13">
        <f>C27/47548</f>
        <v>0.0141961807</v>
      </c>
      <c r="P27" s="13">
        <f>C27/42511</f>
        <v>0.01587824328</v>
      </c>
      <c r="Q27" s="13">
        <v>10.813941282209651</v>
      </c>
      <c r="R27" s="13">
        <v>0.002474401013900903</v>
      </c>
      <c r="S27" s="13">
        <v>0.9043030437144179</v>
      </c>
      <c r="T27" s="13">
        <v>2.804</v>
      </c>
      <c r="U27" s="13">
        <v>0.32245669798225673</v>
      </c>
      <c r="V27" s="13">
        <v>0.0949325071918566</v>
      </c>
      <c r="W27" s="13">
        <v>0.008576745111754786</v>
      </c>
      <c r="X27" s="13">
        <v>0.0059171597633136145</v>
      </c>
    </row>
    <row r="28" ht="14.25" customHeight="1">
      <c r="A28" s="21" t="s">
        <v>200</v>
      </c>
      <c r="B28" s="30">
        <v>42356.0</v>
      </c>
      <c r="C28" s="40">
        <v>3800.0</v>
      </c>
      <c r="D28" s="21" t="s">
        <v>201</v>
      </c>
      <c r="E28" s="13">
        <v>70.0</v>
      </c>
      <c r="F28" s="13">
        <v>0.024</v>
      </c>
      <c r="G28" s="13">
        <v>0.0013755205133456209</v>
      </c>
      <c r="H28" s="13">
        <v>0.0032580663416684856</v>
      </c>
      <c r="I28" s="13">
        <v>0.06198586712034612</v>
      </c>
      <c r="J28" s="13">
        <v>0.235</v>
      </c>
      <c r="K28" s="13">
        <v>0.2637696473206218</v>
      </c>
      <c r="L28" s="13">
        <v>3.488027346134394E-5</v>
      </c>
      <c r="M28" s="13">
        <v>0.018169479861602278</v>
      </c>
      <c r="N28" s="13">
        <v>0.5306488508273915</v>
      </c>
      <c r="O28" s="13">
        <f>C28/298745</f>
        <v>0.01271987816</v>
      </c>
      <c r="P28" s="13">
        <f>C28/123193</f>
        <v>0.03084590845</v>
      </c>
      <c r="Q28" s="13">
        <v>12.65675965435925</v>
      </c>
      <c r="R28" s="13">
        <v>0.3334448416263644</v>
      </c>
      <c r="S28" s="13">
        <v>0.3987568418302653</v>
      </c>
      <c r="T28" s="13">
        <v>1.012</v>
      </c>
      <c r="U28" s="13">
        <v>0.39407986542542006</v>
      </c>
      <c r="V28" s="13">
        <v>0.0665800087932254</v>
      </c>
      <c r="W28" s="13">
        <v>0.039828128000908146</v>
      </c>
      <c r="X28" s="13">
        <v>0.008875739644970487</v>
      </c>
    </row>
    <row r="29" ht="14.25" customHeight="1">
      <c r="A29" s="21" t="s">
        <v>208</v>
      </c>
      <c r="B29" s="30">
        <v>40095.0</v>
      </c>
      <c r="C29" s="40">
        <v>713.4</v>
      </c>
      <c r="D29" s="21" t="s">
        <v>68</v>
      </c>
      <c r="E29" s="13">
        <v>12.37436867076454</v>
      </c>
      <c r="F29" s="13">
        <v>0.058</v>
      </c>
      <c r="G29" s="13">
        <v>0.0033299890874119082</v>
      </c>
      <c r="H29" s="13">
        <v>0.010464227701594787</v>
      </c>
      <c r="I29" s="13">
        <v>0.035501336116268704</v>
      </c>
      <c r="J29" s="13">
        <v>0.108</v>
      </c>
      <c r="K29" s="13">
        <v>0.32871607515063617</v>
      </c>
      <c r="L29" s="13">
        <v>0.0010708851767225612</v>
      </c>
      <c r="M29" s="13">
        <v>0.01121132147276533</v>
      </c>
      <c r="N29" s="13">
        <v>0.5308216790035326</v>
      </c>
      <c r="O29" s="13">
        <f>C29/844103</f>
        <v>0.0008451575222</v>
      </c>
      <c r="P29" s="13">
        <f>C29/408257</f>
        <v>0.001747428703</v>
      </c>
      <c r="Q29" s="13">
        <v>13.648403471896557</v>
      </c>
      <c r="R29" s="13">
        <v>0.2783022045622964</v>
      </c>
      <c r="S29" s="13">
        <v>0.44587399495809643</v>
      </c>
      <c r="T29" s="13">
        <v>1.449</v>
      </c>
      <c r="U29" s="13">
        <v>0.3077747666080848</v>
      </c>
      <c r="V29" s="13">
        <v>0.03284210426788983</v>
      </c>
      <c r="W29" s="13">
        <v>0.09646738194269529</v>
      </c>
      <c r="X29" s="13">
        <v>0.006688963210702198</v>
      </c>
    </row>
    <row r="30" ht="14.25" customHeight="1">
      <c r="A30" s="21" t="s">
        <v>213</v>
      </c>
      <c r="B30" s="34">
        <v>43958.0</v>
      </c>
      <c r="C30" s="40">
        <v>779.3000000000001</v>
      </c>
      <c r="D30" s="21" t="s">
        <v>214</v>
      </c>
      <c r="E30" s="13">
        <v>27.05925700810239</v>
      </c>
      <c r="F30" s="13">
        <v>0.026</v>
      </c>
      <c r="G30" s="13">
        <v>0.005330301509021646</v>
      </c>
      <c r="H30" s="13">
        <v>0.008323470187681571</v>
      </c>
      <c r="I30" s="13">
        <v>0.05113805692147221</v>
      </c>
      <c r="J30" s="13">
        <v>0.127</v>
      </c>
      <c r="K30" s="13">
        <v>0.4026618655234032</v>
      </c>
      <c r="L30" s="13">
        <v>5.790119022553597E-4</v>
      </c>
      <c r="M30" s="13">
        <v>0.021690135598271494</v>
      </c>
      <c r="N30" s="13">
        <v>0.13542132320071523</v>
      </c>
      <c r="O30" s="13">
        <f>C30/19644.3</f>
        <v>0.03967054056</v>
      </c>
      <c r="P30" s="13">
        <f>C30/15301.8</f>
        <v>0.05092864892</v>
      </c>
      <c r="Q30" s="13">
        <v>9.974654059963921</v>
      </c>
      <c r="R30" s="13">
        <v>1.2572641931157802E-4</v>
      </c>
      <c r="S30" s="13">
        <v>0.7519464312323052</v>
      </c>
      <c r="T30" s="13">
        <v>1.2410808982891925</v>
      </c>
      <c r="U30" s="13">
        <v>0.605880271196543</v>
      </c>
      <c r="V30" s="13">
        <v>0.05389006854418119</v>
      </c>
      <c r="W30" s="13">
        <v>0.002182215063319262</v>
      </c>
      <c r="X30" s="13">
        <v>0.0900621118012421</v>
      </c>
    </row>
    <row r="31" ht="14.25" customHeight="1">
      <c r="A31" s="21" t="s">
        <v>213</v>
      </c>
      <c r="B31" s="29">
        <v>44384.0</v>
      </c>
      <c r="C31" s="40">
        <v>255.7</v>
      </c>
      <c r="D31" s="21" t="s">
        <v>220</v>
      </c>
      <c r="E31" s="13">
        <v>26.678918753997014</v>
      </c>
      <c r="F31" s="13">
        <v>0.018</v>
      </c>
      <c r="G31" s="13">
        <v>0.0023934283296434644</v>
      </c>
      <c r="H31" s="13">
        <v>0.003982193904398902</v>
      </c>
      <c r="I31" s="13">
        <v>0.055243985308411535</v>
      </c>
      <c r="J31" s="13">
        <v>0.137</v>
      </c>
      <c r="K31" s="13">
        <v>0.4032407686745367</v>
      </c>
      <c r="L31" s="13">
        <v>5.51847064586764E-4</v>
      </c>
      <c r="M31" s="13">
        <v>0.03314371622445248</v>
      </c>
      <c r="N31" s="13">
        <v>0.15107065946121653</v>
      </c>
      <c r="O31" s="13">
        <f>C31/22807</f>
        <v>0.01121147016</v>
      </c>
      <c r="P31" s="13">
        <f>C31/16227.4</f>
        <v>0.01575729938</v>
      </c>
      <c r="Q31" s="13">
        <v>10.11094877644823</v>
      </c>
      <c r="R31" s="13">
        <v>2.3973020194222099E-4</v>
      </c>
      <c r="S31" s="13">
        <v>0.7142984844175368</v>
      </c>
      <c r="T31" s="13">
        <v>1.23647696187871</v>
      </c>
      <c r="U31" s="13">
        <v>0.5713949047174028</v>
      </c>
      <c r="V31" s="13">
        <v>0.0493072203486246</v>
      </c>
      <c r="W31" s="13">
        <v>0.0026709527078328647</v>
      </c>
      <c r="X31" s="13">
        <v>-0.002793296089385539</v>
      </c>
    </row>
    <row r="32" ht="14.25" customHeight="1">
      <c r="A32" s="21" t="s">
        <v>213</v>
      </c>
      <c r="B32" s="26">
        <v>42866.0</v>
      </c>
      <c r="C32" s="40">
        <v>310.0</v>
      </c>
      <c r="D32" s="21" t="s">
        <v>94</v>
      </c>
      <c r="E32" s="13">
        <v>61.237243569579164</v>
      </c>
      <c r="F32" s="13">
        <v>0.035</v>
      </c>
      <c r="G32" s="13">
        <v>0.009354270125576871</v>
      </c>
      <c r="H32" s="13">
        <v>0.01005684990210494</v>
      </c>
      <c r="I32" s="13">
        <v>0.04334873879391948</v>
      </c>
      <c r="J32" s="13">
        <v>0.124</v>
      </c>
      <c r="K32" s="13">
        <v>0.34958660317677</v>
      </c>
      <c r="L32" s="13">
        <v>8.4731938956755E-4</v>
      </c>
      <c r="M32" s="13">
        <v>0.021430758950943814</v>
      </c>
      <c r="N32" s="13">
        <v>0.16981736176847265</v>
      </c>
      <c r="O32" s="13">
        <f>C32/14127.8</f>
        <v>0.02194255298</v>
      </c>
      <c r="P32" s="13">
        <f>C32/10751.4</f>
        <v>0.02883345425</v>
      </c>
      <c r="Q32" s="13">
        <v>9.572703109704527</v>
      </c>
      <c r="R32" s="13">
        <v>2.7841193830391448E-5</v>
      </c>
      <c r="S32" s="13">
        <v>0.7680550141990088</v>
      </c>
      <c r="T32" s="13">
        <v>1.311402224824356</v>
      </c>
      <c r="U32" s="13">
        <v>0.8851898769419233</v>
      </c>
      <c r="V32" s="13">
        <v>0.04832535219110195</v>
      </c>
      <c r="W32" s="13">
        <v>0.0018113570125604373</v>
      </c>
      <c r="X32" s="13">
        <v>0.008547008547008619</v>
      </c>
    </row>
    <row r="33" ht="14.25" customHeight="1">
      <c r="A33" s="21" t="s">
        <v>230</v>
      </c>
      <c r="B33" s="30">
        <v>42809.0</v>
      </c>
      <c r="C33" s="40">
        <v>700.0</v>
      </c>
      <c r="D33" s="21" t="s">
        <v>231</v>
      </c>
      <c r="E33" s="13">
        <v>52.0</v>
      </c>
      <c r="F33" s="13">
        <v>0.084</v>
      </c>
      <c r="G33" s="13">
        <v>0.001912635735439289</v>
      </c>
      <c r="H33" s="13">
        <v>0.003521183896668668</v>
      </c>
      <c r="I33" s="13">
        <v>0.06671147996</v>
      </c>
      <c r="J33" s="13">
        <v>0.136</v>
      </c>
      <c r="K33" s="13">
        <v>0.4905</v>
      </c>
      <c r="L33" s="13">
        <v>8.0E-4</v>
      </c>
      <c r="M33" s="13">
        <v>0.004957426371229018</v>
      </c>
      <c r="N33" s="13">
        <v>0.28876805105579345</v>
      </c>
      <c r="O33" s="13">
        <f>C33/12845.3</f>
        <v>0.05449464006</v>
      </c>
      <c r="P33" s="13">
        <f>C33/7158.3</f>
        <v>0.09778858109</v>
      </c>
      <c r="Q33" s="13">
        <v>9.41610172439263</v>
      </c>
      <c r="R33" s="13">
        <v>0.0031909870895267247</v>
      </c>
      <c r="S33" s="13">
        <v>0.5867101899939762</v>
      </c>
      <c r="T33" s="13">
        <v>1.363</v>
      </c>
      <c r="U33" s="13">
        <v>0.5016606157302639</v>
      </c>
      <c r="V33" s="13">
        <v>0.07643716523126516</v>
      </c>
      <c r="W33" s="13">
        <v>0.004865643939393939</v>
      </c>
      <c r="X33" s="13">
        <v>0.0125</v>
      </c>
    </row>
    <row r="34" ht="14.25" customHeight="1">
      <c r="A34" s="21" t="s">
        <v>230</v>
      </c>
      <c r="B34" s="30">
        <v>41971.0</v>
      </c>
      <c r="C34" s="40">
        <v>410.0</v>
      </c>
      <c r="D34" s="21" t="s">
        <v>238</v>
      </c>
      <c r="E34" s="13">
        <v>33.800000000000004</v>
      </c>
      <c r="F34" s="13">
        <v>0.0822</v>
      </c>
      <c r="G34" s="13">
        <v>0.002569142699496517</v>
      </c>
      <c r="H34" s="13">
        <v>0.004421430585023517</v>
      </c>
      <c r="I34" s="13">
        <v>0.0439</v>
      </c>
      <c r="J34" s="13">
        <v>0.137</v>
      </c>
      <c r="K34" s="13">
        <v>0.3205</v>
      </c>
      <c r="L34" s="13">
        <v>8.0E-4</v>
      </c>
      <c r="M34" s="13">
        <v>0.005423046323207066</v>
      </c>
      <c r="N34" s="13">
        <v>0.3688320966406339</v>
      </c>
      <c r="O34" s="13">
        <f>C34/12585.6</f>
        <v>0.0325769133</v>
      </c>
      <c r="P34" s="13">
        <f>C34/7451.6</f>
        <v>0.0550217403</v>
      </c>
      <c r="Q34" s="13">
        <v>9.418800649713164</v>
      </c>
      <c r="R34" s="13">
        <v>0.00795596616278881</v>
      </c>
      <c r="S34" s="13">
        <v>0.603492506778808</v>
      </c>
      <c r="T34" s="13">
        <v>1.103</v>
      </c>
      <c r="U34" s="13">
        <v>0.5471675136793908</v>
      </c>
      <c r="V34" s="13">
        <v>0.05833833963857183</v>
      </c>
      <c r="W34" s="13">
        <v>0.004644132841328414</v>
      </c>
      <c r="X34" s="13">
        <v>-0.0136</v>
      </c>
    </row>
    <row r="35" ht="14.25" customHeight="1">
      <c r="A35" s="21" t="s">
        <v>243</v>
      </c>
      <c r="B35" s="30">
        <v>42459.0</v>
      </c>
      <c r="C35" s="21">
        <v>1171.27</v>
      </c>
      <c r="D35" s="21" t="s">
        <v>244</v>
      </c>
      <c r="E35" s="13">
        <v>9.229595979298137</v>
      </c>
      <c r="F35" s="13">
        <v>0.339</v>
      </c>
      <c r="G35" s="13">
        <v>0.0032446111883895853</v>
      </c>
      <c r="H35" s="13">
        <v>0.00739154769825546</v>
      </c>
      <c r="I35" s="13">
        <v>0.06532815751433188</v>
      </c>
      <c r="J35" s="13">
        <v>0.108</v>
      </c>
      <c r="K35" s="13">
        <v>0.6048903473549248</v>
      </c>
      <c r="L35" s="13">
        <v>0.0013763854801806987</v>
      </c>
      <c r="M35" s="13">
        <v>0.0035035856908119294</v>
      </c>
      <c r="N35" s="13">
        <v>0.22677086482112982</v>
      </c>
      <c r="O35" s="13">
        <f>C35/37646.86</f>
        <v>0.03111202369</v>
      </c>
      <c r="P35" s="13">
        <f>C35/27708.444</f>
        <v>0.04227122967</v>
      </c>
      <c r="Q35" s="13">
        <v>10.536004830015692</v>
      </c>
      <c r="R35" s="13">
        <v>0.07267533069159021</v>
      </c>
      <c r="S35" s="13">
        <v>0.7360094307998064</v>
      </c>
      <c r="T35" s="13">
        <v>1.834</v>
      </c>
      <c r="U35" s="13">
        <v>0.4013065631502867</v>
      </c>
      <c r="V35" s="13">
        <v>0.08578364835739288</v>
      </c>
      <c r="W35" s="13">
        <v>0.013943281481481481</v>
      </c>
      <c r="X35" s="13">
        <v>0.0113</v>
      </c>
    </row>
    <row r="36" ht="14.25" customHeight="1">
      <c r="A36" s="21" t="s">
        <v>243</v>
      </c>
      <c r="B36" s="30">
        <v>41473.0</v>
      </c>
      <c r="C36" s="21">
        <v>1569.03</v>
      </c>
      <c r="D36" s="21" t="s">
        <v>251</v>
      </c>
      <c r="E36" s="13">
        <v>205.7947014973708</v>
      </c>
      <c r="F36" s="13">
        <v>0.182</v>
      </c>
      <c r="G36" s="13">
        <v>0.0045516702805219866</v>
      </c>
      <c r="H36" s="13">
        <v>0.00879599656983795</v>
      </c>
      <c r="I36" s="13">
        <v>0.055332000958793266</v>
      </c>
      <c r="J36" s="13">
        <v>0.086</v>
      </c>
      <c r="K36" s="13">
        <v>0.6433953599859682</v>
      </c>
      <c r="L36" s="13">
        <v>0.0013756715634049323</v>
      </c>
      <c r="M36" s="13">
        <v>0.052815356538037414</v>
      </c>
      <c r="N36" s="13">
        <v>0.22333671242451453</v>
      </c>
      <c r="O36" s="13">
        <f>C36/46474.867</f>
        <v>0.03376082819</v>
      </c>
      <c r="P36" s="13">
        <f>C36/31358.357</f>
        <v>0.05003546582</v>
      </c>
      <c r="Q36" s="13">
        <v>10.719649150073336</v>
      </c>
      <c r="R36" s="13">
        <v>0.048237213748359736</v>
      </c>
      <c r="S36" s="13">
        <v>0.6941243671056979</v>
      </c>
      <c r="T36" s="13">
        <v>1.46</v>
      </c>
      <c r="U36" s="13">
        <v>0.4755137547550869</v>
      </c>
      <c r="V36" s="13">
        <v>0.08108076860592692</v>
      </c>
      <c r="W36" s="13">
        <v>0.017604116287878786</v>
      </c>
      <c r="X36" s="13">
        <v>-0.0233</v>
      </c>
    </row>
    <row r="37" ht="14.25" customHeight="1">
      <c r="A37" s="21" t="s">
        <v>260</v>
      </c>
      <c r="B37" s="30">
        <v>41820.0</v>
      </c>
      <c r="C37" s="40">
        <v>31768.100000000002</v>
      </c>
      <c r="D37" s="21" t="s">
        <v>86</v>
      </c>
      <c r="E37" s="13">
        <v>7.48385796773997</v>
      </c>
      <c r="F37" s="13">
        <v>0.246</v>
      </c>
      <c r="G37" s="13">
        <v>0.0036782643626439367</v>
      </c>
      <c r="H37" s="13">
        <v>0.009252232288057313</v>
      </c>
      <c r="I37" s="13">
        <v>0.04671171596862485</v>
      </c>
      <c r="J37" s="13">
        <v>0.137</v>
      </c>
      <c r="K37" s="13">
        <v>0.34096143042791854</v>
      </c>
      <c r="L37" s="13">
        <v>0.0</v>
      </c>
      <c r="M37" s="13">
        <v>0.0042899811231300825</v>
      </c>
      <c r="N37" s="13">
        <v>0.2943378125861153</v>
      </c>
      <c r="O37" s="13">
        <f>C37/126043.9</f>
        <v>0.2520399639</v>
      </c>
      <c r="P37" s="13">
        <f>C37/84210.3</f>
        <v>0.3772472014</v>
      </c>
      <c r="Q37" s="13">
        <v>11.743412387613185</v>
      </c>
      <c r="R37" s="13">
        <v>0.06664638945118896</v>
      </c>
      <c r="S37" s="13">
        <v>0.6644634386716147</v>
      </c>
      <c r="T37" s="13">
        <v>1.814</v>
      </c>
      <c r="U37" s="13">
        <v>0.36624939545573304</v>
      </c>
      <c r="V37" s="13">
        <v>0.07874283381763053</v>
      </c>
      <c r="W37" s="13">
        <v>0.046682925925925926</v>
      </c>
      <c r="X37" s="13">
        <v>-0.00455</v>
      </c>
    </row>
    <row r="38" ht="14.25" customHeight="1">
      <c r="A38" s="21" t="s">
        <v>260</v>
      </c>
      <c r="B38" s="30">
        <v>42426.0</v>
      </c>
      <c r="C38" s="21">
        <v>2385.07</v>
      </c>
      <c r="D38" s="21" t="s">
        <v>244</v>
      </c>
      <c r="E38" s="13">
        <v>17.75</v>
      </c>
      <c r="F38" s="13">
        <v>0.25</v>
      </c>
      <c r="G38" s="13">
        <v>0.0021935214528010488</v>
      </c>
      <c r="H38" s="13">
        <v>0.0055212590686419686</v>
      </c>
      <c r="I38" s="13">
        <v>0.05305867715881063</v>
      </c>
      <c r="J38" s="13">
        <v>0.149</v>
      </c>
      <c r="K38" s="13">
        <v>0.3560985044215479</v>
      </c>
      <c r="L38" s="13">
        <v>0.0</v>
      </c>
      <c r="M38" s="13">
        <v>0.0046944637341156635</v>
      </c>
      <c r="N38" s="13">
        <v>0.3021053542109105</v>
      </c>
      <c r="O38" s="13">
        <f>C38/122150.4</f>
        <v>0.01952568309</v>
      </c>
      <c r="P38" s="13">
        <f>C38/85495</f>
        <v>0.02789718697</v>
      </c>
      <c r="Q38" s="13">
        <v>11.72560566585923</v>
      </c>
      <c r="R38" s="13">
        <v>0.0661962232485495</v>
      </c>
      <c r="S38" s="13">
        <v>0.6509273728384004</v>
      </c>
      <c r="T38" s="13">
        <v>1.766</v>
      </c>
      <c r="U38" s="13">
        <v>0.3684988306282433</v>
      </c>
      <c r="V38" s="13">
        <v>0.07245981977204326</v>
      </c>
      <c r="W38" s="13">
        <v>0.045240888888888886</v>
      </c>
      <c r="X38" s="21">
        <v>0.0129</v>
      </c>
    </row>
    <row r="39" ht="14.25" customHeight="1">
      <c r="A39" s="21" t="s">
        <v>260</v>
      </c>
      <c r="B39" s="30">
        <v>41344.0</v>
      </c>
      <c r="C39" s="21">
        <v>5249.780000000001</v>
      </c>
      <c r="D39" s="21" t="s">
        <v>275</v>
      </c>
      <c r="E39" s="13">
        <v>5.25902065609705</v>
      </c>
      <c r="F39" s="13">
        <v>0.202</v>
      </c>
      <c r="G39" s="13">
        <v>0.003927358329192698</v>
      </c>
      <c r="H39" s="13">
        <v>0.012436931870943777</v>
      </c>
      <c r="I39" s="13">
        <v>0.05208392519611965</v>
      </c>
      <c r="J39" s="13">
        <v>0.111</v>
      </c>
      <c r="K39" s="13">
        <v>0.4692245513163933</v>
      </c>
      <c r="L39" s="13">
        <v>0.0</v>
      </c>
      <c r="M39" s="13">
        <v>0.004184892376940389</v>
      </c>
      <c r="N39" s="13">
        <v>0.2825483293900398</v>
      </c>
      <c r="O39" s="13">
        <f>C39/131259</f>
        <v>0.03999558126</v>
      </c>
      <c r="P39" s="13">
        <f>C39/87710</f>
        <v>0.05985383651</v>
      </c>
      <c r="Q39" s="13">
        <v>11.790545837867578</v>
      </c>
      <c r="R39" s="13">
        <v>0.0706576211093308</v>
      </c>
      <c r="S39" s="13">
        <v>0.6825532108319413</v>
      </c>
      <c r="T39" s="13">
        <v>2.3240025175662153</v>
      </c>
      <c r="U39" s="13">
        <v>0.2936972768629946</v>
      </c>
      <c r="V39" s="13">
        <v>0.06993640079243325</v>
      </c>
      <c r="W39" s="13">
        <v>0.04687821428571429</v>
      </c>
      <c r="X39" s="21">
        <v>-0.0184</v>
      </c>
    </row>
    <row r="40" ht="14.25" customHeight="1">
      <c r="A40" s="21" t="s">
        <v>260</v>
      </c>
      <c r="B40" s="30">
        <v>41912.0</v>
      </c>
      <c r="C40" s="21">
        <v>3528.2999999999997</v>
      </c>
      <c r="D40" s="21" t="s">
        <v>282</v>
      </c>
      <c r="E40" s="13">
        <v>4.546321496100711</v>
      </c>
      <c r="F40" s="13">
        <v>0.265</v>
      </c>
      <c r="G40" s="13">
        <v>0.003710263787842821</v>
      </c>
      <c r="H40" s="13">
        <v>0.008902603390792366</v>
      </c>
      <c r="I40" s="13">
        <v>0.04779102011103194</v>
      </c>
      <c r="J40" s="13">
        <v>0.123</v>
      </c>
      <c r="K40" s="13">
        <v>0.3885448789514792</v>
      </c>
      <c r="L40" s="13">
        <v>0.0</v>
      </c>
      <c r="M40" s="13">
        <v>0.005604407478934724</v>
      </c>
      <c r="N40" s="13">
        <v>0.3048991036035414</v>
      </c>
      <c r="O40" s="13">
        <f>C40/125921.3</f>
        <v>0.02801988226</v>
      </c>
      <c r="P40" s="13">
        <f>C40/83670.1</f>
        <v>0.04216918589</v>
      </c>
      <c r="Q40" s="13">
        <v>11.720603641495288</v>
      </c>
      <c r="R40" s="13">
        <v>0.06351390986637331</v>
      </c>
      <c r="S40" s="13">
        <v>0.6650411880888872</v>
      </c>
      <c r="T40" s="13">
        <v>1.708</v>
      </c>
      <c r="U40" s="13">
        <v>0.3894145108492977</v>
      </c>
      <c r="V40" s="13">
        <v>0.06561739072502248</v>
      </c>
      <c r="W40" s="13">
        <v>0.04681089219330855</v>
      </c>
      <c r="X40" s="13">
        <v>-0.00455</v>
      </c>
    </row>
    <row r="41" ht="14.25" customHeight="1">
      <c r="A41" s="21" t="s">
        <v>289</v>
      </c>
      <c r="B41" s="30">
        <v>43448.0</v>
      </c>
      <c r="C41" s="21">
        <v>5279.72</v>
      </c>
      <c r="D41" s="21" t="s">
        <v>58</v>
      </c>
      <c r="E41" s="13">
        <v>146.00000000000003</v>
      </c>
      <c r="F41" s="13">
        <v>0.087</v>
      </c>
      <c r="G41" s="13">
        <v>0.0010856640645194645</v>
      </c>
      <c r="H41" s="13">
        <v>0.0022266106479702057</v>
      </c>
      <c r="I41" s="13">
        <v>0.05155677213968744</v>
      </c>
      <c r="J41" s="13">
        <v>0.153</v>
      </c>
      <c r="K41" s="13">
        <v>0.3369723669260617</v>
      </c>
      <c r="L41" s="13">
        <v>0.0025955</v>
      </c>
      <c r="M41" s="13">
        <v>0.008832963534632452</v>
      </c>
      <c r="N41" s="13">
        <v>0.33234130812270885</v>
      </c>
      <c r="O41" s="13">
        <f>C41/787790</f>
        <v>0.006701938334</v>
      </c>
      <c r="P41" s="13">
        <f>C41/394315</f>
        <v>0.01338959969</v>
      </c>
      <c r="Q41" s="13">
        <v>13.628313133423534</v>
      </c>
      <c r="R41" s="13">
        <v>0.05875578815357901</v>
      </c>
      <c r="S41" s="13">
        <v>0.5002351437391472</v>
      </c>
      <c r="T41" s="13">
        <v>1.058</v>
      </c>
      <c r="U41" s="13">
        <v>0.4549187246768281</v>
      </c>
      <c r="V41" s="13">
        <v>0.06699787767702103</v>
      </c>
      <c r="W41" s="13">
        <v>0.29285873605947954</v>
      </c>
      <c r="X41" s="13">
        <v>0.009</v>
      </c>
    </row>
    <row r="42" ht="14.25" customHeight="1">
      <c r="A42" s="21" t="s">
        <v>296</v>
      </c>
      <c r="B42" s="29">
        <v>41122.0</v>
      </c>
      <c r="C42" s="40">
        <v>417.7</v>
      </c>
      <c r="D42" s="21" t="s">
        <v>49</v>
      </c>
      <c r="E42" s="13">
        <v>131.98227153674748</v>
      </c>
      <c r="F42" s="13">
        <v>0.167</v>
      </c>
      <c r="G42" s="13">
        <v>0.0035383388215081916</v>
      </c>
      <c r="H42" s="13">
        <v>0.011345006229916715</v>
      </c>
      <c r="I42" s="13">
        <v>0.061778837059735935</v>
      </c>
      <c r="J42" s="13">
        <v>0.111</v>
      </c>
      <c r="K42" s="13">
        <v>0.5565660996372607</v>
      </c>
      <c r="L42" s="13">
        <v>0.00117567156340493</v>
      </c>
      <c r="M42" s="13">
        <v>0.004823516059</v>
      </c>
      <c r="N42" s="13">
        <v>0.3531759543</v>
      </c>
      <c r="O42" s="13">
        <f>C42/5286.6</f>
        <v>0.07901108463</v>
      </c>
      <c r="P42" s="13">
        <f>C42/3230.3</f>
        <v>0.1293068755</v>
      </c>
      <c r="Q42" s="13">
        <v>8.57293059610074</v>
      </c>
      <c r="R42" s="13">
        <v>0.002118563916316725</v>
      </c>
      <c r="S42" s="13">
        <v>0.6110354481140998</v>
      </c>
      <c r="T42" s="13">
        <v>2.1183684176011544</v>
      </c>
      <c r="U42" s="13">
        <v>0.2884462603563727</v>
      </c>
      <c r="V42" s="13">
        <v>0.07515227178148526</v>
      </c>
      <c r="W42" s="13">
        <v>0.001958</v>
      </c>
      <c r="X42" s="13">
        <v>-0.03</v>
      </c>
    </row>
    <row r="43" ht="14.25" customHeight="1">
      <c r="A43" s="21" t="s">
        <v>296</v>
      </c>
      <c r="B43" s="30">
        <v>43755.0</v>
      </c>
      <c r="C43" s="40">
        <v>458.5</v>
      </c>
      <c r="D43" s="21" t="s">
        <v>163</v>
      </c>
      <c r="E43" s="13">
        <v>69.66587791347013</v>
      </c>
      <c r="F43" s="13">
        <v>0.088</v>
      </c>
      <c r="G43" s="13">
        <v>0.0010390740159002489</v>
      </c>
      <c r="H43" s="13">
        <v>0.0014659257491562402</v>
      </c>
      <c r="I43" s="13">
        <v>0.06719251457758893</v>
      </c>
      <c r="J43" s="13">
        <v>0.143</v>
      </c>
      <c r="K43" s="13">
        <v>0.46987772431880376</v>
      </c>
      <c r="L43" s="13">
        <v>9.885968015071241E-4</v>
      </c>
      <c r="M43" s="13">
        <v>0.02140306468</v>
      </c>
      <c r="N43" s="13">
        <v>0.06875197758</v>
      </c>
      <c r="O43" s="13">
        <f>C43/4337.8</f>
        <v>0.1056987413</v>
      </c>
      <c r="P43" s="13">
        <f>C43/3761.3</f>
        <v>0.1218993433</v>
      </c>
      <c r="Q43" s="13">
        <v>8.375122586128507</v>
      </c>
      <c r="R43" s="13">
        <v>0.0035962930517773983</v>
      </c>
      <c r="S43" s="13">
        <v>0.8670985292083545</v>
      </c>
      <c r="T43" s="13">
        <v>1.3885484347312462</v>
      </c>
      <c r="U43" s="13">
        <v>0.6244640140163217</v>
      </c>
      <c r="V43" s="13">
        <v>0.06567845451611415</v>
      </c>
      <c r="W43" s="13">
        <v>0.0014106666666666666</v>
      </c>
      <c r="X43" s="13">
        <v>0.005</v>
      </c>
    </row>
    <row r="44" ht="14.25" customHeight="1">
      <c r="A44" s="21" t="s">
        <v>310</v>
      </c>
      <c r="B44" s="30">
        <v>40598.0</v>
      </c>
      <c r="C44" s="40">
        <v>933.642</v>
      </c>
      <c r="D44" s="21" t="s">
        <v>311</v>
      </c>
      <c r="E44" s="13">
        <v>68.0</v>
      </c>
      <c r="F44" s="13">
        <v>0.101</v>
      </c>
      <c r="G44" s="13">
        <v>0.004446318355185875</v>
      </c>
      <c r="H44" s="13">
        <v>0.009874854521804614</v>
      </c>
      <c r="I44" s="13">
        <v>0.05869848544753392</v>
      </c>
      <c r="J44" s="13">
        <v>0.083</v>
      </c>
      <c r="K44" s="13">
        <v>0.07072106680425774</v>
      </c>
      <c r="L44" s="13">
        <v>0.0</v>
      </c>
      <c r="M44" s="13">
        <v>0.00577271584555979</v>
      </c>
      <c r="N44" s="13">
        <v>0.12057359409123365</v>
      </c>
      <c r="O44" s="13">
        <f>C44/35839.63</f>
        <v>0.02605054795</v>
      </c>
      <c r="P44" s="13">
        <f>C44/29028.728</f>
        <v>0.0321626907</v>
      </c>
      <c r="Q44" s="13">
        <v>10.486809543374862</v>
      </c>
      <c r="R44" s="13">
        <v>0.021536578363113686</v>
      </c>
      <c r="S44" s="13">
        <v>0.8099617099841712</v>
      </c>
      <c r="T44" s="13">
        <v>1.987</v>
      </c>
      <c r="U44" s="13">
        <v>0.4075655914974569</v>
      </c>
      <c r="V44" s="13">
        <v>0.09483518663557633</v>
      </c>
      <c r="W44" s="13">
        <v>0.012754316725978647</v>
      </c>
      <c r="X44" s="13">
        <v>0.007</v>
      </c>
    </row>
    <row r="45" ht="14.25" customHeight="1">
      <c r="A45" s="21" t="s">
        <v>310</v>
      </c>
      <c r="B45" s="30">
        <v>41134.0</v>
      </c>
      <c r="C45" s="21">
        <v>1446.3500000000001</v>
      </c>
      <c r="D45" s="21" t="s">
        <v>49</v>
      </c>
      <c r="E45" s="13">
        <v>36.373066958946474</v>
      </c>
      <c r="F45" s="13">
        <v>0.134</v>
      </c>
      <c r="G45" s="13">
        <v>0.004959484588155949</v>
      </c>
      <c r="H45" s="13">
        <v>0.011637050487505416</v>
      </c>
      <c r="I45" s="13">
        <v>0.05014893572682499</v>
      </c>
      <c r="J45" s="13">
        <v>0.079</v>
      </c>
      <c r="K45" s="13">
        <v>0.6347966547699366</v>
      </c>
      <c r="L45" s="13">
        <v>0.0</v>
      </c>
      <c r="M45" s="13">
        <v>0.006144434354585665</v>
      </c>
      <c r="N45" s="13">
        <v>0.21980794002366408</v>
      </c>
      <c r="O45" s="13">
        <f>C45/40164.641</f>
        <v>0.03601052976</v>
      </c>
      <c r="P45" s="13">
        <f>C45/27517.713</f>
        <v>0.05256069064</v>
      </c>
      <c r="Q45" s="13">
        <v>10.600742310437754</v>
      </c>
      <c r="R45" s="13">
        <v>0.015638257541004785</v>
      </c>
      <c r="S45" s="13">
        <v>0.6851228422532146</v>
      </c>
      <c r="T45" s="13">
        <v>1.741</v>
      </c>
      <c r="U45" s="13">
        <v>0.39343775038347784</v>
      </c>
      <c r="V45" s="13">
        <v>0.07682847208817327</v>
      </c>
      <c r="W45" s="13">
        <v>0.014739317798165138</v>
      </c>
      <c r="X45" s="13">
        <v>-0.03</v>
      </c>
    </row>
    <row r="46" ht="14.25" customHeight="1">
      <c r="A46" s="21" t="s">
        <v>310</v>
      </c>
      <c r="B46" s="30">
        <v>42307.0</v>
      </c>
      <c r="C46" s="21">
        <v>1962.5700000000002</v>
      </c>
      <c r="D46" s="21" t="s">
        <v>201</v>
      </c>
      <c r="E46" s="13">
        <v>5.250976759525742</v>
      </c>
      <c r="F46" s="13">
        <v>0.327</v>
      </c>
      <c r="G46" s="13">
        <v>0.002957070570387238</v>
      </c>
      <c r="H46" s="13">
        <v>0.006661756597085467</v>
      </c>
      <c r="I46" s="13">
        <v>0.0752073198864753</v>
      </c>
      <c r="J46" s="13">
        <v>0.107</v>
      </c>
      <c r="K46" s="13">
        <v>0.7028721484717319</v>
      </c>
      <c r="L46" s="13">
        <v>8.224400074E-4</v>
      </c>
      <c r="M46" s="13">
        <v>0.008972954086026202</v>
      </c>
      <c r="N46" s="13">
        <v>0.10381973258514715</v>
      </c>
      <c r="O46" s="13">
        <f>C46/33349.346</f>
        <v>0.0588488302</v>
      </c>
      <c r="P46" s="13">
        <f>C46/23042.311</f>
        <v>0.08517244646</v>
      </c>
      <c r="Q46" s="13">
        <v>10.331379945087619</v>
      </c>
      <c r="R46" s="13">
        <v>0.008435934058269085</v>
      </c>
      <c r="S46" s="13">
        <v>0.7653429777036952</v>
      </c>
      <c r="T46" s="13">
        <v>1.85</v>
      </c>
      <c r="U46" s="13">
        <v>0.41378181915371437</v>
      </c>
      <c r="V46" s="13">
        <v>0.06782280033976067</v>
      </c>
      <c r="W46" s="13">
        <v>0.012260788970588235</v>
      </c>
      <c r="X46" s="13">
        <v>0.008</v>
      </c>
    </row>
    <row r="47" ht="14.25" customHeight="1">
      <c r="A47" s="21" t="s">
        <v>338</v>
      </c>
      <c r="B47" s="30">
        <v>41260.0</v>
      </c>
      <c r="C47" s="40">
        <v>2156.7</v>
      </c>
      <c r="D47" s="21" t="s">
        <v>339</v>
      </c>
      <c r="E47" s="13">
        <v>16.535966928099224</v>
      </c>
      <c r="F47" s="13">
        <v>0.168</v>
      </c>
      <c r="G47" s="13">
        <v>0.003674034395067982</v>
      </c>
      <c r="H47" s="13">
        <v>0.006876935964621769</v>
      </c>
      <c r="I47" s="13">
        <v>0.06003830220277731</v>
      </c>
      <c r="J47" s="13">
        <v>0.083</v>
      </c>
      <c r="K47" s="13">
        <v>0.7233530385876784</v>
      </c>
      <c r="L47" s="13">
        <v>6.666541864E-4</v>
      </c>
      <c r="M47" s="13">
        <v>0.0057629590454898755</v>
      </c>
      <c r="N47" s="13">
        <v>0.14978565189868345</v>
      </c>
      <c r="O47" s="13">
        <f>C47/61637.8</f>
        <v>0.03498989257</v>
      </c>
      <c r="P47" s="13">
        <f>C47/51859.1</f>
        <v>0.04158768664</v>
      </c>
      <c r="Q47" s="13">
        <v>11.041296515607051</v>
      </c>
      <c r="R47" s="13">
        <v>0.022659198538426406</v>
      </c>
      <c r="S47" s="13">
        <v>0.8397381347308028</v>
      </c>
      <c r="T47" s="13">
        <v>1.701</v>
      </c>
      <c r="U47" s="13">
        <v>0.4935791725762638</v>
      </c>
      <c r="V47" s="13">
        <v>0.07613484298500765</v>
      </c>
      <c r="W47" s="13">
        <v>0.023259547169811323</v>
      </c>
      <c r="X47" s="13">
        <v>-0.03</v>
      </c>
    </row>
    <row r="48" ht="14.25" customHeight="1">
      <c r="A48" s="21" t="s">
        <v>346</v>
      </c>
      <c r="B48" s="30">
        <v>41192.0</v>
      </c>
      <c r="C48" s="40">
        <v>643.987</v>
      </c>
      <c r="D48" s="21" t="s">
        <v>339</v>
      </c>
      <c r="E48" s="13">
        <v>1.526413457990263</v>
      </c>
      <c r="F48" s="13">
        <v>0.361</v>
      </c>
      <c r="G48" s="13">
        <v>0.0034314816740179223</v>
      </c>
      <c r="H48" s="13">
        <v>0.005556255299912724</v>
      </c>
      <c r="I48" s="13">
        <v>0.02971234867312174</v>
      </c>
      <c r="J48" s="13">
        <v>0.062</v>
      </c>
      <c r="K48" s="13">
        <v>0.47923143021164094</v>
      </c>
      <c r="L48" s="13">
        <v>4.171747641E-4</v>
      </c>
      <c r="M48" s="13">
        <v>0.004193745118049793</v>
      </c>
      <c r="N48" s="13">
        <v>0.44941544767801356</v>
      </c>
      <c r="O48" s="13">
        <f>C48/14690.79</f>
        <v>0.04383610412</v>
      </c>
      <c r="P48" s="13">
        <f>C48/7630.955</f>
        <v>0.08439140317</v>
      </c>
      <c r="Q48" s="13">
        <v>9.624838756908613</v>
      </c>
      <c r="R48" s="13">
        <v>0.006745258838910624</v>
      </c>
      <c r="S48" s="13">
        <v>0.4755792983310841</v>
      </c>
      <c r="T48" s="13">
        <v>0.803</v>
      </c>
      <c r="U48" s="13">
        <v>0.5921990011570342</v>
      </c>
      <c r="V48" s="13">
        <v>0.0411113474113202</v>
      </c>
      <c r="W48" s="13">
        <v>0.005543694339622642</v>
      </c>
      <c r="X48" s="13">
        <v>-0.03</v>
      </c>
    </row>
    <row r="49" ht="14.25" customHeight="1">
      <c r="A49" s="21" t="s">
        <v>289</v>
      </c>
      <c r="B49" s="30">
        <v>44186.0</v>
      </c>
      <c r="C49" s="40">
        <v>10095.1</v>
      </c>
      <c r="D49" s="21" t="s">
        <v>166</v>
      </c>
      <c r="E49" s="13">
        <v>10.90617030259548</v>
      </c>
      <c r="F49" s="13">
        <v>0.039</v>
      </c>
      <c r="G49" s="13">
        <v>6.096784855158576E-4</v>
      </c>
      <c r="H49" s="13">
        <v>0.0011373885558757094</v>
      </c>
      <c r="I49" s="13">
        <v>0.05224778861473437</v>
      </c>
      <c r="J49" s="13">
        <v>0.168</v>
      </c>
      <c r="K49" s="13">
        <v>0.31099874175437126</v>
      </c>
      <c r="L49" s="13">
        <v>7.517445865E-4</v>
      </c>
      <c r="M49" s="13">
        <v>0.008248819741202524</v>
      </c>
      <c r="N49" s="13">
        <v>0.31798630460071076</v>
      </c>
      <c r="O49" s="13">
        <f>C49/1002614</f>
        <v>0.01006878021</v>
      </c>
      <c r="P49" s="13">
        <f>C49/511353</f>
        <v>0.01974193952</v>
      </c>
      <c r="Q49" s="13">
        <v>13.816138360854794</v>
      </c>
      <c r="R49" s="13">
        <v>0.053614330200634004</v>
      </c>
      <c r="S49" s="13">
        <v>0.5005206730173452</v>
      </c>
      <c r="T49" s="13">
        <v>1.017937979</v>
      </c>
      <c r="U49" s="13">
        <v>0.5008334765767098</v>
      </c>
      <c r="V49" s="13">
        <v>0.06566776064631412</v>
      </c>
      <c r="W49" s="13">
        <v>0.32342387096774194</v>
      </c>
      <c r="X49" s="13">
        <v>-0.09</v>
      </c>
    </row>
    <row r="50" ht="14.25" customHeight="1">
      <c r="A50" s="21" t="s">
        <v>360</v>
      </c>
      <c r="B50" s="30">
        <v>40840.0</v>
      </c>
      <c r="C50" s="40">
        <v>4587.0</v>
      </c>
      <c r="D50" s="21" t="s">
        <v>361</v>
      </c>
      <c r="E50" s="13">
        <v>3.33784146529252</v>
      </c>
      <c r="F50" s="13">
        <v>0.113</v>
      </c>
      <c r="G50" s="13">
        <v>0.004090474796463114</v>
      </c>
      <c r="H50" s="13">
        <v>0.006682492073175324</v>
      </c>
      <c r="I50" s="13">
        <v>0.05297498668364301</v>
      </c>
      <c r="J50" s="13">
        <v>0.109</v>
      </c>
      <c r="K50" s="13">
        <v>0.48600905214351386</v>
      </c>
      <c r="L50" s="13">
        <v>9.546089187E-4</v>
      </c>
      <c r="M50" s="13">
        <v>0.009907155251038783</v>
      </c>
      <c r="N50" s="13">
        <v>0.25934261673649045</v>
      </c>
      <c r="O50" s="13">
        <f>C50/913567.1</f>
        <v>0.00502097766</v>
      </c>
      <c r="P50" s="13">
        <f>C50/611371.1</f>
        <v>0.007502808033</v>
      </c>
      <c r="Q50" s="13">
        <v>13.72511210585192</v>
      </c>
      <c r="R50" s="13">
        <v>0.14859232441968012</v>
      </c>
      <c r="S50" s="13">
        <v>0.7124985129621473</v>
      </c>
      <c r="T50" s="13">
        <v>1.252</v>
      </c>
      <c r="U50" s="13">
        <v>0.5692091530796956</v>
      </c>
      <c r="V50" s="13">
        <v>0.07009923231335934</v>
      </c>
      <c r="W50" s="13">
        <v>0.32627396428571426</v>
      </c>
      <c r="X50" s="13">
        <v>0.007</v>
      </c>
    </row>
    <row r="51" ht="14.25" customHeight="1">
      <c r="A51" s="21" t="s">
        <v>360</v>
      </c>
      <c r="B51" s="30">
        <v>43780.0</v>
      </c>
      <c r="C51" s="21">
        <v>11066.31</v>
      </c>
      <c r="D51" s="21" t="s">
        <v>163</v>
      </c>
      <c r="E51" s="13">
        <v>18.628376028055207</v>
      </c>
      <c r="F51" s="13">
        <v>0.041</v>
      </c>
      <c r="G51" s="13">
        <v>0.0011352391796456698</v>
      </c>
      <c r="H51" s="13">
        <v>0.001494436721047671</v>
      </c>
      <c r="I51" s="13">
        <v>0.06681730111497755</v>
      </c>
      <c r="J51" s="13">
        <v>0.155</v>
      </c>
      <c r="K51" s="13">
        <v>0.40251386213841894</v>
      </c>
      <c r="L51" s="13">
        <v>9.546089187E-4</v>
      </c>
      <c r="M51" s="13">
        <v>0.023747841600086163</v>
      </c>
      <c r="N51" s="13">
        <v>0.26664359790227016</v>
      </c>
      <c r="O51" s="13">
        <f>C51/855647</f>
        <v>0.0129332657</v>
      </c>
      <c r="P51" s="13">
        <f>C51/505883</f>
        <v>0.02187523597</v>
      </c>
      <c r="Q51" s="13">
        <v>13.679407862371859</v>
      </c>
      <c r="R51" s="13">
        <v>0.09258862473116677</v>
      </c>
      <c r="S51" s="13">
        <v>0.6921603248570901</v>
      </c>
      <c r="T51" s="13">
        <v>0.98</v>
      </c>
      <c r="U51" s="13">
        <v>0.7063315737671483</v>
      </c>
      <c r="V51" s="13">
        <v>0.07018022281218168</v>
      </c>
      <c r="W51" s="13">
        <v>0.28054</v>
      </c>
      <c r="X51" s="13">
        <v>0.005</v>
      </c>
    </row>
    <row r="52" ht="14.25" customHeight="1">
      <c r="A52" s="21" t="s">
        <v>338</v>
      </c>
      <c r="B52" s="30">
        <v>44012.0</v>
      </c>
      <c r="C52" s="40">
        <v>362.5</v>
      </c>
      <c r="D52" s="21" t="s">
        <v>214</v>
      </c>
      <c r="E52" s="13">
        <v>26.623100377007205</v>
      </c>
      <c r="F52" s="13">
        <v>0.072</v>
      </c>
      <c r="G52" s="13">
        <v>5.326785675636027E-4</v>
      </c>
      <c r="H52" s="13">
        <v>8.377870318888598E-4</v>
      </c>
      <c r="I52" s="13">
        <v>0.05590737773364327</v>
      </c>
      <c r="J52" s="13">
        <v>0.147</v>
      </c>
      <c r="K52" s="13">
        <v>0.3803222975077774</v>
      </c>
      <c r="L52" s="13">
        <v>6.666541864E-4</v>
      </c>
      <c r="M52" s="13">
        <v>0.005238213455505653</v>
      </c>
      <c r="N52" s="13">
        <v>0.14088785574036877</v>
      </c>
      <c r="O52" s="13">
        <f>C52/85935.5</f>
        <v>0.004218279989</v>
      </c>
      <c r="P52" s="13">
        <f>C52/66629.7</f>
        <v>0.005440516767</v>
      </c>
      <c r="Q52" s="13">
        <v>11.3920902762298</v>
      </c>
      <c r="R52" s="13">
        <v>0.003754316278859825</v>
      </c>
      <c r="S52" s="13">
        <v>0.7646561646618069</v>
      </c>
      <c r="T52" s="13">
        <v>1.281</v>
      </c>
      <c r="U52" s="13">
        <v>0.5966891602157576</v>
      </c>
      <c r="V52" s="13">
        <v>0.06153828793247421</v>
      </c>
      <c r="W52" s="13">
        <v>0.027721129032258065</v>
      </c>
      <c r="X52" s="13">
        <v>-0.09</v>
      </c>
    </row>
    <row r="53" ht="14.25" customHeight="1">
      <c r="A53" s="21" t="s">
        <v>338</v>
      </c>
      <c r="B53" s="30">
        <v>44377.0</v>
      </c>
      <c r="C53" s="40">
        <v>382.7</v>
      </c>
      <c r="D53" s="21" t="s">
        <v>381</v>
      </c>
      <c r="E53" s="13">
        <v>8.731282501307975</v>
      </c>
      <c r="F53" s="13">
        <v>0.046</v>
      </c>
      <c r="G53" s="13">
        <v>5.336913283412103E-4</v>
      </c>
      <c r="H53" s="13">
        <v>7.452349959719994E-4</v>
      </c>
      <c r="I53" s="13">
        <v>0.050734007928493016</v>
      </c>
      <c r="J53" s="13">
        <v>0.15</v>
      </c>
      <c r="K53" s="13">
        <v>0.3382267195232868</v>
      </c>
      <c r="L53" s="13">
        <v>6.666541864E-4</v>
      </c>
      <c r="M53" s="13">
        <v>0.004867549150619754</v>
      </c>
      <c r="N53" s="13">
        <v>0.10192637487208803</v>
      </c>
      <c r="O53" s="13">
        <f>C53/134801.6</f>
        <v>0.002838987074</v>
      </c>
      <c r="P53" s="13">
        <f>C53/94244.7</f>
        <v>0.004060705801</v>
      </c>
      <c r="Q53" s="13">
        <v>11.806894979964158</v>
      </c>
      <c r="R53" s="13">
        <v>0.00381816786076022</v>
      </c>
      <c r="S53" s="13">
        <v>0.7095203775983926</v>
      </c>
      <c r="T53" s="13">
        <v>1.045</v>
      </c>
      <c r="U53" s="13">
        <v>0.6790585082240042</v>
      </c>
      <c r="V53" s="13">
        <v>0.05177742682466017</v>
      </c>
      <c r="W53" s="13">
        <v>0.04112249660621406</v>
      </c>
      <c r="X53" s="13">
        <v>0.067</v>
      </c>
    </row>
    <row r="54" ht="14.25" customHeight="1">
      <c r="A54" s="21" t="s">
        <v>338</v>
      </c>
      <c r="B54" s="30">
        <v>44552.0</v>
      </c>
      <c r="C54" s="40">
        <v>687.0</v>
      </c>
      <c r="D54" s="21" t="s">
        <v>112</v>
      </c>
      <c r="E54" s="13">
        <v>21.54816584</v>
      </c>
      <c r="F54" s="13">
        <v>0.042</v>
      </c>
      <c r="G54" s="13">
        <v>4.8404212407613116E-4</v>
      </c>
      <c r="H54" s="13">
        <v>6.868275501499683E-4</v>
      </c>
      <c r="I54" s="13">
        <v>0.048004776843793236</v>
      </c>
      <c r="J54" s="13">
        <v>0.144</v>
      </c>
      <c r="K54" s="13">
        <v>0.33336650585967526</v>
      </c>
      <c r="L54" s="13">
        <v>6.666541864E-4</v>
      </c>
      <c r="M54" s="13">
        <v>0.00927685446897739</v>
      </c>
      <c r="N54" s="13">
        <v>0.11863329845923228</v>
      </c>
      <c r="O54" s="13">
        <f>C54/136347.9</f>
        <v>0.005038581452</v>
      </c>
      <c r="P54" s="13">
        <f>C54/96762.2</f>
        <v>0.007099879912</v>
      </c>
      <c r="Q54" s="13">
        <v>11.822964986614975</v>
      </c>
      <c r="R54" s="13">
        <v>0.004971840417050794</v>
      </c>
      <c r="S54" s="13">
        <v>0.7096713627419271</v>
      </c>
      <c r="T54" s="13">
        <v>1.0377055175379613</v>
      </c>
      <c r="U54" s="13">
        <v>0.6838851203428876</v>
      </c>
      <c r="V54" s="13">
        <v>0.050303671710382046</v>
      </c>
      <c r="W54" s="13">
        <v>0.04159420997239212</v>
      </c>
      <c r="X54" s="13">
        <v>0.067</v>
      </c>
    </row>
    <row r="55" ht="14.25" customHeight="1">
      <c r="A55" s="21" t="s">
        <v>338</v>
      </c>
      <c r="B55" s="29">
        <v>42340.0</v>
      </c>
      <c r="C55" s="21">
        <v>911.46</v>
      </c>
      <c r="D55" s="21" t="s">
        <v>201</v>
      </c>
      <c r="E55" s="13">
        <v>25.697584588021627</v>
      </c>
      <c r="F55" s="13">
        <v>0.232</v>
      </c>
      <c r="G55" s="13">
        <v>0.0015780034576048456</v>
      </c>
      <c r="H55" s="13">
        <v>0.0027335064450422154</v>
      </c>
      <c r="I55" s="13">
        <v>0.0754466873807151</v>
      </c>
      <c r="J55" s="13">
        <v>0.116</v>
      </c>
      <c r="K55" s="13">
        <v>0.6504024774199576</v>
      </c>
      <c r="L55" s="13">
        <v>6.666541864E-4</v>
      </c>
      <c r="M55" s="13">
        <v>0.00576964414828132</v>
      </c>
      <c r="N55" s="13">
        <v>0.2134572919312919</v>
      </c>
      <c r="O55" s="13">
        <f>C55/61261.2</f>
        <v>0.014878259</v>
      </c>
      <c r="P55" s="13">
        <f>C55/49513.4</f>
        <v>0.01840835006</v>
      </c>
      <c r="Q55" s="13">
        <v>11.025288884976936</v>
      </c>
      <c r="R55" s="13">
        <v>0.013257316683928374</v>
      </c>
      <c r="S55" s="13">
        <v>0.8101977605377837</v>
      </c>
      <c r="T55" s="13">
        <v>1.547</v>
      </c>
      <c r="U55" s="13">
        <v>0.5236566809320019</v>
      </c>
      <c r="V55" s="13">
        <v>0.09289241071137774</v>
      </c>
      <c r="W55" s="13">
        <v>0.022481174311926606</v>
      </c>
      <c r="X55" s="13">
        <v>0.008</v>
      </c>
    </row>
    <row r="56" ht="14.25" customHeight="1">
      <c r="A56" s="21" t="s">
        <v>394</v>
      </c>
      <c r="B56" s="30">
        <v>41087.0</v>
      </c>
      <c r="C56" s="40">
        <v>1945.9</v>
      </c>
      <c r="D56" s="21" t="s">
        <v>395</v>
      </c>
      <c r="E56" s="13">
        <v>4.608798140722408</v>
      </c>
      <c r="F56" s="13">
        <v>0.248</v>
      </c>
      <c r="G56" s="13">
        <v>0.004247483305368525</v>
      </c>
      <c r="H56" s="13">
        <v>0.012538051701251997</v>
      </c>
      <c r="I56" s="13">
        <v>0.038472582499984136</v>
      </c>
      <c r="J56" s="13">
        <v>0.056</v>
      </c>
      <c r="K56" s="13">
        <v>0.687010401785431</v>
      </c>
      <c r="L56" s="13">
        <v>0.0012153367519314327</v>
      </c>
      <c r="M56" s="13">
        <v>0.028125843896062323</v>
      </c>
      <c r="N56" s="13">
        <v>0.15156699380161648</v>
      </c>
      <c r="O56" s="13">
        <f>C56/23915.557</f>
        <v>0.0813654476</v>
      </c>
      <c r="P56" s="13">
        <f>C56/19662.627</f>
        <v>0.09896439575</v>
      </c>
      <c r="Q56" s="13">
        <v>10.029783935484007</v>
      </c>
      <c r="R56" s="13">
        <v>0.0084227437171828</v>
      </c>
      <c r="S56" s="13">
        <v>0.8453120450012094</v>
      </c>
      <c r="T56" s="13">
        <v>2.607</v>
      </c>
      <c r="U56" s="13">
        <v>0.3242535552041109</v>
      </c>
      <c r="V56" s="13">
        <v>0.04284312681691043</v>
      </c>
      <c r="W56" s="13">
        <v>0.009024738490566038</v>
      </c>
      <c r="X56" s="13">
        <v>-0.03</v>
      </c>
    </row>
    <row r="57" ht="14.25" customHeight="1">
      <c r="A57" s="21" t="s">
        <v>402</v>
      </c>
      <c r="B57" s="30">
        <v>41127.0</v>
      </c>
      <c r="C57" s="40">
        <v>2783.9</v>
      </c>
      <c r="D57" s="21" t="s">
        <v>49</v>
      </c>
      <c r="E57" s="13">
        <v>5.198019326234924</v>
      </c>
      <c r="F57" s="13">
        <v>0.136</v>
      </c>
      <c r="G57" s="13">
        <v>0.004747572467662761</v>
      </c>
      <c r="H57" s="13">
        <v>0.00852270899933748</v>
      </c>
      <c r="I57" s="13">
        <v>0.05408397750877205</v>
      </c>
      <c r="J57" s="13">
        <v>0.081</v>
      </c>
      <c r="K57" s="13">
        <v>0.6677034260342228</v>
      </c>
      <c r="L57" s="13">
        <v>0.001150783933</v>
      </c>
      <c r="M57" s="13">
        <v>0.007602998384404655</v>
      </c>
      <c r="N57" s="13">
        <v>0.15899063757480073</v>
      </c>
      <c r="O57" s="13">
        <f>C57/30538</f>
        <v>0.09116183116</v>
      </c>
      <c r="P57" s="13">
        <f>C57/23447.3</f>
        <v>0.1187300883</v>
      </c>
      <c r="Q57" s="13">
        <v>10.305483316088813</v>
      </c>
      <c r="R57" s="13">
        <v>0.0035656824803235202</v>
      </c>
      <c r="S57" s="13">
        <v>0.7990507123002666</v>
      </c>
      <c r="T57" s="13">
        <v>1.537</v>
      </c>
      <c r="U57" s="13">
        <v>0.5200243510023047</v>
      </c>
      <c r="V57" s="13">
        <v>0.06646686357083366</v>
      </c>
      <c r="W57" s="13">
        <v>0.01131037037037037</v>
      </c>
      <c r="X57" s="13">
        <v>-0.03</v>
      </c>
    </row>
    <row r="58" ht="14.25" customHeight="1">
      <c r="A58" s="21" t="s">
        <v>402</v>
      </c>
      <c r="B58" s="30">
        <v>41684.0</v>
      </c>
      <c r="C58" s="40">
        <v>726.7</v>
      </c>
      <c r="D58" s="21" t="s">
        <v>118</v>
      </c>
      <c r="E58" s="13">
        <v>192.71153532950737</v>
      </c>
      <c r="F58" s="13">
        <v>0.219</v>
      </c>
      <c r="G58" s="13">
        <v>0.0034737931905909013</v>
      </c>
      <c r="H58" s="13">
        <v>0.005666405148799234</v>
      </c>
      <c r="I58" s="13">
        <v>0.07525166912016178</v>
      </c>
      <c r="J58" s="13">
        <v>0.116</v>
      </c>
      <c r="K58" s="13">
        <v>0.648721285518636</v>
      </c>
      <c r="L58" s="13">
        <v>0.001150783933</v>
      </c>
      <c r="M58" s="13">
        <v>0.006215520958796151</v>
      </c>
      <c r="N58" s="13">
        <v>0.1673581061991643</v>
      </c>
      <c r="O58" s="13">
        <f>C58/26625.3</f>
        <v>0.02729358918</v>
      </c>
      <c r="P58" s="13">
        <f>C58/21362</f>
        <v>0.03401835034</v>
      </c>
      <c r="Q58" s="13">
        <v>10.199896435367851</v>
      </c>
      <c r="R58" s="13">
        <v>0.002394016445852106</v>
      </c>
      <c r="S58" s="13">
        <v>0.7838173410060817</v>
      </c>
      <c r="T58" s="13">
        <v>1.402</v>
      </c>
      <c r="U58" s="13">
        <v>0.5591143626117083</v>
      </c>
      <c r="V58" s="13">
        <v>0.0879801043850649</v>
      </c>
      <c r="W58" s="13">
        <v>0.009861222222222223</v>
      </c>
      <c r="X58" s="13">
        <v>-0.00455</v>
      </c>
    </row>
    <row r="59" ht="14.25" customHeight="1">
      <c r="A59" s="21" t="s">
        <v>402</v>
      </c>
      <c r="B59" s="30">
        <v>43311.0</v>
      </c>
      <c r="C59" s="40">
        <v>1490.0</v>
      </c>
      <c r="D59" s="21" t="s">
        <v>174</v>
      </c>
      <c r="E59" s="13">
        <v>40.66666666666667</v>
      </c>
      <c r="F59" s="13">
        <v>0.087</v>
      </c>
      <c r="G59" s="13">
        <v>4.858189059840041E-4</v>
      </c>
      <c r="H59" s="13">
        <v>8.355603433393411E-4</v>
      </c>
      <c r="I59" s="13">
        <v>0.07034038840012541</v>
      </c>
      <c r="J59" s="13">
        <v>0.183</v>
      </c>
      <c r="K59" s="13">
        <v>0.3843737071045104</v>
      </c>
      <c r="L59" s="13">
        <v>0.001150783933</v>
      </c>
      <c r="M59" s="13">
        <v>0.0075625077910451135</v>
      </c>
      <c r="N59" s="13">
        <v>0.11414400495604905</v>
      </c>
      <c r="O59" s="13">
        <f>C59/26600.7</f>
        <v>0.05601356355</v>
      </c>
      <c r="P59" s="13">
        <f>C59/23624.2</f>
        <v>0.0630709188</v>
      </c>
      <c r="Q59" s="13">
        <v>10.183869292285987</v>
      </c>
      <c r="R59" s="13">
        <v>0.0015109905676413814</v>
      </c>
      <c r="S59" s="13">
        <v>0.8568940833386847</v>
      </c>
      <c r="T59" s="13">
        <v>1.566</v>
      </c>
      <c r="U59" s="13">
        <v>0.5470276926796284</v>
      </c>
      <c r="V59" s="13">
        <v>0.05916661315241739</v>
      </c>
      <c r="W59" s="13">
        <v>0.009333578947368422</v>
      </c>
      <c r="X59" s="13">
        <v>0.009</v>
      </c>
    </row>
    <row r="60" ht="14.25" customHeight="1">
      <c r="A60" s="21" t="s">
        <v>435</v>
      </c>
      <c r="B60" s="29">
        <v>42222.0</v>
      </c>
      <c r="C60" s="21">
        <v>3002.66</v>
      </c>
      <c r="D60" s="21" t="s">
        <v>130</v>
      </c>
      <c r="E60" s="13">
        <v>48.02499349297218</v>
      </c>
      <c r="F60" s="13">
        <v>0.341</v>
      </c>
      <c r="G60" s="13">
        <v>0.002691511387163561</v>
      </c>
      <c r="H60" s="13">
        <v>0.004997961204636804</v>
      </c>
      <c r="I60" s="13">
        <v>0.05318083923035051</v>
      </c>
      <c r="J60" s="13">
        <v>0.125</v>
      </c>
      <c r="K60" s="13">
        <v>0.4254467138428041</v>
      </c>
      <c r="L60" s="13">
        <v>6.953711651795053E-4</v>
      </c>
      <c r="M60" s="13">
        <v>0.007035003431708991</v>
      </c>
      <c r="N60" s="13">
        <v>0.2534849596478357</v>
      </c>
      <c r="O60" s="13">
        <f>C60/170202</f>
        <v>0.01764174334</v>
      </c>
      <c r="P60" s="13">
        <f>C60/115437</f>
        <v>0.02601124423</v>
      </c>
      <c r="Q60" s="13">
        <v>12.03772499730157</v>
      </c>
      <c r="R60" s="13">
        <v>0.1107258656190093</v>
      </c>
      <c r="S60" s="13">
        <v>0.7923342721226895</v>
      </c>
      <c r="T60" s="13">
        <v>1.56</v>
      </c>
      <c r="U60" s="13">
        <v>0.5078633469812794</v>
      </c>
      <c r="V60" s="13">
        <v>0.056930868814048706</v>
      </c>
      <c r="W60" s="13">
        <v>0.06303777777777778</v>
      </c>
      <c r="X60" s="13">
        <v>0.008</v>
      </c>
    </row>
    <row r="61" ht="14.25" customHeight="1">
      <c r="A61" s="21" t="s">
        <v>435</v>
      </c>
      <c r="B61" s="30">
        <v>42670.0</v>
      </c>
      <c r="C61" s="40">
        <v>1739.3</v>
      </c>
      <c r="D61" s="21" t="s">
        <v>132</v>
      </c>
      <c r="E61" s="13">
        <v>1.682904582015215</v>
      </c>
      <c r="F61" s="13">
        <v>0.373</v>
      </c>
      <c r="G61" s="13">
        <v>0.0011354697349333113</v>
      </c>
      <c r="H61" s="13">
        <v>0.0025278121715481563</v>
      </c>
      <c r="I61" s="13">
        <v>0.031021218430075416</v>
      </c>
      <c r="J61" s="13">
        <v>0.072</v>
      </c>
      <c r="K61" s="13">
        <v>0.4308502559732697</v>
      </c>
      <c r="L61" s="13">
        <v>0.0011931991880487003</v>
      </c>
      <c r="M61" s="13">
        <v>0.005907747475548471</v>
      </c>
      <c r="N61" s="13">
        <v>0.2214575355869375</v>
      </c>
      <c r="O61" s="13">
        <f>C61/153178.5</f>
        <v>0.01135472668</v>
      </c>
      <c r="P61" s="13">
        <f>C61/128231.9</f>
        <v>0.01356370763</v>
      </c>
      <c r="Q61" s="13">
        <v>11.910389314881796</v>
      </c>
      <c r="R61" s="13">
        <v>0.17816519112984408</v>
      </c>
      <c r="S61" s="13">
        <v>0.8293594418452117</v>
      </c>
      <c r="T61" s="13">
        <v>1.925</v>
      </c>
      <c r="U61" s="13">
        <v>0.4309450111085275</v>
      </c>
      <c r="V61" s="13">
        <v>0.04061904000279561</v>
      </c>
      <c r="W61" s="13">
        <v>0.05780320754716981</v>
      </c>
      <c r="X61" s="13">
        <v>0.013</v>
      </c>
    </row>
    <row r="62" ht="14.25" customHeight="1">
      <c r="A62" s="21" t="s">
        <v>435</v>
      </c>
      <c r="B62" s="30">
        <v>43641.0</v>
      </c>
      <c r="C62" s="40">
        <v>2258.3999999999996</v>
      </c>
      <c r="D62" s="21" t="s">
        <v>152</v>
      </c>
      <c r="E62" s="13">
        <v>77.29047924432967</v>
      </c>
      <c r="F62" s="13">
        <v>0.135</v>
      </c>
      <c r="G62" s="13">
        <v>0.001463017243252072</v>
      </c>
      <c r="H62" s="13">
        <v>0.0019219418871354733</v>
      </c>
      <c r="I62" s="13">
        <v>0.06421503011760206</v>
      </c>
      <c r="J62" s="13">
        <v>0.148</v>
      </c>
      <c r="K62" s="13">
        <v>0.4338853386324463</v>
      </c>
      <c r="L62" s="13">
        <v>0.0017650691867409757</v>
      </c>
      <c r="M62" s="13">
        <v>0.005047984989004684</v>
      </c>
      <c r="N62" s="13">
        <v>0.17677882087197627</v>
      </c>
      <c r="O62" s="13">
        <f>C62/131538.9</f>
        <v>0.01716906558</v>
      </c>
      <c r="P62" s="13">
        <f>C62/105912.6</f>
        <v>0.02132324199</v>
      </c>
      <c r="Q62" s="13">
        <v>11.80466330167984</v>
      </c>
      <c r="R62" s="13">
        <v>0.07868522325270101</v>
      </c>
      <c r="S62" s="13">
        <v>0.8054822700544985</v>
      </c>
      <c r="T62" s="13">
        <v>1.14</v>
      </c>
      <c r="U62" s="13">
        <v>0.7066954895305478</v>
      </c>
      <c r="V62" s="13">
        <v>0.07162566330433119</v>
      </c>
      <c r="W62" s="13">
        <v>0.0438463</v>
      </c>
      <c r="X62" s="13">
        <v>0.005</v>
      </c>
    </row>
    <row r="63" ht="14.25" customHeight="1">
      <c r="A63" s="21" t="s">
        <v>478</v>
      </c>
      <c r="B63" s="30">
        <v>39871.0</v>
      </c>
      <c r="C63" s="21">
        <v>2079.35</v>
      </c>
      <c r="D63" s="21" t="s">
        <v>479</v>
      </c>
      <c r="E63" s="13">
        <v>36.01024925103175</v>
      </c>
      <c r="F63" s="13">
        <v>0.046</v>
      </c>
      <c r="G63" s="13">
        <v>0.003921497149783329</v>
      </c>
      <c r="H63" s="13">
        <v>0.008671329798703432</v>
      </c>
      <c r="I63" s="13">
        <v>0.055402171308135996</v>
      </c>
      <c r="J63" s="13">
        <v>0.078</v>
      </c>
      <c r="K63" s="13">
        <v>0.710284247540205</v>
      </c>
      <c r="L63" s="13">
        <v>0.001479460724</v>
      </c>
      <c r="M63" s="13">
        <v>0.004930911430719381</v>
      </c>
      <c r="N63" s="13">
        <v>0.08906992242514174</v>
      </c>
      <c r="O63" s="13">
        <f>C63/122479</f>
        <v>0.01697719609</v>
      </c>
      <c r="P63" s="13">
        <f>C63/98198.4</f>
        <v>0.02117498859</v>
      </c>
      <c r="Q63" s="13">
        <v>11.710493534079356</v>
      </c>
      <c r="R63" s="13">
        <v>0.021251013594476856</v>
      </c>
      <c r="S63" s="13">
        <v>0.8266441569356126</v>
      </c>
      <c r="T63" s="13">
        <v>2.03</v>
      </c>
      <c r="U63" s="13">
        <v>0.4072704680426383</v>
      </c>
      <c r="V63" s="13">
        <v>0.09943156636868904</v>
      </c>
      <c r="W63" s="13">
        <v>0.047819449650174914</v>
      </c>
      <c r="X63" s="13">
        <v>-0.053</v>
      </c>
    </row>
    <row r="64" ht="14.25" customHeight="1">
      <c r="A64" s="21" t="s">
        <v>478</v>
      </c>
      <c r="B64" s="30">
        <v>40746.0</v>
      </c>
      <c r="C64" s="40">
        <v>2760.8999999999996</v>
      </c>
      <c r="D64" s="21" t="s">
        <v>486</v>
      </c>
      <c r="E64" s="13">
        <v>4.191048863220351</v>
      </c>
      <c r="F64" s="13">
        <v>0.084</v>
      </c>
      <c r="G64" s="13">
        <v>0.004495451616587074</v>
      </c>
      <c r="H64" s="13">
        <v>0.010768124912645009</v>
      </c>
      <c r="I64" s="13">
        <v>0.06376012394099706</v>
      </c>
      <c r="J64" s="13">
        <v>0.091</v>
      </c>
      <c r="K64" s="13">
        <v>0.7006607026483193</v>
      </c>
      <c r="L64" s="13">
        <v>0.001479460724</v>
      </c>
      <c r="M64" s="13">
        <v>0.004821126054187977</v>
      </c>
      <c r="N64" s="13">
        <v>0.1251389598293423</v>
      </c>
      <c r="O64" s="13">
        <f>C64/133628.4</f>
        <v>0.02066102715</v>
      </c>
      <c r="P64" s="13">
        <f>C64/108498.5</f>
        <v>0.02544643474</v>
      </c>
      <c r="Q64" s="13">
        <v>11.773778588238768</v>
      </c>
      <c r="R64" s="13">
        <v>0.035960454131893006</v>
      </c>
      <c r="S64" s="13">
        <v>0.7896901243955295</v>
      </c>
      <c r="T64" s="13">
        <v>2.047</v>
      </c>
      <c r="U64" s="13">
        <v>0.3858364592072491</v>
      </c>
      <c r="V64" s="13">
        <v>0.07579059764860324</v>
      </c>
      <c r="W64" s="13">
        <v>0.047052253521126755</v>
      </c>
      <c r="X64" s="13">
        <v>0.007</v>
      </c>
    </row>
    <row r="65" ht="14.25" customHeight="1">
      <c r="A65" s="21" t="s">
        <v>478</v>
      </c>
      <c r="B65" s="30">
        <v>41212.0</v>
      </c>
      <c r="C65" s="40">
        <v>1017.5999999999999</v>
      </c>
      <c r="D65" s="21" t="s">
        <v>339</v>
      </c>
      <c r="E65" s="13">
        <v>64.3722725533607</v>
      </c>
      <c r="F65" s="13">
        <v>0.116</v>
      </c>
      <c r="G65" s="13">
        <v>0.003137748013927746</v>
      </c>
      <c r="H65" s="13">
        <v>0.007458172356072447</v>
      </c>
      <c r="I65" s="13">
        <v>0.06260856361281297</v>
      </c>
      <c r="J65" s="13">
        <v>0.11</v>
      </c>
      <c r="K65" s="13">
        <v>0.5691687601164817</v>
      </c>
      <c r="L65" s="13">
        <v>0.001479460724</v>
      </c>
      <c r="M65" s="13">
        <v>0.003742448957367525</v>
      </c>
      <c r="N65" s="13">
        <v>0.19201830732407998</v>
      </c>
      <c r="O65" s="13">
        <f>C65/132433.7</f>
        <v>0.007683844822</v>
      </c>
      <c r="P65" s="13">
        <f>C65/99188</f>
        <v>0.01025930556</v>
      </c>
      <c r="Q65" s="13">
        <v>11.778330486262597</v>
      </c>
      <c r="R65" s="13">
        <v>0.042434616425823204</v>
      </c>
      <c r="S65" s="13">
        <v>0.7588927259215973</v>
      </c>
      <c r="T65" s="13">
        <v>1.963</v>
      </c>
      <c r="U65" s="13">
        <v>0.3866778019861054</v>
      </c>
      <c r="V65" s="13">
        <v>0.08089748220611231</v>
      </c>
      <c r="W65" s="13">
        <v>0.04904951851851852</v>
      </c>
      <c r="X65" s="13">
        <v>-0.03</v>
      </c>
    </row>
    <row r="66" ht="14.25" customHeight="1">
      <c r="A66" s="21" t="s">
        <v>499</v>
      </c>
      <c r="B66" s="30">
        <v>44406.0</v>
      </c>
      <c r="C66" s="40">
        <v>1400.0</v>
      </c>
      <c r="D66" s="21" t="s">
        <v>220</v>
      </c>
      <c r="E66" s="13">
        <v>51.62707498313762</v>
      </c>
      <c r="F66" s="13">
        <v>0.038</v>
      </c>
      <c r="G66" s="13">
        <v>7.272062563580875E-4</v>
      </c>
      <c r="H66" s="13">
        <v>9.786514931120049E-4</v>
      </c>
      <c r="I66" s="13">
        <v>0.05800522973477774</v>
      </c>
      <c r="J66" s="13">
        <v>0.153</v>
      </c>
      <c r="K66" s="13">
        <v>0.3791191485933185</v>
      </c>
      <c r="L66" s="13">
        <v>9.004176405E-4</v>
      </c>
      <c r="M66" s="13">
        <v>0.004751587598057527</v>
      </c>
      <c r="N66" s="13">
        <v>0.12989166977960404</v>
      </c>
      <c r="O66" s="13">
        <f>C66/6692.5</f>
        <v>0.2091893911</v>
      </c>
      <c r="P66" s="13">
        <f>C66/5219.8</f>
        <v>0.2682095099</v>
      </c>
      <c r="Q66" s="13">
        <v>8.808742775394508</v>
      </c>
      <c r="R66" s="13">
        <v>0.0021815465072842735</v>
      </c>
      <c r="S66" s="13">
        <v>0.7799477026522227</v>
      </c>
      <c r="T66" s="13">
        <v>1.117</v>
      </c>
      <c r="U66" s="13">
        <v>0.6985132611131865</v>
      </c>
      <c r="V66" s="13">
        <v>0.0599626447515876</v>
      </c>
      <c r="W66" s="13">
        <v>0.0020416101035676698</v>
      </c>
      <c r="X66" s="13">
        <v>0.067</v>
      </c>
    </row>
    <row r="67" ht="14.25" customHeight="1">
      <c r="A67" s="21" t="s">
        <v>499</v>
      </c>
      <c r="B67" s="30">
        <v>43665.0</v>
      </c>
      <c r="C67" s="40">
        <v>860.5</v>
      </c>
      <c r="D67" s="21" t="s">
        <v>506</v>
      </c>
      <c r="E67" s="13">
        <v>47.43656444983206</v>
      </c>
      <c r="F67" s="13">
        <v>0.069</v>
      </c>
      <c r="G67" s="13">
        <v>0.0011684680549179985</v>
      </c>
      <c r="H67" s="13">
        <v>0.0015682760165789177</v>
      </c>
      <c r="I67" s="13">
        <v>0.0715077928900823</v>
      </c>
      <c r="J67" s="13">
        <v>0.144</v>
      </c>
      <c r="K67" s="13">
        <v>0.49658189507001604</v>
      </c>
      <c r="L67" s="13">
        <v>9.004176405E-4</v>
      </c>
      <c r="M67" s="13">
        <v>0.0036970015371743234</v>
      </c>
      <c r="N67" s="13">
        <v>0.1311462650555523</v>
      </c>
      <c r="O67" s="13">
        <f>C67/5139.3        </f>
        <v>0.1674352538</v>
      </c>
      <c r="P67" s="13">
        <f>C67/4412.3</f>
        <v>0.1950230039</v>
      </c>
      <c r="Q67" s="13">
        <v>8.544672162404522</v>
      </c>
      <c r="R67" s="13">
        <v>0.002354406242095227</v>
      </c>
      <c r="S67" s="13">
        <v>0.858541046446014</v>
      </c>
      <c r="T67" s="13">
        <v>1.236</v>
      </c>
      <c r="U67" s="13">
        <v>0.694802794154846</v>
      </c>
      <c r="V67" s="13">
        <v>0.06746054910201778</v>
      </c>
      <c r="W67" s="13">
        <v>0.0016686038961038962</v>
      </c>
      <c r="X67" s="13">
        <v>0.005</v>
      </c>
    </row>
    <row r="68" ht="14.25" customHeight="1">
      <c r="A68" s="21" t="s">
        <v>513</v>
      </c>
      <c r="B68" s="30">
        <v>41117.0</v>
      </c>
      <c r="C68" s="40">
        <v>613.4</v>
      </c>
      <c r="D68" s="21" t="s">
        <v>49</v>
      </c>
      <c r="E68" s="13">
        <v>107.0</v>
      </c>
      <c r="F68" s="13">
        <v>0.091</v>
      </c>
      <c r="G68" s="13">
        <v>0.003209218527137603</v>
      </c>
      <c r="H68" s="13">
        <v>0.006217503545067811</v>
      </c>
      <c r="I68" s="13">
        <v>0.08198540538722804</v>
      </c>
      <c r="J68" s="13">
        <v>0.107</v>
      </c>
      <c r="K68" s="13">
        <v>0.7662187419367107</v>
      </c>
      <c r="L68" s="13">
        <v>0.002007329426</v>
      </c>
      <c r="M68" s="13">
        <v>0.008356592796852406</v>
      </c>
      <c r="N68" s="13">
        <v>0.10460032955577228</v>
      </c>
      <c r="O68" s="13">
        <f>C68/5947.4</f>
        <v>0.1031375055</v>
      </c>
      <c r="P68" s="13">
        <f>C68/5139.5</f>
        <v>0.1193501313</v>
      </c>
      <c r="Q68" s="13">
        <v>8.690709428248454</v>
      </c>
      <c r="R68" s="13">
        <v>0.017520260954366616</v>
      </c>
      <c r="S68" s="13">
        <v>0.8663113293203754</v>
      </c>
      <c r="T68" s="13">
        <v>1.873</v>
      </c>
      <c r="U68" s="13">
        <v>0.4624373675891987</v>
      </c>
      <c r="V68" s="13">
        <v>0.10409590745535865</v>
      </c>
      <c r="W68" s="13">
        <v>0.002202740740740741</v>
      </c>
      <c r="X68" s="13">
        <v>-0.03</v>
      </c>
    </row>
    <row r="69" ht="14.25" customHeight="1">
      <c r="A69" s="21" t="s">
        <v>513</v>
      </c>
      <c r="B69" s="30">
        <v>42660.0</v>
      </c>
      <c r="C69" s="40">
        <v>541.545</v>
      </c>
      <c r="D69" s="21" t="s">
        <v>132</v>
      </c>
      <c r="E69" s="13">
        <v>30.31010650268128</v>
      </c>
      <c r="F69" s="13">
        <v>0.079</v>
      </c>
      <c r="G69" s="13">
        <v>8.323122095577185E-4</v>
      </c>
      <c r="H69" s="13">
        <v>0.0012107148262119761</v>
      </c>
      <c r="I69" s="13">
        <v>0.0764</v>
      </c>
      <c r="J69" s="13">
        <v>0.11</v>
      </c>
      <c r="K69" s="13">
        <v>0.69655</v>
      </c>
      <c r="L69" s="13">
        <v>0.002007329426</v>
      </c>
      <c r="M69" s="13">
        <v>0.00628561234876229</v>
      </c>
      <c r="N69" s="13">
        <v>0.20160130959001857</v>
      </c>
      <c r="O69" s="13">
        <f>C69/9316.1</f>
        <v>0.05813001149</v>
      </c>
      <c r="P69" s="13">
        <f>C69/7235.6</f>
        <v>0.07484451877</v>
      </c>
      <c r="Q69" s="13">
        <v>9.162168516614457</v>
      </c>
      <c r="R69" s="13">
        <v>0.0012382341521768787</v>
      </c>
      <c r="S69" s="13">
        <v>0.7214812638383159</v>
      </c>
      <c r="T69" s="13">
        <v>1.156</v>
      </c>
      <c r="U69" s="13">
        <v>0.6240385321678541</v>
      </c>
      <c r="V69" s="13">
        <v>0.09223795082741323</v>
      </c>
      <c r="W69" s="13">
        <v>0.003515509433962264</v>
      </c>
      <c r="X69" s="13">
        <v>0.013</v>
      </c>
    </row>
    <row r="70" ht="14.25" customHeight="1">
      <c r="A70" s="21" t="s">
        <v>513</v>
      </c>
      <c r="B70" s="29">
        <v>43255.0</v>
      </c>
      <c r="C70" s="21">
        <v>764.3199999999999</v>
      </c>
      <c r="D70" s="21" t="s">
        <v>530</v>
      </c>
      <c r="E70" s="13">
        <v>172.0</v>
      </c>
      <c r="F70" s="13">
        <v>0.079</v>
      </c>
      <c r="G70" s="13">
        <v>7.679759332231685E-4</v>
      </c>
      <c r="H70" s="13">
        <v>0.0010695739407529802</v>
      </c>
      <c r="I70" s="13">
        <v>0.0708377126396512</v>
      </c>
      <c r="J70" s="13">
        <v>0.113</v>
      </c>
      <c r="K70" s="13">
        <v>0.6268824127402761</v>
      </c>
      <c r="L70" s="13">
        <v>0.002007329426</v>
      </c>
      <c r="M70" s="13">
        <v>0.008116314375802873</v>
      </c>
      <c r="N70" s="13">
        <v>0.11283039433220445</v>
      </c>
      <c r="O70" s="13">
        <f>C70/9898.9</f>
        <v>0.07721261958</v>
      </c>
      <c r="P70" s="13">
        <f>C70/6892.9</f>
        <v>0.1108851137</v>
      </c>
      <c r="Q70" s="13">
        <v>9.237527431820146</v>
      </c>
      <c r="R70" s="13">
        <v>0.02275292926933707</v>
      </c>
      <c r="S70" s="13">
        <v>0.8183853011016388</v>
      </c>
      <c r="T70" s="13">
        <v>1.241</v>
      </c>
      <c r="U70" s="13">
        <v>0.6596597765580599</v>
      </c>
      <c r="V70" s="13">
        <v>0.08127992525983885</v>
      </c>
      <c r="W70" s="13">
        <v>0.0036662592592592593</v>
      </c>
      <c r="X70" s="13">
        <v>0.009</v>
      </c>
    </row>
    <row r="71" ht="14.25" customHeight="1">
      <c r="A71" s="21" t="s">
        <v>200</v>
      </c>
      <c r="B71" s="30">
        <v>42214.0</v>
      </c>
      <c r="C71" s="40">
        <v>1830.0</v>
      </c>
      <c r="D71" s="21" t="s">
        <v>130</v>
      </c>
      <c r="E71" s="13">
        <v>72.0</v>
      </c>
      <c r="F71" s="13">
        <v>0.044</v>
      </c>
      <c r="G71" s="13">
        <v>0.001931800603642721</v>
      </c>
      <c r="H71" s="13">
        <v>0.0043426575123122835</v>
      </c>
      <c r="I71" s="13">
        <v>0.06548728849018394</v>
      </c>
      <c r="J71" s="13">
        <v>0.251</v>
      </c>
      <c r="K71" s="13">
        <v>0.26090553183340215</v>
      </c>
      <c r="L71" s="13">
        <v>8.38115802E-4</v>
      </c>
      <c r="M71" s="13">
        <v>0.0017740882692597365</v>
      </c>
      <c r="N71" s="13">
        <v>0.4984618989439154</v>
      </c>
      <c r="O71" s="13">
        <f>C71/308046</f>
        <v>0.005940671198</v>
      </c>
      <c r="P71" s="13">
        <f>C71/121229</f>
        <v>0.01509539797</v>
      </c>
      <c r="Q71" s="13">
        <v>12.607345645686129</v>
      </c>
      <c r="R71" s="13">
        <v>0.3329595474401245</v>
      </c>
      <c r="S71" s="13">
        <v>0.41236840783946177</v>
      </c>
      <c r="T71" s="13">
        <v>0.996</v>
      </c>
      <c r="U71" s="13">
        <v>0.4139215719091533</v>
      </c>
      <c r="V71" s="13">
        <v>0.06951078679141073</v>
      </c>
      <c r="W71" s="13">
        <v>0.11409111111111112</v>
      </c>
      <c r="X71" s="13">
        <v>0.008</v>
      </c>
    </row>
    <row r="72" ht="14.25" customHeight="1">
      <c r="A72" s="21" t="s">
        <v>547</v>
      </c>
      <c r="B72" s="29">
        <v>44473.0</v>
      </c>
      <c r="C72" s="40">
        <v>16581.9</v>
      </c>
      <c r="D72" s="21" t="s">
        <v>112</v>
      </c>
      <c r="E72" s="13">
        <v>73.00000000000001</v>
      </c>
      <c r="F72" s="13">
        <v>0.018</v>
      </c>
      <c r="G72" s="13">
        <v>0.002100897854008133</v>
      </c>
      <c r="H72" s="13">
        <v>0.0028606452405178767</v>
      </c>
      <c r="I72" s="13">
        <v>0.06408695287053644</v>
      </c>
      <c r="J72" s="13">
        <v>0.17</v>
      </c>
      <c r="K72" s="13">
        <v>0.3769820757090378</v>
      </c>
      <c r="L72" s="13">
        <v>4.8002024812683007E-4</v>
      </c>
      <c r="M72" s="13">
        <v>0.2170777573165538</v>
      </c>
      <c r="N72" s="13">
        <v>0.08717181229792875</v>
      </c>
      <c r="O72" s="13">
        <f>C72/639575</f>
        <v>0.02592643552</v>
      </c>
      <c r="P72" s="13">
        <f>C72/433948</f>
        <v>0.03821172122</v>
      </c>
      <c r="Q72" s="13">
        <v>13.410311414484383</v>
      </c>
      <c r="R72" s="13">
        <v>0.04551589277252251</v>
      </c>
      <c r="S72" s="13">
        <v>0.6872881813437626</v>
      </c>
      <c r="T72" s="13">
        <v>1.005</v>
      </c>
      <c r="U72" s="13">
        <v>0.6838420980019315</v>
      </c>
      <c r="V72" s="13">
        <v>0.06886018319127112</v>
      </c>
      <c r="W72" s="13">
        <v>0.26377522634786943</v>
      </c>
      <c r="X72" s="13">
        <v>0.049</v>
      </c>
    </row>
    <row r="73" ht="14.25" customHeight="1">
      <c r="A73" s="21" t="s">
        <v>556</v>
      </c>
      <c r="B73" s="30">
        <v>41746.0</v>
      </c>
      <c r="C73" s="40">
        <v>9260.400000000001</v>
      </c>
      <c r="D73" s="21" t="s">
        <v>86</v>
      </c>
      <c r="E73" s="13">
        <v>51.89771310783212</v>
      </c>
      <c r="F73" s="13">
        <v>0.031</v>
      </c>
      <c r="G73" s="13">
        <v>0.010845321463704455</v>
      </c>
      <c r="H73" s="13">
        <v>0.017325312499392214</v>
      </c>
      <c r="I73" s="13">
        <v>0.04477421005500831</v>
      </c>
      <c r="J73" s="13">
        <v>0.125</v>
      </c>
      <c r="K73" s="13">
        <v>0.3581936804400665</v>
      </c>
      <c r="L73" s="13">
        <v>6.946134031E-4</v>
      </c>
      <c r="M73" s="13">
        <v>0.014651183559779</v>
      </c>
      <c r="N73" s="13">
        <v>0.3086717145263951</v>
      </c>
      <c r="O73" s="13">
        <f>C73/818705</f>
        <v>0.01131103389</v>
      </c>
      <c r="P73" s="13">
        <f>C73/519706</f>
        <v>0.01781853586</v>
      </c>
      <c r="Q73" s="13">
        <v>13.615479102589081</v>
      </c>
      <c r="R73" s="13">
        <v>0.1583598487855821</v>
      </c>
      <c r="S73" s="13">
        <v>0.6347903090856902</v>
      </c>
      <c r="T73" s="13">
        <v>1.0640751334429406</v>
      </c>
      <c r="U73" s="13">
        <v>0.5965653074062086</v>
      </c>
      <c r="V73" s="13">
        <v>0.0423608015097013</v>
      </c>
      <c r="W73" s="13">
        <v>0.32423960396039603</v>
      </c>
      <c r="X73" s="13">
        <v>0.014</v>
      </c>
    </row>
    <row r="74" ht="14.25" customHeight="1">
      <c r="A74" s="21" t="s">
        <v>556</v>
      </c>
      <c r="B74" s="29">
        <v>44166.0</v>
      </c>
      <c r="C74" s="40">
        <v>10895.7</v>
      </c>
      <c r="D74" s="21" t="s">
        <v>166</v>
      </c>
      <c r="E74" s="13">
        <v>117.99999999999999</v>
      </c>
      <c r="F74" s="13">
        <v>0.02</v>
      </c>
      <c r="G74" s="13">
        <v>0.001990511283528384</v>
      </c>
      <c r="H74" s="13">
        <v>0.0025808604176479825</v>
      </c>
      <c r="I74" s="13">
        <v>0.055020542987347966</v>
      </c>
      <c r="J74" s="13">
        <v>0.174</v>
      </c>
      <c r="K74" s="13">
        <v>0.3162100171686665</v>
      </c>
      <c r="L74" s="13">
        <v>6.946134031E-4</v>
      </c>
      <c r="M74" s="13">
        <v>0.11490105722470868</v>
      </c>
      <c r="N74" s="13">
        <v>0.20974746908356867</v>
      </c>
      <c r="O74" s="13">
        <f>C74/937379        </f>
        <v>0.01162358022</v>
      </c>
      <c r="P74" s="13">
        <f>C74/628878  </f>
        <v>0.01732561801</v>
      </c>
      <c r="Q74" s="13">
        <v>13.796195211927296</v>
      </c>
      <c r="R74" s="13">
        <v>0.05392661616728007</v>
      </c>
      <c r="S74" s="13">
        <v>0.6672861847135706</v>
      </c>
      <c r="T74" s="13">
        <v>0.918</v>
      </c>
      <c r="U74" s="13">
        <v>0.7272401031737131</v>
      </c>
      <c r="V74" s="13">
        <v>0.057073822219050434</v>
      </c>
      <c r="W74" s="13">
        <v>0.3998</v>
      </c>
      <c r="X74" s="13">
        <v>-0.039</v>
      </c>
    </row>
    <row r="75" ht="14.25" customHeight="1">
      <c r="A75" s="21" t="s">
        <v>556</v>
      </c>
      <c r="B75" s="30">
        <v>44547.0</v>
      </c>
      <c r="C75" s="40">
        <v>8666.115</v>
      </c>
      <c r="D75" s="21" t="s">
        <v>112</v>
      </c>
      <c r="E75" s="13">
        <v>40.53069012619007</v>
      </c>
      <c r="F75" s="13">
        <v>0.018</v>
      </c>
      <c r="G75" s="13">
        <v>0.0025378000256706455</v>
      </c>
      <c r="H75" s="13">
        <v>0.0031851771662168883</v>
      </c>
      <c r="I75" s="13">
        <v>0.050700961377278086</v>
      </c>
      <c r="J75" s="13">
        <v>0.165</v>
      </c>
      <c r="K75" s="13">
        <v>0.30727855380168534</v>
      </c>
      <c r="L75" s="13">
        <v>6.946134031E-4</v>
      </c>
      <c r="M75" s="13">
        <v>0.12354683221922579</v>
      </c>
      <c r="N75" s="13">
        <v>0.21969142210707</v>
      </c>
      <c r="O75" s="13">
        <f>C75/951317</f>
        <v>0.009109597537</v>
      </c>
      <c r="P75" s="13">
        <f>C75/655770</f>
        <v>0.01321517453</v>
      </c>
      <c r="Q75" s="13">
        <v>13.835410239374081</v>
      </c>
      <c r="R75" s="13">
        <v>0.06297329965032805</v>
      </c>
      <c r="S75" s="13">
        <v>0.6479763238666051</v>
      </c>
      <c r="T75" s="13">
        <v>0.852</v>
      </c>
      <c r="U75" s="13">
        <v>0.7606497016466048</v>
      </c>
      <c r="V75" s="13">
        <v>0.0453132490081845</v>
      </c>
      <c r="W75" s="13">
        <v>0.39234469296576024</v>
      </c>
      <c r="X75" s="13">
        <v>0.049</v>
      </c>
    </row>
    <row r="76" ht="14.25" customHeight="1">
      <c r="A76" s="21" t="s">
        <v>580</v>
      </c>
      <c r="B76" s="30">
        <v>42696.0</v>
      </c>
      <c r="C76" s="40">
        <v>725.27094987</v>
      </c>
      <c r="D76" s="21" t="s">
        <v>132</v>
      </c>
      <c r="E76" s="13">
        <v>8.236644767218468</v>
      </c>
      <c r="F76" s="13">
        <v>0.174</v>
      </c>
      <c r="G76" s="13">
        <v>0.003283776451437873</v>
      </c>
      <c r="H76" s="13">
        <v>0.004299956801491486</v>
      </c>
      <c r="I76" s="13">
        <v>0.07080878498384308</v>
      </c>
      <c r="J76" s="13">
        <v>0.108</v>
      </c>
      <c r="K76" s="13">
        <v>0.6556368979985471</v>
      </c>
      <c r="L76" s="13">
        <v>0.008567085102778736</v>
      </c>
      <c r="M76" s="13">
        <v>0.014363229506529273</v>
      </c>
      <c r="N76" s="13">
        <v>0.25842468057805007</v>
      </c>
      <c r="O76" s="13">
        <f>C76/52332.7</f>
        <v>0.01385884829</v>
      </c>
      <c r="P76" s="13">
        <f>C76/34799.9</f>
        <v>0.02084117914</v>
      </c>
      <c r="Q76" s="13">
        <v>10.842001509107078</v>
      </c>
      <c r="R76" s="13">
        <v>0.01692760290746348</v>
      </c>
      <c r="S76" s="13">
        <v>0.6697220070574059</v>
      </c>
      <c r="T76" s="13">
        <v>0.973</v>
      </c>
      <c r="U76" s="13">
        <v>0.6882613900429547</v>
      </c>
      <c r="V76" s="13">
        <v>0.09875282648326801</v>
      </c>
      <c r="W76" s="13">
        <v>0.13418641025641026</v>
      </c>
      <c r="X76" s="13">
        <v>0.02</v>
      </c>
    </row>
    <row r="77" ht="14.25" customHeight="1">
      <c r="A77" s="21" t="s">
        <v>592</v>
      </c>
      <c r="B77" s="30">
        <v>40351.0</v>
      </c>
      <c r="C77" s="40">
        <v>1205.794</v>
      </c>
      <c r="D77" s="21" t="s">
        <v>593</v>
      </c>
      <c r="E77" s="13">
        <v>67.36096792653707</v>
      </c>
      <c r="F77" s="13">
        <v>0.038</v>
      </c>
      <c r="G77" s="13">
        <v>0.0075747508305647835</v>
      </c>
      <c r="H77" s="13">
        <v>0.010542653113741635</v>
      </c>
      <c r="I77" s="13">
        <v>0.05162335878701313</v>
      </c>
      <c r="J77" s="13">
        <v>0.091</v>
      </c>
      <c r="K77" s="13">
        <v>0.5672896570001443</v>
      </c>
      <c r="L77" s="13">
        <v>0.0013982635899390744</v>
      </c>
      <c r="M77" s="13">
        <v>0.009339119925287041</v>
      </c>
      <c r="N77" s="13">
        <v>0.16061638191506894</v>
      </c>
      <c r="O77" s="13">
        <f>C77/17668.7</f>
        <v>0.06824463599</v>
      </c>
      <c r="P77" s="13">
        <f>C77/15156.6</f>
        <v>0.07955570511</v>
      </c>
      <c r="Q77" s="13">
        <v>9.809341694645898</v>
      </c>
      <c r="R77" s="13">
        <v>0.007559193539526452</v>
      </c>
      <c r="S77" s="13">
        <v>0.8358677141130583</v>
      </c>
      <c r="T77" s="13">
        <v>1.224</v>
      </c>
      <c r="U77" s="13">
        <v>0.6831401417348789</v>
      </c>
      <c r="V77" s="13">
        <v>0.049189694006482446</v>
      </c>
      <c r="W77" s="13">
        <v>0.033978269230769235</v>
      </c>
      <c r="X77" s="13">
        <v>0.017</v>
      </c>
    </row>
    <row r="78" ht="14.25" customHeight="1">
      <c r="A78" s="21" t="s">
        <v>592</v>
      </c>
      <c r="B78" s="30">
        <v>42068.0</v>
      </c>
      <c r="C78" s="40">
        <v>1124.3</v>
      </c>
      <c r="D78" s="21" t="s">
        <v>122</v>
      </c>
      <c r="E78" s="13">
        <v>4.446898042097569</v>
      </c>
      <c r="F78" s="13">
        <v>0.085</v>
      </c>
      <c r="G78" s="13">
        <v>0.004594195531672839</v>
      </c>
      <c r="H78" s="13">
        <v>0.005245644291147077</v>
      </c>
      <c r="I78" s="13">
        <v>0.06483103653801</v>
      </c>
      <c r="J78" s="13">
        <v>0.095</v>
      </c>
      <c r="K78" s="13">
        <v>0.6824319635580001</v>
      </c>
      <c r="L78" s="13">
        <v>0.005611104079652365</v>
      </c>
      <c r="M78" s="13">
        <v>0.018458648653530082</v>
      </c>
      <c r="N78" s="13">
        <v>0.1836156916574855</v>
      </c>
      <c r="O78" s="13">
        <f>C78/22214.6</f>
        <v>0.05061085952</v>
      </c>
      <c r="P78" s="13">
        <f>C78/16823.9</f>
        <v>0.0668275489</v>
      </c>
      <c r="Q78" s="13">
        <v>10.005448295510595</v>
      </c>
      <c r="R78" s="13">
        <v>0.003585168060396988</v>
      </c>
      <c r="S78" s="13">
        <v>0.7491872414976429</v>
      </c>
      <c r="T78" s="13">
        <v>0.917</v>
      </c>
      <c r="U78" s="13">
        <v>0.8168764787689419</v>
      </c>
      <c r="V78" s="13">
        <v>0.06729188867014647</v>
      </c>
      <c r="W78" s="13">
        <v>0.05418195121951219</v>
      </c>
      <c r="X78" s="13">
        <v>0.018</v>
      </c>
    </row>
    <row r="79" ht="14.25" customHeight="1">
      <c r="A79" s="21" t="s">
        <v>618</v>
      </c>
      <c r="B79" s="30">
        <v>40585.0</v>
      </c>
      <c r="C79" s="40">
        <v>3552.5</v>
      </c>
      <c r="D79" s="21" t="s">
        <v>311</v>
      </c>
      <c r="E79" s="13">
        <v>90.0</v>
      </c>
      <c r="F79" s="13">
        <v>0.024</v>
      </c>
      <c r="G79" s="13">
        <v>0.008578866974724526</v>
      </c>
      <c r="H79" s="13">
        <v>0.01475472134560415</v>
      </c>
      <c r="I79" s="13">
        <v>0.0584710629083304</v>
      </c>
      <c r="J79" s="13">
        <v>0.096</v>
      </c>
      <c r="K79" s="13">
        <v>0.6090735719617749</v>
      </c>
      <c r="L79" s="13">
        <v>6.515570584805038E-6</v>
      </c>
      <c r="M79" s="13">
        <v>0.0310701264089134</v>
      </c>
      <c r="N79" s="13">
        <v>0.24589818807721492</v>
      </c>
      <c r="O79" s="13">
        <f>C79/44152.8</f>
        <v>0.08045922342</v>
      </c>
      <c r="P79" s="13">
        <f>C79/30695.7</f>
        <v>0.1157328225</v>
      </c>
      <c r="Q79" s="13">
        <v>10.674169683588792</v>
      </c>
      <c r="R79" s="13">
        <v>0.019014547204382667</v>
      </c>
      <c r="S79" s="13">
        <v>0.6855184986396698</v>
      </c>
      <c r="T79" s="13">
        <v>1.224</v>
      </c>
      <c r="U79" s="13">
        <v>0.5600766226795728</v>
      </c>
      <c r="V79" s="13">
        <v>0.036726601395495176</v>
      </c>
      <c r="W79" s="13">
        <v>0.08573359223300972</v>
      </c>
      <c r="X79" s="13">
        <v>-0.017</v>
      </c>
    </row>
    <row r="80" ht="14.25" customHeight="1">
      <c r="A80" s="21" t="s">
        <v>629</v>
      </c>
      <c r="B80" s="30">
        <v>43644.0</v>
      </c>
      <c r="C80" s="40">
        <v>181.3</v>
      </c>
      <c r="D80" s="21" t="s">
        <v>152</v>
      </c>
      <c r="E80" s="13">
        <v>414.6923768793669</v>
      </c>
      <c r="F80" s="13">
        <v>0.044</v>
      </c>
      <c r="G80" s="13">
        <v>0.001816295291809207</v>
      </c>
      <c r="H80" s="13">
        <v>0.0022449653350940907</v>
      </c>
      <c r="I80" s="13">
        <v>0.05464073430417185</v>
      </c>
      <c r="J80" s="13">
        <v>0.153</v>
      </c>
      <c r="K80" s="13">
        <v>0.3571289823802082</v>
      </c>
      <c r="L80" s="13">
        <v>0.0012698902133253273</v>
      </c>
      <c r="M80" s="13">
        <v>0.01326443018202744</v>
      </c>
      <c r="N80" s="13">
        <v>0.20200438578882063</v>
      </c>
      <c r="O80" s="13">
        <f>C80/52904.8</f>
        <v>0.003426910224</v>
      </c>
      <c r="P80" s="13">
        <f>C80/40879.7</f>
        <v>0.004434964053</v>
      </c>
      <c r="Q80" s="13">
        <v>10.864852983350744</v>
      </c>
      <c r="R80" s="13">
        <v>0.021837175200218717</v>
      </c>
      <c r="S80" s="13">
        <v>0.7068442394938944</v>
      </c>
      <c r="T80" s="13">
        <v>0.939</v>
      </c>
      <c r="U80" s="13">
        <v>0.7528300191376399</v>
      </c>
      <c r="V80" s="13">
        <v>0.06949200176655138</v>
      </c>
      <c r="W80" s="13">
        <v>0.13565333333333335</v>
      </c>
      <c r="X80" s="13">
        <v>0.027</v>
      </c>
    </row>
    <row r="81" ht="14.25" customHeight="1">
      <c r="A81" s="21" t="s">
        <v>635</v>
      </c>
      <c r="B81" s="30">
        <v>41635.0</v>
      </c>
      <c r="C81" s="40">
        <v>645.0</v>
      </c>
      <c r="D81" s="21" t="s">
        <v>189</v>
      </c>
      <c r="E81" s="13">
        <v>60.01249869818758</v>
      </c>
      <c r="F81" s="13">
        <v>0.141</v>
      </c>
      <c r="G81" s="13">
        <v>0.0020627766272790027</v>
      </c>
      <c r="H81" s="13">
        <v>0.002704890100528199</v>
      </c>
      <c r="I81" s="13">
        <v>0.0434001497064338</v>
      </c>
      <c r="J81" s="13">
        <v>0.118</v>
      </c>
      <c r="K81" s="13">
        <v>0.3677978788680831</v>
      </c>
      <c r="L81" s="13">
        <v>4.069440940203635E-4</v>
      </c>
      <c r="M81" s="13">
        <v>0.005952081487014168</v>
      </c>
      <c r="N81" s="13">
        <v>0.44918865157103216</v>
      </c>
      <c r="O81" s="13">
        <f>C81/251568.6</f>
        <v>0.002563912984</v>
      </c>
      <c r="P81" s="13">
        <f>C81/130330.4</f>
        <v>0.004948960488</v>
      </c>
      <c r="Q81" s="13">
        <v>12.462252440916068</v>
      </c>
      <c r="R81" s="13">
        <v>0.09483856236721015</v>
      </c>
      <c r="S81" s="13">
        <v>0.4917162350956087</v>
      </c>
      <c r="T81" s="13">
        <v>0.677</v>
      </c>
      <c r="U81" s="13">
        <v>0.7268195838186976</v>
      </c>
      <c r="V81" s="13">
        <v>0.04693165942329052</v>
      </c>
      <c r="W81" s="13">
        <v>0.08313569068076669</v>
      </c>
      <c r="X81" s="13">
        <v>-0.014</v>
      </c>
    </row>
    <row r="82" ht="14.25" customHeight="1">
      <c r="A82" s="21" t="s">
        <v>640</v>
      </c>
      <c r="B82" s="30">
        <v>38897.0</v>
      </c>
      <c r="C82" s="40">
        <v>800.0000000000001</v>
      </c>
      <c r="D82" s="21" t="s">
        <v>641</v>
      </c>
      <c r="E82" s="13">
        <v>40.99999999999999</v>
      </c>
      <c r="F82" s="13">
        <v>0.003</v>
      </c>
      <c r="G82" s="13">
        <v>0.006099025449170939</v>
      </c>
      <c r="H82" s="13">
        <v>0.011035572065503077</v>
      </c>
      <c r="I82" s="13">
        <v>0.03741660481207054</v>
      </c>
      <c r="J82" s="13">
        <v>0.069</v>
      </c>
      <c r="K82" s="13">
        <v>0.542269634957544</v>
      </c>
      <c r="L82" s="13">
        <v>2.198545995E-4</v>
      </c>
      <c r="M82" s="13">
        <v>0.012358489725752866</v>
      </c>
      <c r="N82" s="13">
        <v>0.29775498570423353</v>
      </c>
      <c r="O82" s="13">
        <f>C82/42203.4</f>
        <v>0.01895581873</v>
      </c>
      <c r="P82" s="13">
        <f>C82/34133.9</f>
        <v>0.02343711091</v>
      </c>
      <c r="Q82" s="13">
        <v>10.71238013863796</v>
      </c>
      <c r="R82" s="13">
        <v>0.07721495310454168</v>
      </c>
      <c r="S82" s="13">
        <v>0.6849097273561293</v>
      </c>
      <c r="T82" s="13">
        <v>1.285</v>
      </c>
      <c r="U82" s="13">
        <v>0.5329003037293691</v>
      </c>
      <c r="V82" s="13">
        <v>0.03577059080261154</v>
      </c>
      <c r="W82" s="13">
        <v>0.020096857142857142</v>
      </c>
      <c r="X82" s="13">
        <v>0.041</v>
      </c>
    </row>
    <row r="83" ht="14.25" customHeight="1">
      <c r="A83" s="21" t="s">
        <v>640</v>
      </c>
      <c r="B83" s="30">
        <v>39402.0</v>
      </c>
      <c r="C83" s="40">
        <v>617.4</v>
      </c>
      <c r="D83" s="21" t="s">
        <v>656</v>
      </c>
      <c r="E83" s="13">
        <v>9.839346980566653</v>
      </c>
      <c r="F83" s="13">
        <v>0.004</v>
      </c>
      <c r="G83" s="13">
        <v>0.009659301636999592</v>
      </c>
      <c r="H83" s="13">
        <v>0.029879127078196604</v>
      </c>
      <c r="I83" s="13">
        <v>0.03727265776477761</v>
      </c>
      <c r="J83" s="13">
        <v>0.063</v>
      </c>
      <c r="K83" s="13">
        <v>0.5916294883298033</v>
      </c>
      <c r="L83" s="13">
        <v>2.198545995E-4</v>
      </c>
      <c r="M83" s="13">
        <v>0.010817932124239578</v>
      </c>
      <c r="N83" s="13">
        <v>0.22723734950860552</v>
      </c>
      <c r="O83" s="13">
        <f>C83/49648.7</f>
        <v>0.01243537092</v>
      </c>
      <c r="P83" s="13">
        <f>C83/42713.7</f>
        <v>0.01445437881</v>
      </c>
      <c r="Q83" s="13">
        <v>10.839735801671177</v>
      </c>
      <c r="R83" s="13">
        <v>0.05041375943726364</v>
      </c>
      <c r="S83" s="13">
        <v>0.7596097859351199</v>
      </c>
      <c r="T83" s="13">
        <v>2.456</v>
      </c>
      <c r="U83" s="13">
        <v>0.30930306874033237</v>
      </c>
      <c r="V83" s="13">
        <v>0.043232518884329676</v>
      </c>
      <c r="W83" s="13">
        <v>0.01985948</v>
      </c>
      <c r="X83" s="13">
        <v>0.036</v>
      </c>
    </row>
    <row r="84" ht="14.25" customHeight="1">
      <c r="A84" s="21" t="s">
        <v>640</v>
      </c>
      <c r="B84" s="30">
        <v>39709.0</v>
      </c>
      <c r="C84" s="40">
        <v>400.0</v>
      </c>
      <c r="D84" s="21" t="s">
        <v>673</v>
      </c>
      <c r="E84" s="13">
        <v>42.823103365101574</v>
      </c>
      <c r="F84" s="13">
        <v>0.004</v>
      </c>
      <c r="G84" s="13">
        <v>0.009364212128625404</v>
      </c>
      <c r="H84" s="13">
        <v>0.013869118996063277</v>
      </c>
      <c r="I84" s="13">
        <v>0.03555665275221809</v>
      </c>
      <c r="J84" s="13">
        <v>0.072</v>
      </c>
      <c r="K84" s="13">
        <v>0.4938423993363623</v>
      </c>
      <c r="L84" s="13">
        <v>2.198545995E-4</v>
      </c>
      <c r="M84" s="13">
        <v>0.0071461166719032874</v>
      </c>
      <c r="N84" s="13">
        <v>0.213996364289241</v>
      </c>
      <c r="O84" s="13">
        <f>C84/49521.6</f>
        <v>0.008077283448</v>
      </c>
      <c r="P84" s="13">
        <f>C84/40224.2</f>
        <v>0.009944262409</v>
      </c>
      <c r="Q84" s="13">
        <v>10.886868547084424</v>
      </c>
      <c r="R84" s="13">
        <v>0.04558665110642309</v>
      </c>
      <c r="S84" s="13">
        <v>0.7648570402621303</v>
      </c>
      <c r="T84" s="13">
        <v>1.176</v>
      </c>
      <c r="U84" s="13">
        <v>0.6503714260065533</v>
      </c>
      <c r="V84" s="13">
        <v>0.03674985412271646</v>
      </c>
      <c r="W84" s="13">
        <v>0.018007854545454546</v>
      </c>
      <c r="X84" s="13">
        <v>0.009</v>
      </c>
    </row>
    <row r="85" ht="14.25" customHeight="1">
      <c r="A85" s="21" t="s">
        <v>686</v>
      </c>
      <c r="B85" s="29">
        <v>39394.0</v>
      </c>
      <c r="C85" s="40">
        <v>1449.9999999999998</v>
      </c>
      <c r="D85" s="21" t="s">
        <v>656</v>
      </c>
      <c r="E85" s="13">
        <v>134.0</v>
      </c>
      <c r="F85" s="13">
        <v>0.011</v>
      </c>
      <c r="G85" s="13">
        <v>0.010244201447038605</v>
      </c>
      <c r="H85" s="13">
        <v>0.016603274174892317</v>
      </c>
      <c r="I85" s="13">
        <v>0.042325984554946204</v>
      </c>
      <c r="J85" s="13">
        <v>0.078</v>
      </c>
      <c r="K85" s="13">
        <v>0.5426408276275154</v>
      </c>
      <c r="L85" s="13">
        <v>0.0014158278310534669</v>
      </c>
      <c r="M85" s="13">
        <v>0.021316077461102916</v>
      </c>
      <c r="N85" s="13">
        <v>0.25356698821450957</v>
      </c>
      <c r="O85" s="13">
        <f>C85/501726</f>
        <v>0.002890023638</v>
      </c>
      <c r="P85" s="13">
        <f>C85/322515</f>
        <v>0.004495914919</v>
      </c>
      <c r="Q85" s="13">
        <v>13.125809432928621</v>
      </c>
      <c r="R85" s="13">
        <v>0.12392038742963771</v>
      </c>
      <c r="S85" s="13">
        <v>0.6937965332412064</v>
      </c>
      <c r="T85" s="13">
        <v>1.19</v>
      </c>
      <c r="U85" s="13">
        <v>0.5830518151972213</v>
      </c>
      <c r="V85" s="13">
        <v>0.05501964248403466</v>
      </c>
      <c r="W85" s="13">
        <v>0.10376338161834196</v>
      </c>
      <c r="X85" s="13">
        <v>0.036</v>
      </c>
    </row>
    <row r="86" ht="14.25" customHeight="1">
      <c r="A86" s="21" t="s">
        <v>686</v>
      </c>
      <c r="B86" s="30">
        <v>39884.0</v>
      </c>
      <c r="C86" s="40">
        <v>2850.0000000000005</v>
      </c>
      <c r="D86" s="21" t="s">
        <v>479</v>
      </c>
      <c r="E86" s="13">
        <v>23.334523779155987</v>
      </c>
      <c r="F86" s="13">
        <v>0.035</v>
      </c>
      <c r="G86" s="13">
        <v>0.004823652190736754</v>
      </c>
      <c r="H86" s="13">
        <v>0.006009743888807892</v>
      </c>
      <c r="I86" s="13">
        <v>0.04372003623064881</v>
      </c>
      <c r="J86" s="13">
        <v>0.082</v>
      </c>
      <c r="K86" s="13">
        <v>0.5331711735444976</v>
      </c>
      <c r="L86" s="13">
        <v>0.0030792307583454794</v>
      </c>
      <c r="M86" s="13">
        <v>0.027256468212028536</v>
      </c>
      <c r="N86" s="13">
        <v>0.29858495912073413</v>
      </c>
      <c r="O86" s="13">
        <f>C86/543350</f>
        <v>0.005245237876</v>
      </c>
      <c r="P86" s="13">
        <f>C86/361584</f>
        <v>0.007881985929</v>
      </c>
      <c r="Q86" s="13">
        <v>13.205508958490997</v>
      </c>
      <c r="R86" s="13">
        <v>0.13096126398155666</v>
      </c>
      <c r="S86" s="13">
        <v>0.6043224306600483</v>
      </c>
      <c r="T86" s="13">
        <v>0.797</v>
      </c>
      <c r="U86" s="13">
        <v>0.7584110483207389</v>
      </c>
      <c r="V86" s="13">
        <v>0.05510246768312741</v>
      </c>
      <c r="W86" s="13">
        <v>0.11447504317648471</v>
      </c>
      <c r="X86" s="13">
        <v>-0.038</v>
      </c>
    </row>
    <row r="87" ht="14.25" customHeight="1">
      <c r="A87" s="21" t="s">
        <v>686</v>
      </c>
      <c r="B87" s="30">
        <v>40170.0</v>
      </c>
      <c r="C87" s="40">
        <v>2600.0</v>
      </c>
      <c r="D87" s="21" t="s">
        <v>68</v>
      </c>
      <c r="E87" s="13">
        <v>12.049762051536687</v>
      </c>
      <c r="F87" s="13">
        <v>0.043</v>
      </c>
      <c r="G87" s="13">
        <v>0.003741634712257086</v>
      </c>
      <c r="H87" s="13">
        <v>0.006081066357866163</v>
      </c>
      <c r="I87" s="13">
        <v>0.050308527193359355</v>
      </c>
      <c r="J87" s="13">
        <v>0.095</v>
      </c>
      <c r="K87" s="13">
        <v>0.5295634441406247</v>
      </c>
      <c r="L87" s="13">
        <v>0.0024274507652641397</v>
      </c>
      <c r="M87" s="13">
        <v>0.031298630493101914</v>
      </c>
      <c r="N87" s="13">
        <v>0.2724806019620091</v>
      </c>
      <c r="O87" s="13">
        <f>C87/535065</f>
        <v>0.004859222711</v>
      </c>
      <c r="P87" s="13">
        <f>C87/336451</f>
        <v>0.00772772261</v>
      </c>
      <c r="Q87" s="13">
        <v>13.224779161593156</v>
      </c>
      <c r="R87" s="13">
        <v>0.12129505598261127</v>
      </c>
      <c r="S87" s="13">
        <v>0.6581793104444308</v>
      </c>
      <c r="T87" s="13">
        <v>1.135</v>
      </c>
      <c r="U87" s="13">
        <v>0.5799426634074833</v>
      </c>
      <c r="V87" s="13">
        <v>0.05745213224966692</v>
      </c>
      <c r="W87" s="13">
        <v>0.1571866885617086</v>
      </c>
      <c r="X87" s="13">
        <v>-0.06660191116244882</v>
      </c>
    </row>
    <row r="88" ht="14.25" customHeight="1">
      <c r="A88" s="21" t="s">
        <v>686</v>
      </c>
      <c r="B88" s="30">
        <v>40380.0</v>
      </c>
      <c r="C88" s="40">
        <v>1700.0</v>
      </c>
      <c r="D88" s="21" t="s">
        <v>715</v>
      </c>
      <c r="E88" s="13">
        <v>49.49747468305816</v>
      </c>
      <c r="F88" s="13">
        <v>0.045</v>
      </c>
      <c r="G88" s="13">
        <v>0.004339531462573482</v>
      </c>
      <c r="H88" s="13">
        <v>0.007848643336024431</v>
      </c>
      <c r="I88" s="13">
        <v>0.05974439969750587</v>
      </c>
      <c r="J88" s="13">
        <v>0.105</v>
      </c>
      <c r="K88" s="13">
        <v>0.5689942828333893</v>
      </c>
      <c r="L88" s="13">
        <v>0.0023680859863916153</v>
      </c>
      <c r="M88" s="13">
        <v>0.007750507473703636</v>
      </c>
      <c r="N88" s="13">
        <v>0.31018674308623617</v>
      </c>
      <c r="O88" s="13">
        <f>C88/557761</f>
        <v>0.003047900445</v>
      </c>
      <c r="P88" s="13">
        <f>C88/367930</f>
        <v>0.004620444106</v>
      </c>
      <c r="Q88" s="13">
        <v>13.222639388850386</v>
      </c>
      <c r="R88" s="13">
        <v>0.12100850674279677</v>
      </c>
      <c r="S88" s="13">
        <v>0.6210863012856</v>
      </c>
      <c r="T88" s="13">
        <v>1.205</v>
      </c>
      <c r="U88" s="13">
        <v>0.5154159837029478</v>
      </c>
      <c r="V88" s="13">
        <v>0.06779884864076652</v>
      </c>
      <c r="W88" s="13">
        <v>0.17151322263222632</v>
      </c>
      <c r="X88" s="13">
        <v>0.048902346707040245</v>
      </c>
    </row>
    <row r="89" ht="14.25" customHeight="1">
      <c r="A89" s="21" t="s">
        <v>686</v>
      </c>
      <c r="B89" s="30">
        <v>40618.0</v>
      </c>
      <c r="C89" s="40">
        <v>1250.0</v>
      </c>
      <c r="D89" s="21" t="s">
        <v>311</v>
      </c>
      <c r="E89" s="13">
        <v>76.0</v>
      </c>
      <c r="F89" s="13">
        <v>0.044</v>
      </c>
      <c r="G89" s="13">
        <v>0.004945279458895571</v>
      </c>
      <c r="H89" s="13">
        <v>0.008210520721306555</v>
      </c>
      <c r="I89" s="13">
        <v>0.05760631610413132</v>
      </c>
      <c r="J89" s="13">
        <v>0.098</v>
      </c>
      <c r="K89" s="13">
        <v>0.5878195520829725</v>
      </c>
      <c r="L89" s="13">
        <v>0.0023680859863916153</v>
      </c>
      <c r="M89" s="13">
        <v>0.0062545608004149775</v>
      </c>
      <c r="N89" s="13">
        <v>0.29952435797118016</v>
      </c>
      <c r="O89" s="13">
        <f>C89/562174</f>
        <v>0.00222351087</v>
      </c>
      <c r="P89" s="13">
        <f>C89/346814</f>
        <v>0.00360423743</v>
      </c>
      <c r="Q89" s="13">
        <v>13.251117125237954</v>
      </c>
      <c r="R89" s="13">
        <v>0.11623600988210056</v>
      </c>
      <c r="S89" s="13">
        <v>0.6215489577197316</v>
      </c>
      <c r="T89" s="13">
        <v>1.105</v>
      </c>
      <c r="U89" s="13">
        <v>0.5624427427225012</v>
      </c>
      <c r="V89" s="13">
        <v>0.06619073157436632</v>
      </c>
      <c r="W89" s="13">
        <v>0.16534529411764706</v>
      </c>
      <c r="X89" s="13">
        <v>0.039470358617203535</v>
      </c>
    </row>
    <row r="90" ht="14.25" customHeight="1">
      <c r="A90" s="21" t="s">
        <v>686</v>
      </c>
      <c r="B90" s="30">
        <v>40898.0</v>
      </c>
      <c r="C90" s="40">
        <v>1200.0</v>
      </c>
      <c r="D90" s="21" t="s">
        <v>361</v>
      </c>
      <c r="E90" s="13">
        <v>53.54864363125165</v>
      </c>
      <c r="F90" s="13">
        <v>0.044</v>
      </c>
      <c r="G90" s="13">
        <v>0.004697146924788416</v>
      </c>
      <c r="H90" s="13">
        <v>0.007336119266234438</v>
      </c>
      <c r="I90" s="13">
        <v>0.058769944560740875</v>
      </c>
      <c r="J90" s="13">
        <v>0.107</v>
      </c>
      <c r="K90" s="13">
        <v>0.5492518183246812</v>
      </c>
      <c r="L90" s="13">
        <v>0.002687664453921023</v>
      </c>
      <c r="M90" s="13">
        <v>0.041422069454783446</v>
      </c>
      <c r="N90" s="13">
        <v>0.31464319199569674</v>
      </c>
      <c r="O90" s="13">
        <f>C90/582838</f>
        <v>0.00205889115</v>
      </c>
      <c r="P90" s="13">
        <f>C90/355437</f>
        <v>0.003376125727</v>
      </c>
      <c r="Q90" s="13">
        <v>13.30547961835317</v>
      </c>
      <c r="R90" s="13">
        <v>0.11858572434914243</v>
      </c>
      <c r="S90" s="13">
        <v>0.5968954681028582</v>
      </c>
      <c r="T90" s="13">
        <v>1.001</v>
      </c>
      <c r="U90" s="13">
        <v>0.5961743747054425</v>
      </c>
      <c r="V90" s="13">
        <v>0.06888024020903381</v>
      </c>
      <c r="W90" s="13">
        <v>0.17142294117647058</v>
      </c>
      <c r="X90" s="13">
        <v>-0.06668007778448337</v>
      </c>
    </row>
    <row r="91" ht="14.25" customHeight="1">
      <c r="A91" s="21" t="s">
        <v>686</v>
      </c>
      <c r="B91" s="30">
        <v>42354.0</v>
      </c>
      <c r="C91" s="40">
        <v>780.0</v>
      </c>
      <c r="D91" s="21" t="s">
        <v>201</v>
      </c>
      <c r="E91" s="13">
        <v>55.86143571373706</v>
      </c>
      <c r="F91" s="13">
        <v>0.055</v>
      </c>
      <c r="G91" s="13">
        <v>0.003942135396180237</v>
      </c>
      <c r="H91" s="13">
        <v>0.006029841699942955</v>
      </c>
      <c r="I91" s="13">
        <v>0.06514366074766481</v>
      </c>
      <c r="J91" s="13">
        <v>0.121</v>
      </c>
      <c r="K91" s="13">
        <v>0.538377361550949</v>
      </c>
      <c r="L91" s="13">
        <v>0.0017647159467261097</v>
      </c>
      <c r="M91" s="13">
        <v>0.00938258741853331</v>
      </c>
      <c r="N91" s="13">
        <v>0.2912947889660124</v>
      </c>
      <c r="O91" s="13">
        <f>C91/749855</f>
        <v>0.001040201106</v>
      </c>
      <c r="P91" s="13">
        <f>C91/456462</f>
        <v>0.001708795037</v>
      </c>
      <c r="Q91" s="13">
        <v>13.51568437675393</v>
      </c>
      <c r="R91" s="13">
        <v>0.11524845906657291</v>
      </c>
      <c r="S91" s="13">
        <v>0.6148159045113888</v>
      </c>
      <c r="T91" s="13">
        <v>1.015</v>
      </c>
      <c r="U91" s="13">
        <v>0.6056681517031582</v>
      </c>
      <c r="V91" s="13">
        <v>0.07357746235560708</v>
      </c>
      <c r="W91" s="13">
        <v>0.27168659420289853</v>
      </c>
      <c r="X91" s="13">
        <v>-0.04542533800175735</v>
      </c>
    </row>
    <row r="92" ht="14.25" customHeight="1">
      <c r="A92" s="21" t="s">
        <v>686</v>
      </c>
      <c r="B92" s="29">
        <v>38323.0</v>
      </c>
      <c r="C92" s="40">
        <v>999.9999999999999</v>
      </c>
      <c r="D92" s="21" t="s">
        <v>740</v>
      </c>
      <c r="E92" s="13">
        <v>88.66542186228092</v>
      </c>
      <c r="F92" s="13">
        <v>0.01</v>
      </c>
      <c r="G92" s="13">
        <v>0.006739405621131054</v>
      </c>
      <c r="H92" s="13">
        <v>0.014549350064895678</v>
      </c>
      <c r="I92" s="13">
        <v>0.043482291054136334</v>
      </c>
      <c r="J92" s="13">
        <v>0.08</v>
      </c>
      <c r="K92" s="13">
        <v>0.5435286381767042</v>
      </c>
      <c r="L92" s="13">
        <v>7.84071804966259E-4</v>
      </c>
      <c r="M92" s="13">
        <v>0.03601750762555001</v>
      </c>
      <c r="N92" s="13">
        <v>0.3039183595435967</v>
      </c>
      <c r="O92" s="13">
        <f>C92/329441.2</f>
        <v>0.003035443047</v>
      </c>
      <c r="P92" s="13">
        <f>C92/179157.9</f>
        <v>0.005581668461</v>
      </c>
      <c r="Q92" s="13">
        <v>12.751940070640035</v>
      </c>
      <c r="R92" s="13">
        <v>0.13892549989716732</v>
      </c>
      <c r="S92" s="13">
        <v>0.6151219074158293</v>
      </c>
      <c r="T92" s="13">
        <v>1.385</v>
      </c>
      <c r="U92" s="13">
        <v>0.4441299920920222</v>
      </c>
      <c r="V92" s="13">
        <v>0.04119100518218764</v>
      </c>
      <c r="W92" s="13">
        <v>0.1325808159912229</v>
      </c>
      <c r="X92" s="13">
        <v>-0.05228758169934636</v>
      </c>
    </row>
    <row r="93" ht="14.25" customHeight="1">
      <c r="A93" s="21" t="s">
        <v>686</v>
      </c>
      <c r="B93" s="30">
        <v>38624.0</v>
      </c>
      <c r="C93" s="40">
        <v>1250.0</v>
      </c>
      <c r="D93" s="21" t="s">
        <v>751</v>
      </c>
      <c r="E93" s="13">
        <v>53.69357503463294</v>
      </c>
      <c r="F93" s="13">
        <v>0.01</v>
      </c>
      <c r="G93" s="13">
        <v>0.006013458069288408</v>
      </c>
      <c r="H93" s="13">
        <v>0.010933441160613636</v>
      </c>
      <c r="I93" s="13">
        <v>0.04148683896995205</v>
      </c>
      <c r="J93" s="13">
        <v>0.075</v>
      </c>
      <c r="K93" s="13">
        <v>0.553157852932694</v>
      </c>
      <c r="L93" s="13">
        <v>7.418728167106295E-4</v>
      </c>
      <c r="M93" s="13">
        <v>0.025382942204110966</v>
      </c>
      <c r="N93" s="13">
        <v>0.3753074432419828</v>
      </c>
      <c r="O93" s="13">
        <f>C93/374828</f>
        <v>0.003334862924</v>
      </c>
      <c r="P93" s="13">
        <f>C93/240567</f>
        <v>0.005196057647</v>
      </c>
      <c r="Q93" s="13">
        <v>12.880010247905547</v>
      </c>
      <c r="R93" s="13">
        <v>0.1299764647117214</v>
      </c>
      <c r="S93" s="13">
        <v>0.5719622976659671</v>
      </c>
      <c r="T93" s="13">
        <v>1.1</v>
      </c>
      <c r="U93" s="13">
        <v>0.5199680419583093</v>
      </c>
      <c r="V93" s="13">
        <v>0.054613846700790926</v>
      </c>
      <c r="W93" s="13">
        <v>0.1388690575207649</v>
      </c>
      <c r="X93" s="13">
        <v>0.06325013737455536</v>
      </c>
    </row>
    <row r="94" ht="14.25" customHeight="1">
      <c r="A94" s="21" t="s">
        <v>686</v>
      </c>
      <c r="B94" s="30">
        <v>39016.0</v>
      </c>
      <c r="C94" s="40">
        <v>1900.0</v>
      </c>
      <c r="D94" s="21" t="s">
        <v>762</v>
      </c>
      <c r="E94" s="13">
        <v>10.82739849361493</v>
      </c>
      <c r="F94" s="13">
        <v>0.01</v>
      </c>
      <c r="G94" s="13">
        <v>0.009745514165977626</v>
      </c>
      <c r="H94" s="13">
        <v>0.014920797507069075</v>
      </c>
      <c r="I94" s="13">
        <v>0.04471542896018333</v>
      </c>
      <c r="J94" s="13">
        <v>0.077</v>
      </c>
      <c r="K94" s="13">
        <v>0.5807198566257575</v>
      </c>
      <c r="L94" s="13">
        <v>0.0011943437647336161</v>
      </c>
      <c r="M94" s="13">
        <v>0.03484630120309367</v>
      </c>
      <c r="N94" s="13">
        <v>0.3309425128902893</v>
      </c>
      <c r="O94" s="13">
        <f>C94/411916</f>
        <v>0.004612590917</v>
      </c>
      <c r="P94" s="13">
        <f>C94/268919</f>
        <v>0.007065324503</v>
      </c>
      <c r="Q94" s="13">
        <v>13.009973771024653</v>
      </c>
      <c r="R94" s="13">
        <v>0.11616030507018046</v>
      </c>
      <c r="S94" s="13">
        <v>0.6075623030650243</v>
      </c>
      <c r="T94" s="13">
        <v>0.979</v>
      </c>
      <c r="U94" s="13">
        <v>0.6204883987396161</v>
      </c>
      <c r="V94" s="13">
        <v>0.05000581853337153</v>
      </c>
      <c r="W94" s="13">
        <v>0.1335911433063675</v>
      </c>
      <c r="X94" s="13">
        <v>-0.04955849312921253</v>
      </c>
    </row>
    <row r="95" ht="14.25" customHeight="1">
      <c r="A95" s="21" t="s">
        <v>686</v>
      </c>
      <c r="B95" s="30">
        <v>39247.0</v>
      </c>
      <c r="C95" s="40">
        <v>1500.0</v>
      </c>
      <c r="D95" s="21" t="s">
        <v>775</v>
      </c>
      <c r="E95" s="13">
        <v>9.845848189843142</v>
      </c>
      <c r="F95" s="13">
        <v>0.01</v>
      </c>
      <c r="G95" s="13">
        <v>0.008895243829018663</v>
      </c>
      <c r="H95" s="13">
        <v>0.014131994261119081</v>
      </c>
      <c r="I95" s="13">
        <v>0.041993285620917684</v>
      </c>
      <c r="J95" s="13">
        <v>0.068</v>
      </c>
      <c r="K95" s="13">
        <v>0.6175483179546718</v>
      </c>
      <c r="L95" s="13">
        <v>0.0010487961082144106</v>
      </c>
      <c r="M95" s="13">
        <v>0.03588173924339421</v>
      </c>
      <c r="N95" s="13">
        <v>0.3003182631922935</v>
      </c>
      <c r="O95" s="13">
        <f>C95/466443</f>
        <v>0.003215827014</v>
      </c>
      <c r="P95" s="13">
        <f>C95/329360</f>
        <v>0.004554287102</v>
      </c>
      <c r="Q95" s="13">
        <v>13.107602976691096</v>
      </c>
      <c r="R95" s="13">
        <v>0.11704088301797944</v>
      </c>
      <c r="S95" s="13">
        <v>0.627522459070298</v>
      </c>
      <c r="T95" s="13">
        <v>1.056</v>
      </c>
      <c r="U95" s="13">
        <v>0.594186013469353</v>
      </c>
      <c r="V95" s="13">
        <v>0.056008638572362254</v>
      </c>
      <c r="W95" s="13">
        <v>0.14916629357211383</v>
      </c>
      <c r="X95" s="13">
        <v>-0.024788835842820538</v>
      </c>
    </row>
    <row r="96" ht="14.25" customHeight="1">
      <c r="A96" s="21" t="s">
        <v>686</v>
      </c>
      <c r="B96" s="30">
        <v>41271.0</v>
      </c>
      <c r="C96" s="40">
        <v>470.0</v>
      </c>
      <c r="D96" s="21" t="s">
        <v>339</v>
      </c>
      <c r="E96" s="13">
        <v>15.443855608504492</v>
      </c>
      <c r="F96" s="13">
        <v>0.058</v>
      </c>
      <c r="G96" s="13">
        <v>0.004097186700767264</v>
      </c>
      <c r="H96" s="13">
        <v>0.00607046590762686</v>
      </c>
      <c r="I96" s="13">
        <v>0.05800436916437757</v>
      </c>
      <c r="J96" s="13">
        <v>0.112</v>
      </c>
      <c r="K96" s="13">
        <v>0.5178961532533711</v>
      </c>
      <c r="L96" s="13">
        <v>0.0017577758097845047</v>
      </c>
      <c r="M96" s="13">
        <v>0.047716456080104504</v>
      </c>
      <c r="N96" s="13">
        <v>0.31552443399102476</v>
      </c>
      <c r="O96" s="13">
        <f>C96/621072</f>
        <v>0.0007567560605</v>
      </c>
      <c r="P96" s="13">
        <f>C96/352933</f>
        <v>0.001331697518</v>
      </c>
      <c r="Q96" s="13">
        <v>13.35834101833169</v>
      </c>
      <c r="R96" s="13">
        <v>0.11965444743339236</v>
      </c>
      <c r="S96" s="13">
        <v>0.5886051055723431</v>
      </c>
      <c r="T96" s="13">
        <v>0.941</v>
      </c>
      <c r="U96" s="13">
        <v>0.6252849197485914</v>
      </c>
      <c r="V96" s="13">
        <v>0.07356655551571462</v>
      </c>
      <c r="W96" s="13">
        <v>0.18144084136722174</v>
      </c>
      <c r="X96" s="13">
        <v>-0.06304893785295064</v>
      </c>
    </row>
    <row r="97" ht="14.25" customHeight="1">
      <c r="A97" s="21" t="s">
        <v>792</v>
      </c>
      <c r="B97" s="30">
        <v>43431.0</v>
      </c>
      <c r="C97" s="40">
        <v>3325.0</v>
      </c>
      <c r="D97" s="21" t="s">
        <v>58</v>
      </c>
      <c r="E97" s="13">
        <v>116.04740410711393</v>
      </c>
      <c r="F97" s="13">
        <v>0.046</v>
      </c>
      <c r="G97" s="13">
        <v>0.0012493871676867358</v>
      </c>
      <c r="H97" s="13">
        <v>0.0018514178579798453</v>
      </c>
      <c r="I97" s="13">
        <v>0.048223865233485756</v>
      </c>
      <c r="J97" s="13">
        <v>0.131</v>
      </c>
      <c r="K97" s="13">
        <v>0.36812110865256303</v>
      </c>
      <c r="L97" s="13">
        <v>9.174311926605505E-4</v>
      </c>
      <c r="M97" s="13">
        <v>0.05903210800324643</v>
      </c>
      <c r="N97" s="13">
        <v>0.17254092681671518</v>
      </c>
      <c r="O97" s="13">
        <f>C97/386546</f>
        <v>0.008601822293</v>
      </c>
      <c r="P97" s="13">
        <f>C97/231118</f>
        <v>0.0143865904</v>
      </c>
      <c r="Q97" s="13">
        <v>12.909506733958255</v>
      </c>
      <c r="R97" s="13">
        <v>0.03164033889581725</v>
      </c>
      <c r="S97" s="13">
        <v>0.5636963794366253</v>
      </c>
      <c r="T97" s="13">
        <v>0.89</v>
      </c>
      <c r="U97" s="13">
        <v>0.6334996139913297</v>
      </c>
      <c r="V97" s="13">
        <v>0.06124176019953679</v>
      </c>
      <c r="W97" s="13">
        <v>0.15005667701863354</v>
      </c>
      <c r="X97" s="13">
        <v>-0.045806161730239145</v>
      </c>
    </row>
    <row r="98" ht="14.25" customHeight="1">
      <c r="A98" s="21" t="s">
        <v>792</v>
      </c>
      <c r="B98" s="30">
        <v>43790.0</v>
      </c>
      <c r="C98" s="40">
        <v>2450.0</v>
      </c>
      <c r="D98" s="21" t="s">
        <v>163</v>
      </c>
      <c r="E98" s="13">
        <v>25.31139400875928</v>
      </c>
      <c r="F98" s="13">
        <v>0.037</v>
      </c>
      <c r="G98" s="13">
        <v>0.0012290462906770973</v>
      </c>
      <c r="H98" s="13">
        <v>0.0017893537166213142</v>
      </c>
      <c r="I98" s="13">
        <v>0.04801976987975244</v>
      </c>
      <c r="J98" s="13">
        <v>0.135</v>
      </c>
      <c r="K98" s="13">
        <v>0.3557019991092773</v>
      </c>
      <c r="L98" s="13">
        <v>6.572673144830786E-4</v>
      </c>
      <c r="M98" s="13">
        <v>0.0636541135615323</v>
      </c>
      <c r="N98" s="13">
        <v>0.16450163428124046</v>
      </c>
      <c r="O98" s="13">
        <f>C98/391414</f>
        <v>0.0062593571</v>
      </c>
      <c r="P98" s="13">
        <f>C98/232051</f>
        <v>0.01055802388</v>
      </c>
      <c r="Q98" s="13">
        <v>12.939380001656515</v>
      </c>
      <c r="R98" s="13">
        <v>0.022039381254638068</v>
      </c>
      <c r="S98" s="13">
        <v>0.5590466652737451</v>
      </c>
      <c r="T98" s="13">
        <v>0.864</v>
      </c>
      <c r="U98" s="13">
        <v>0.6469184012142434</v>
      </c>
      <c r="V98" s="13">
        <v>0.05815927817844286</v>
      </c>
      <c r="W98" s="13">
        <v>0.1497948717948718</v>
      </c>
      <c r="X98" s="13">
        <v>-0.10009814717288265</v>
      </c>
    </row>
    <row r="99" ht="14.25" customHeight="1">
      <c r="A99" s="21" t="s">
        <v>792</v>
      </c>
      <c r="B99" s="30">
        <v>44155.0</v>
      </c>
      <c r="C99" s="40">
        <v>2550.0</v>
      </c>
      <c r="D99" s="21" t="s">
        <v>166</v>
      </c>
      <c r="E99" s="13">
        <v>5.8727433673648495</v>
      </c>
      <c r="F99" s="13">
        <v>0.036</v>
      </c>
      <c r="G99" s="13">
        <v>8.646262760402983E-4</v>
      </c>
      <c r="H99" s="13">
        <v>0.001140188603573431</v>
      </c>
      <c r="I99" s="13">
        <v>0.050737752969171254</v>
      </c>
      <c r="J99" s="13">
        <v>0.161</v>
      </c>
      <c r="K99" s="13">
        <v>0.31514132278988355</v>
      </c>
      <c r="L99" s="13">
        <v>3.4348397166394625E-4</v>
      </c>
      <c r="M99" s="13">
        <v>0.1233074480573987</v>
      </c>
      <c r="N99" s="13">
        <v>0.16890632323089233</v>
      </c>
      <c r="O99" s="13">
        <f>C99/451520</f>
        <v>0.005647590361</v>
      </c>
      <c r="P99" s="13">
        <f>C99/248426</f>
        <v>0.01026462609</v>
      </c>
      <c r="Q99" s="13">
        <v>13.405388121318765</v>
      </c>
      <c r="R99" s="13">
        <v>0.020576609214716178</v>
      </c>
      <c r="S99" s="13">
        <v>0.5484252579611163</v>
      </c>
      <c r="T99" s="13">
        <v>0.764</v>
      </c>
      <c r="U99" s="13">
        <v>0.7176902477361058</v>
      </c>
      <c r="V99" s="13">
        <v>0.05357694527622599</v>
      </c>
      <c r="W99" s="13">
        <v>0.16</v>
      </c>
      <c r="X99" s="13">
        <v>-0.05415658748727714</v>
      </c>
    </row>
    <row r="100" ht="14.25" customHeight="1">
      <c r="A100" s="21" t="s">
        <v>792</v>
      </c>
      <c r="B100" s="30">
        <v>42703.0</v>
      </c>
      <c r="C100" s="40">
        <v>2250.0</v>
      </c>
      <c r="D100" s="21" t="s">
        <v>132</v>
      </c>
      <c r="E100" s="13">
        <v>124.70765814495826</v>
      </c>
      <c r="F100" s="13">
        <v>0.069</v>
      </c>
      <c r="G100" s="13">
        <v>0.0016151067475570788</v>
      </c>
      <c r="H100" s="13">
        <v>0.002351612413816355</v>
      </c>
      <c r="I100" s="13">
        <v>0.04922933990876854</v>
      </c>
      <c r="J100" s="13">
        <v>0.119</v>
      </c>
      <c r="K100" s="13">
        <v>0.4136919320064583</v>
      </c>
      <c r="L100" s="13">
        <v>0.001071688291805412</v>
      </c>
      <c r="M100" s="13">
        <v>0.01635306414020153</v>
      </c>
      <c r="N100" s="13">
        <v>0.27096932753931624</v>
      </c>
      <c r="O100" s="13">
        <f>C100/347927.3</f>
        <v>0.006466868222</v>
      </c>
      <c r="P100" s="13">
        <f>C100/212618.9</f>
        <v>0.01058231418</v>
      </c>
      <c r="Q100" s="13">
        <v>12.821979645998336</v>
      </c>
      <c r="R100" s="13">
        <v>0.03594973357063957</v>
      </c>
      <c r="S100" s="13">
        <v>0.6350633461799188</v>
      </c>
      <c r="T100" s="13">
        <v>0.991</v>
      </c>
      <c r="U100" s="13">
        <v>0.6408456600237126</v>
      </c>
      <c r="V100" s="13">
        <v>0.0669219779240386</v>
      </c>
      <c r="W100" s="13">
        <v>0.1314421231582924</v>
      </c>
      <c r="X100" s="13">
        <v>-0.04214795420709472</v>
      </c>
    </row>
    <row r="101" ht="14.25" customHeight="1">
      <c r="A101" s="21" t="s">
        <v>792</v>
      </c>
      <c r="B101" s="30">
        <v>43067.0</v>
      </c>
      <c r="C101" s="40">
        <v>1850.0</v>
      </c>
      <c r="D101" s="21" t="s">
        <v>817</v>
      </c>
      <c r="E101" s="13">
        <v>47.1350642909758</v>
      </c>
      <c r="F101" s="13">
        <v>0.061</v>
      </c>
      <c r="G101" s="13">
        <v>0.0013953126389753625</v>
      </c>
      <c r="H101" s="13">
        <v>0.0020510641427409896</v>
      </c>
      <c r="I101" s="13">
        <v>0.05137870037979293</v>
      </c>
      <c r="J101" s="13">
        <v>0.133</v>
      </c>
      <c r="K101" s="13">
        <v>0.38630601789318</v>
      </c>
      <c r="L101" s="13">
        <v>0.0017819102613914977</v>
      </c>
      <c r="M101" s="13">
        <v>0.03910046303522189</v>
      </c>
      <c r="N101" s="13">
        <v>0.16681494199053118</v>
      </c>
      <c r="O101" s="13">
        <f>C101/383186.2</f>
        <v>0.004827940046</v>
      </c>
      <c r="P101" s="13">
        <f>C101/229354.3</f>
        <v>0.008066123025</v>
      </c>
      <c r="Q101" s="13">
        <v>12.859490983861122</v>
      </c>
      <c r="R101" s="13">
        <v>0.034857707715519486</v>
      </c>
      <c r="S101" s="13">
        <v>0.5824800998907445</v>
      </c>
      <c r="T101" s="13">
        <v>0.915</v>
      </c>
      <c r="U101" s="13">
        <v>0.6366760314239633</v>
      </c>
      <c r="V101" s="13">
        <v>0.06410696633890016</v>
      </c>
      <c r="W101" s="13">
        <v>0.1444895173453997</v>
      </c>
      <c r="X101" s="13">
        <v>-0.04824976348155169</v>
      </c>
    </row>
    <row r="102" ht="14.25" customHeight="1">
      <c r="A102" s="21" t="s">
        <v>824</v>
      </c>
      <c r="B102" s="30">
        <v>40434.0</v>
      </c>
      <c r="C102" s="40">
        <v>1600.0</v>
      </c>
      <c r="D102" s="21" t="s">
        <v>715</v>
      </c>
      <c r="E102" s="13">
        <v>14.54749498521406</v>
      </c>
      <c r="F102" s="13">
        <v>0.039</v>
      </c>
      <c r="G102" s="13">
        <v>0.003164988319169009</v>
      </c>
      <c r="H102" s="13">
        <v>0.006813985848712634</v>
      </c>
      <c r="I102" s="13">
        <v>0.05008454135877614</v>
      </c>
      <c r="J102" s="13">
        <v>0.093</v>
      </c>
      <c r="K102" s="13">
        <v>0.5385434554707113</v>
      </c>
      <c r="L102" s="13">
        <v>0.0014840099422252621</v>
      </c>
      <c r="M102" s="13">
        <v>0.013027032972870925</v>
      </c>
      <c r="N102" s="13">
        <v>0.20902721211360098</v>
      </c>
      <c r="O102" s="13">
        <f>C102/126003.799</f>
        <v>0.01269802984</v>
      </c>
      <c r="P102" s="13">
        <f>C102/100835.579</f>
        <v>0.01586741521</v>
      </c>
      <c r="Q102" s="13">
        <v>11.74406733627274</v>
      </c>
      <c r="R102" s="13">
        <v>0.1530996775740071</v>
      </c>
      <c r="S102" s="13">
        <v>0.8002582445946729</v>
      </c>
      <c r="T102" s="13">
        <v>1.934</v>
      </c>
      <c r="U102" s="13">
        <v>0.4138901399314159</v>
      </c>
      <c r="V102" s="13">
        <v>0.04477668169354164</v>
      </c>
      <c r="W102" s="13">
        <v>0.03874655565805658</v>
      </c>
      <c r="X102" s="13">
        <v>0.048902346707040245</v>
      </c>
    </row>
    <row r="103" ht="14.25" customHeight="1">
      <c r="A103" s="21" t="s">
        <v>824</v>
      </c>
      <c r="B103" s="30">
        <v>40840.0</v>
      </c>
      <c r="C103" s="40">
        <v>1364.0</v>
      </c>
      <c r="D103" s="21" t="s">
        <v>361</v>
      </c>
      <c r="E103" s="13">
        <v>16.443843832875462</v>
      </c>
      <c r="F103" s="13">
        <v>0.049</v>
      </c>
      <c r="G103" s="13">
        <v>0.003861989817074597</v>
      </c>
      <c r="H103" s="13">
        <v>0.007341651799876762</v>
      </c>
      <c r="I103" s="13">
        <v>0.05126754578046447</v>
      </c>
      <c r="J103" s="13">
        <v>0.095</v>
      </c>
      <c r="K103" s="13">
        <v>0.5396583766364681</v>
      </c>
      <c r="L103" s="13">
        <v>0.0037029244816632924</v>
      </c>
      <c r="M103" s="13">
        <v>0.05752326889534673</v>
      </c>
      <c r="N103" s="13">
        <v>0.186164269371648</v>
      </c>
      <c r="O103" s="13">
        <f>C103/108848.072</f>
        <v>0.01253122793</v>
      </c>
      <c r="P103" s="13">
        <f>C103/71234.345</f>
        <v>0.01914806685</v>
      </c>
      <c r="Q103" s="13">
        <v>11.597708354057502</v>
      </c>
      <c r="R103" s="13">
        <v>0.08534356033426113</v>
      </c>
      <c r="S103" s="13">
        <v>0.6544382798071058</v>
      </c>
      <c r="T103" s="13">
        <v>1.454</v>
      </c>
      <c r="U103" s="13">
        <v>0.44996533333176536</v>
      </c>
      <c r="V103" s="13">
        <v>0.0499990665888873</v>
      </c>
      <c r="W103" s="13">
        <v>0.03201413882352941</v>
      </c>
      <c r="X103" s="13">
        <v>-0.06668007778448337</v>
      </c>
    </row>
    <row r="104" ht="14.25" customHeight="1">
      <c r="A104" s="21" t="s">
        <v>841</v>
      </c>
      <c r="B104" s="30">
        <v>42348.0</v>
      </c>
      <c r="C104" s="40">
        <v>2940.0</v>
      </c>
      <c r="D104" s="21" t="s">
        <v>201</v>
      </c>
      <c r="E104" s="13">
        <v>24.120907566221092</v>
      </c>
      <c r="F104" s="13">
        <v>0.043</v>
      </c>
      <c r="G104" s="13">
        <v>0.004844057420359893</v>
      </c>
      <c r="H104" s="13">
        <v>0.007144662566349313</v>
      </c>
      <c r="I104" s="13">
        <v>0.053386195438755474</v>
      </c>
      <c r="J104" s="13">
        <v>0.124</v>
      </c>
      <c r="K104" s="13">
        <v>0.4305338341835119</v>
      </c>
      <c r="L104" s="13">
        <v>0.0032466751352079604</v>
      </c>
      <c r="M104" s="13">
        <v>0.005154810451593415</v>
      </c>
      <c r="N104" s="13">
        <v>0.26467980667572877</v>
      </c>
      <c r="O104" s="13">
        <f>C104/1340260</f>
        <v>0.002193604226</v>
      </c>
      <c r="P104" s="13">
        <f>C104/834429</f>
        <v>0.003523367476</v>
      </c>
      <c r="Q104" s="13">
        <v>14.108374182956483</v>
      </c>
      <c r="R104" s="13">
        <v>0.1463507080715682</v>
      </c>
      <c r="S104" s="13">
        <v>0.622587408413293</v>
      </c>
      <c r="T104" s="13">
        <v>0.985</v>
      </c>
      <c r="U104" s="13">
        <v>0.6320213988330622</v>
      </c>
      <c r="V104" s="13">
        <v>0.07368197215465656</v>
      </c>
      <c r="W104" s="13">
        <v>0.4856014492753623</v>
      </c>
      <c r="X104" s="13">
        <v>-0.04542533800175735</v>
      </c>
    </row>
    <row r="105" ht="14.25" customHeight="1">
      <c r="A105" s="21" t="s">
        <v>841</v>
      </c>
      <c r="B105" s="30">
        <v>43125.0</v>
      </c>
      <c r="C105" s="40">
        <v>2835.0</v>
      </c>
      <c r="D105" s="21" t="s">
        <v>850</v>
      </c>
      <c r="E105" s="13">
        <v>96.75484483993507</v>
      </c>
      <c r="F105" s="13">
        <v>0.04</v>
      </c>
      <c r="G105" s="13">
        <v>0.003826572829001014</v>
      </c>
      <c r="H105" s="13">
        <v>0.005319198993670707</v>
      </c>
      <c r="I105" s="13">
        <v>0.0523373363564655</v>
      </c>
      <c r="J105" s="13">
        <v>0.126</v>
      </c>
      <c r="K105" s="13">
        <v>0.41537568536877384</v>
      </c>
      <c r="L105" s="13">
        <v>0.003305097054346546</v>
      </c>
      <c r="M105" s="13">
        <v>0.07510428341375879</v>
      </c>
      <c r="N105" s="13">
        <v>0.24086556802640197</v>
      </c>
      <c r="O105" s="13">
        <f>C105/1438470</f>
        <v>0.001970844022</v>
      </c>
      <c r="P105" s="13">
        <f>C105/874407</f>
        <v>0.003242197283</v>
      </c>
      <c r="Q105" s="13">
        <v>14.179090606698919</v>
      </c>
      <c r="R105" s="13">
        <v>0.1285449123026549</v>
      </c>
      <c r="S105" s="13">
        <v>0.6078729483409456</v>
      </c>
      <c r="T105" s="13">
        <v>0.93</v>
      </c>
      <c r="U105" s="13">
        <v>0.6535881874491647</v>
      </c>
      <c r="V105" s="13">
        <v>0.07331817834226644</v>
      </c>
      <c r="W105" s="13">
        <v>0.5584122670807453</v>
      </c>
      <c r="X105" s="13">
        <v>0.058922779114785065</v>
      </c>
    </row>
    <row r="106" ht="14.25" customHeight="1">
      <c r="A106" s="21" t="s">
        <v>841</v>
      </c>
      <c r="B106" s="30">
        <v>41597.0</v>
      </c>
      <c r="C106" s="40">
        <v>2448.0</v>
      </c>
      <c r="D106" s="21" t="s">
        <v>189</v>
      </c>
      <c r="E106" s="13">
        <v>131.6358613752337</v>
      </c>
      <c r="F106" s="13">
        <v>0.055</v>
      </c>
      <c r="G106" s="13">
        <v>0.005572659078103768</v>
      </c>
      <c r="H106" s="13">
        <v>0.008432934279397198</v>
      </c>
      <c r="I106" s="13">
        <v>0.05007538174307232</v>
      </c>
      <c r="J106" s="13">
        <v>0.108</v>
      </c>
      <c r="K106" s="13">
        <v>0.46366094206548447</v>
      </c>
      <c r="L106" s="13">
        <v>0.0034193745033654684</v>
      </c>
      <c r="M106" s="13">
        <v>0.004711145032420139</v>
      </c>
      <c r="N106" s="13">
        <v>0.23771003783633007</v>
      </c>
      <c r="O106" s="13">
        <f>C106/1115763</f>
        <v>0.00219401432</v>
      </c>
      <c r="P106" s="13">
        <f>C106/675484</f>
        <v>0.003624068076</v>
      </c>
      <c r="Q106" s="13">
        <v>13.92504903377923</v>
      </c>
      <c r="R106" s="13">
        <v>0.12405233010953043</v>
      </c>
      <c r="S106" s="13">
        <v>0.6054009677682447</v>
      </c>
      <c r="T106" s="13">
        <v>0.969</v>
      </c>
      <c r="U106" s="13">
        <v>0.6250431319195923</v>
      </c>
      <c r="V106" s="13">
        <v>0.07137895771772321</v>
      </c>
      <c r="W106" s="13">
        <v>0.3687253800396563</v>
      </c>
      <c r="X106" s="13">
        <v>-0.05057198660714286</v>
      </c>
    </row>
    <row r="107" ht="14.25" customHeight="1">
      <c r="A107" s="21" t="s">
        <v>792</v>
      </c>
      <c r="B107" s="30">
        <v>40751.0</v>
      </c>
      <c r="C107" s="40">
        <v>1130.0</v>
      </c>
      <c r="D107" s="21" t="s">
        <v>486</v>
      </c>
      <c r="E107" s="13">
        <v>7.6655410947589475</v>
      </c>
      <c r="F107" s="13">
        <v>0.055</v>
      </c>
      <c r="G107" s="13">
        <v>0.004785148858616452</v>
      </c>
      <c r="H107" s="13">
        <v>0.007820845114671694</v>
      </c>
      <c r="I107" s="13">
        <v>0.059976009596161534</v>
      </c>
      <c r="J107" s="13">
        <v>0.124</v>
      </c>
      <c r="K107" s="13">
        <v>0.4836774967432382</v>
      </c>
      <c r="L107" s="13">
        <v>0.002003640036076322</v>
      </c>
      <c r="M107" s="13">
        <v>0.004134239266693933</v>
      </c>
      <c r="N107" s="13">
        <v>0.2810779788525156</v>
      </c>
      <c r="O107" s="13">
        <f>C107/267541</f>
        <v>0.004223651702</v>
      </c>
      <c r="P107" s="13">
        <f>C107/190217</f>
        <v>0.005940583649</v>
      </c>
      <c r="Q107" s="13">
        <v>12.497028104601432</v>
      </c>
      <c r="R107" s="13">
        <v>0.013986641299838155</v>
      </c>
      <c r="S107" s="13">
        <v>0.7109826157486142</v>
      </c>
      <c r="T107" s="13">
        <v>1.258</v>
      </c>
      <c r="U107" s="13">
        <v>0.5651881393879816</v>
      </c>
      <c r="V107" s="13">
        <v>0.07839172313776206</v>
      </c>
      <c r="W107" s="13">
        <v>0.07868852941176471</v>
      </c>
      <c r="X107" s="13">
        <v>0.033128273339429665</v>
      </c>
    </row>
    <row r="108" ht="14.25" customHeight="1">
      <c r="A108" s="21" t="s">
        <v>792</v>
      </c>
      <c r="B108" s="30">
        <v>41239.0</v>
      </c>
      <c r="C108" s="40">
        <v>2400.0</v>
      </c>
      <c r="D108" s="21" t="s">
        <v>339</v>
      </c>
      <c r="E108" s="13">
        <v>40.40226302007006</v>
      </c>
      <c r="F108" s="13">
        <v>0.096</v>
      </c>
      <c r="G108" s="13">
        <v>0.004295460288048513</v>
      </c>
      <c r="H108" s="13">
        <v>0.0065005559975210864</v>
      </c>
      <c r="I108" s="13">
        <v>0.04603467956732076</v>
      </c>
      <c r="J108" s="13">
        <v>0.106</v>
      </c>
      <c r="K108" s="13">
        <v>0.4342894298803845</v>
      </c>
      <c r="L108" s="13">
        <v>0.00401051849623786</v>
      </c>
      <c r="M108" s="13">
        <v>0.0136027613197804</v>
      </c>
      <c r="N108" s="13">
        <v>0.3026009675490569</v>
      </c>
      <c r="O108" s="13">
        <f>C108/348174.1</f>
        <v>0.006893103192</v>
      </c>
      <c r="P108" s="13">
        <f>C108/228250.9</f>
        <v>0.01051474496</v>
      </c>
      <c r="Q108" s="13">
        <v>12.760457921010937</v>
      </c>
      <c r="R108" s="13">
        <v>0.06412539014246034</v>
      </c>
      <c r="S108" s="13">
        <v>0.655565419713873</v>
      </c>
      <c r="T108" s="13">
        <v>1.307</v>
      </c>
      <c r="U108" s="13">
        <v>0.5017320357832475</v>
      </c>
      <c r="V108" s="13">
        <v>0.06522943550367474</v>
      </c>
      <c r="W108" s="13">
        <v>0.10171606777680396</v>
      </c>
      <c r="X108" s="13">
        <v>-0.06304893785295064</v>
      </c>
    </row>
    <row r="109" ht="14.25" customHeight="1">
      <c r="A109" s="21" t="s">
        <v>792</v>
      </c>
      <c r="B109" s="30">
        <v>41603.0</v>
      </c>
      <c r="C109" s="40">
        <v>645.0</v>
      </c>
      <c r="D109" s="21" t="s">
        <v>189</v>
      </c>
      <c r="E109" s="13">
        <v>128.17175976009597</v>
      </c>
      <c r="F109" s="13">
        <v>0.117</v>
      </c>
      <c r="G109" s="13">
        <v>0.0037731053830288457</v>
      </c>
      <c r="H109" s="13">
        <v>0.005632131358034299</v>
      </c>
      <c r="I109" s="13">
        <v>0.055272560475109846</v>
      </c>
      <c r="J109" s="13">
        <v>0.124</v>
      </c>
      <c r="K109" s="13">
        <v>0.44574645544443425</v>
      </c>
      <c r="L109" s="13">
        <v>0.005579671267619372</v>
      </c>
      <c r="M109" s="13">
        <v>0.009149727198107286</v>
      </c>
      <c r="N109" s="13">
        <v>0.31180894210805854</v>
      </c>
      <c r="O109" s="13">
        <f>C109/340320.1</f>
        <v>0.001895274478</v>
      </c>
      <c r="P109" s="13">
        <f>C109/214329.5</f>
        <v>0.003009385082</v>
      </c>
      <c r="Q109" s="13">
        <v>12.737641924275112</v>
      </c>
      <c r="R109" s="13">
        <v>0.043062986876179224</v>
      </c>
      <c r="S109" s="13">
        <v>0.6297879555159981</v>
      </c>
      <c r="T109" s="13">
        <v>1.13</v>
      </c>
      <c r="U109" s="13">
        <v>0.5571601559825587</v>
      </c>
      <c r="V109" s="13">
        <v>0.07036492995858899</v>
      </c>
      <c r="W109" s="13">
        <v>0.11246533377395901</v>
      </c>
      <c r="X109" s="13">
        <v>-0.05057198660714286</v>
      </c>
    </row>
    <row r="110" ht="14.25" customHeight="1">
      <c r="A110" s="21" t="s">
        <v>792</v>
      </c>
      <c r="B110" s="30">
        <v>41971.0</v>
      </c>
      <c r="C110" s="40">
        <v>1830.0</v>
      </c>
      <c r="D110" s="21" t="s">
        <v>238</v>
      </c>
      <c r="E110" s="13">
        <v>45.03332099679022</v>
      </c>
      <c r="F110" s="13">
        <v>0.101</v>
      </c>
      <c r="G110" s="13">
        <v>0.0037130668352030336</v>
      </c>
      <c r="H110" s="13">
        <v>0.005579271772628696</v>
      </c>
      <c r="I110" s="13">
        <v>0.0521351007011534</v>
      </c>
      <c r="J110" s="13">
        <v>0.121</v>
      </c>
      <c r="K110" s="13">
        <v>0.43086860083597855</v>
      </c>
      <c r="L110" s="13">
        <v>0.006267003271161052</v>
      </c>
      <c r="M110" s="13">
        <v>0.011421516100090843</v>
      </c>
      <c r="N110" s="13">
        <v>0.3123521685693152</v>
      </c>
      <c r="O110" s="13">
        <f>C110/338623.4</f>
        <v>0.00540423373</v>
      </c>
      <c r="P110" s="13">
        <f>C110/202255.3</f>
        <v>0.00904797056</v>
      </c>
      <c r="Q110" s="13">
        <v>12.732643854385461</v>
      </c>
      <c r="R110" s="13">
        <v>0.05183191710909523</v>
      </c>
      <c r="S110" s="13">
        <v>0.5972868384169552</v>
      </c>
      <c r="T110" s="13">
        <v>0.974</v>
      </c>
      <c r="U110" s="13">
        <v>0.6129576396669574</v>
      </c>
      <c r="V110" s="13">
        <v>0.07451522842189877</v>
      </c>
      <c r="W110" s="13">
        <v>0.11624558874013045</v>
      </c>
      <c r="X110" s="13">
        <v>-0.04177980324468884</v>
      </c>
    </row>
    <row r="111" ht="14.25" customHeight="1">
      <c r="A111" s="21" t="s">
        <v>792</v>
      </c>
      <c r="B111" s="30">
        <v>42299.0</v>
      </c>
      <c r="C111" s="40">
        <v>3650.0</v>
      </c>
      <c r="D111" s="21" t="s">
        <v>201</v>
      </c>
      <c r="E111" s="13">
        <v>131.6358613752337</v>
      </c>
      <c r="F111" s="13">
        <v>0.079</v>
      </c>
      <c r="G111" s="13">
        <v>0.0021460719613643833</v>
      </c>
      <c r="H111" s="13">
        <v>0.0031524358254135542</v>
      </c>
      <c r="I111" s="13">
        <v>0.05236361292817324</v>
      </c>
      <c r="J111" s="13">
        <v>0.128</v>
      </c>
      <c r="K111" s="13">
        <v>0.4090907260013534</v>
      </c>
      <c r="L111" s="13">
        <v>0.0027264596416653043</v>
      </c>
      <c r="M111" s="13">
        <v>0.012845563227414805</v>
      </c>
      <c r="N111" s="13">
        <v>0.29825728037309257</v>
      </c>
      <c r="O111" s="13">
        <f>C111/344255.5</f>
        <v>0.01060259023</v>
      </c>
      <c r="P111" s="13">
        <f>C111/218553.5</f>
        <v>0.0167007163</v>
      </c>
      <c r="Q111" s="13">
        <v>12.749139393224349</v>
      </c>
      <c r="R111" s="13">
        <v>0.0500587499691363</v>
      </c>
      <c r="S111" s="13">
        <v>0.6348584118481767</v>
      </c>
      <c r="T111" s="13">
        <v>0.99</v>
      </c>
      <c r="U111" s="13">
        <v>0.6411871415271506</v>
      </c>
      <c r="V111" s="13">
        <v>0.07321480702559581</v>
      </c>
      <c r="W111" s="13">
        <v>0.1247302536231884</v>
      </c>
      <c r="X111" s="13">
        <v>-0.04542533800175735</v>
      </c>
    </row>
    <row r="112" ht="14.25" customHeight="1">
      <c r="A112" s="21" t="s">
        <v>841</v>
      </c>
      <c r="B112" s="30">
        <v>37888.0</v>
      </c>
      <c r="C112" s="40">
        <v>1800.0</v>
      </c>
      <c r="D112" s="21" t="s">
        <v>911</v>
      </c>
      <c r="E112" s="13">
        <v>17.38636575842439</v>
      </c>
      <c r="F112" s="13">
        <v>0.018</v>
      </c>
      <c r="G112" s="13">
        <v>0.0069883949008029515</v>
      </c>
      <c r="H112" s="13">
        <v>0.013614157802477387</v>
      </c>
      <c r="I112" s="13">
        <v>0.048956891256314576</v>
      </c>
      <c r="J112" s="13">
        <v>0.083</v>
      </c>
      <c r="K112" s="13">
        <v>0.5898420633290912</v>
      </c>
      <c r="L112" s="13">
        <v>0.001295619194104048</v>
      </c>
      <c r="M112" s="13">
        <v>0.015116383188289622</v>
      </c>
      <c r="N112" s="13">
        <v>0.36502179564257703</v>
      </c>
      <c r="O112" s="13">
        <f>C112/345067.1</f>
        <v>0.005216376757</v>
      </c>
      <c r="P112" s="13">
        <f>C112/174055</f>
        <v>0.0103415587</v>
      </c>
      <c r="Q112" s="13">
        <v>12.751494169855857</v>
      </c>
      <c r="R112" s="13">
        <v>0.0</v>
      </c>
      <c r="S112" s="13">
        <v>0.5044091424537431</v>
      </c>
      <c r="T112" s="13">
        <v>1.077</v>
      </c>
      <c r="U112" s="13">
        <v>0.37442427864029926</v>
      </c>
      <c r="V112" s="13">
        <v>0.08851785638213554</v>
      </c>
      <c r="W112" s="13">
        <v>0.2048078827511164</v>
      </c>
      <c r="X112" s="13">
        <v>0.06465664238102607</v>
      </c>
    </row>
    <row r="113" ht="14.25" customHeight="1">
      <c r="A113" s="21" t="s">
        <v>841</v>
      </c>
      <c r="B113" s="30">
        <v>38286.0</v>
      </c>
      <c r="C113" s="40">
        <v>1800.0</v>
      </c>
      <c r="D113" s="21" t="s">
        <v>740</v>
      </c>
      <c r="E113" s="13">
        <v>23.438134606793525</v>
      </c>
      <c r="F113" s="13">
        <v>0.011</v>
      </c>
      <c r="G113" s="13">
        <v>0.003925582881356969</v>
      </c>
      <c r="H113" s="13">
        <v>0.00992032372711118</v>
      </c>
      <c r="I113" s="13">
        <v>0.03720685217605403</v>
      </c>
      <c r="J113" s="13">
        <v>0.072</v>
      </c>
      <c r="K113" s="13">
        <v>0.5167618357785282</v>
      </c>
      <c r="L113" s="13">
        <v>9.944136609779492E-4</v>
      </c>
      <c r="M113" s="13">
        <v>0.01460818430504122</v>
      </c>
      <c r="N113" s="13">
        <v>0.3445112306232205</v>
      </c>
      <c r="O113" s="13">
        <f>C113/664486.3</f>
        <v>0.00270885946</v>
      </c>
      <c r="P113" s="13">
        <f>C113/392427.6</f>
        <v>0.004586833342</v>
      </c>
      <c r="Q113" s="13">
        <v>13.406769539917637</v>
      </c>
      <c r="R113" s="13">
        <v>0.1917217856861759</v>
      </c>
      <c r="S113" s="13">
        <v>0.5905728981921824</v>
      </c>
      <c r="T113" s="13">
        <v>1.492</v>
      </c>
      <c r="U113" s="13">
        <v>0.483374901785033</v>
      </c>
      <c r="V113" s="13">
        <v>0.058126856791479366</v>
      </c>
      <c r="W113" s="13">
        <v>0.2674168739944747</v>
      </c>
      <c r="X113" s="13">
        <v>-0.05228758169934636</v>
      </c>
    </row>
    <row r="114" ht="14.25" customHeight="1">
      <c r="A114" s="21" t="s">
        <v>824</v>
      </c>
      <c r="B114" s="30">
        <v>39044.0</v>
      </c>
      <c r="C114" s="40">
        <v>1000.0</v>
      </c>
      <c r="D114" s="21" t="s">
        <v>762</v>
      </c>
      <c r="E114" s="13">
        <v>86.60254037844322</v>
      </c>
      <c r="F114" s="13">
        <v>0.004</v>
      </c>
      <c r="G114" s="13">
        <v>0.007111888730730811</v>
      </c>
      <c r="H114" s="13">
        <v>0.015651323805356106</v>
      </c>
      <c r="I114" s="13">
        <v>0.04721890379643113</v>
      </c>
      <c r="J114" s="13">
        <v>0.073</v>
      </c>
      <c r="K114" s="13">
        <v>0.6468342985812484</v>
      </c>
      <c r="L114" s="13">
        <v>1.8010857655810926E-4</v>
      </c>
      <c r="M114" s="13">
        <v>0.004632537899007864</v>
      </c>
      <c r="N114" s="13">
        <v>0.13023803270307033</v>
      </c>
      <c r="O114" s="13">
        <f>C114/105347.608</f>
        <v>0.009492384488</v>
      </c>
      <c r="P114" s="13">
        <f>C114/85590.146</f>
        <v>0.01168358797</v>
      </c>
      <c r="Q114" s="13">
        <v>11.565020713706414</v>
      </c>
      <c r="R114" s="13">
        <v>0.054234340090569495</v>
      </c>
      <c r="S114" s="13">
        <v>0.8124545741940339</v>
      </c>
      <c r="T114" s="13">
        <v>1.915</v>
      </c>
      <c r="U114" s="13">
        <v>0.35336139763135394</v>
      </c>
      <c r="V114" s="13">
        <v>0.041503002137457175</v>
      </c>
      <c r="W114" s="13">
        <v>0.03416596441340231</v>
      </c>
      <c r="X114" s="13">
        <v>-0.04955849312921253</v>
      </c>
    </row>
    <row r="115" ht="14.25" customHeight="1">
      <c r="A115" s="21" t="s">
        <v>841</v>
      </c>
      <c r="B115" s="30">
        <v>41107.0</v>
      </c>
      <c r="C115" s="40">
        <v>1884.0</v>
      </c>
      <c r="D115" s="21" t="s">
        <v>49</v>
      </c>
      <c r="E115" s="13">
        <v>27.72554566375479</v>
      </c>
      <c r="F115" s="13">
        <v>0.049</v>
      </c>
      <c r="G115" s="13">
        <v>0.006073254370647761</v>
      </c>
      <c r="H115" s="13">
        <v>0.010888802050721872</v>
      </c>
      <c r="I115" s="13">
        <v>0.04901858853182105</v>
      </c>
      <c r="J115" s="13">
        <v>0.112</v>
      </c>
      <c r="K115" s="13">
        <v>0.43766596903411653</v>
      </c>
      <c r="L115" s="13">
        <v>0.004059382640937633</v>
      </c>
      <c r="M115" s="13">
        <v>0.005682104599873976</v>
      </c>
      <c r="N115" s="13">
        <v>0.2946179899180844</v>
      </c>
      <c r="O115" s="13">
        <f>C115/1300632</f>
        <v>0.001448526562</v>
      </c>
      <c r="P115" s="13">
        <f>C115/741948</f>
        <v>0.002539261512</v>
      </c>
      <c r="Q115" s="13">
        <v>14.078360858143425</v>
      </c>
      <c r="R115" s="13">
        <v>0.16570021343469943</v>
      </c>
      <c r="S115" s="13">
        <v>0.5704519033823556</v>
      </c>
      <c r="T115" s="13">
        <v>1.088</v>
      </c>
      <c r="U115" s="13">
        <v>0.5827551528795232</v>
      </c>
      <c r="V115" s="13">
        <v>0.0648623130908666</v>
      </c>
      <c r="W115" s="13">
        <v>0.37996844872918495</v>
      </c>
      <c r="X115" s="13">
        <v>0.028527799977166354</v>
      </c>
    </row>
    <row r="116" ht="14.25" customHeight="1">
      <c r="A116" s="21" t="s">
        <v>841</v>
      </c>
      <c r="B116" s="30">
        <v>41226.0</v>
      </c>
      <c r="C116" s="40">
        <v>3180.0</v>
      </c>
      <c r="D116" s="21" t="s">
        <v>339</v>
      </c>
      <c r="E116" s="13">
        <v>36.97893806567603</v>
      </c>
      <c r="F116" s="13">
        <v>0.055</v>
      </c>
      <c r="G116" s="13">
        <v>0.0054913432406944115</v>
      </c>
      <c r="H116" s="13">
        <v>0.008585596727704417</v>
      </c>
      <c r="I116" s="13">
        <v>0.05095818203664202</v>
      </c>
      <c r="J116" s="13">
        <v>0.115</v>
      </c>
      <c r="K116" s="13">
        <v>0.44311462640558275</v>
      </c>
      <c r="L116" s="13">
        <v>0.004059382640937633</v>
      </c>
      <c r="M116" s="13">
        <v>0.06179458811670144</v>
      </c>
      <c r="N116" s="13">
        <v>0.32070269283403735</v>
      </c>
      <c r="O116" s="13">
        <f>C116/1269600</f>
        <v>0.002504725898</v>
      </c>
      <c r="P116" s="13">
        <f>C116/721436</f>
        <v>0.004407875404</v>
      </c>
      <c r="Q116" s="13">
        <v>14.054212448194336</v>
      </c>
      <c r="R116" s="13">
        <v>0.15915485192186515</v>
      </c>
      <c r="S116" s="13">
        <v>0.5682388153749213</v>
      </c>
      <c r="T116" s="13">
        <v>0.91</v>
      </c>
      <c r="U116" s="13">
        <v>0.5220471014492754</v>
      </c>
      <c r="V116" s="13">
        <v>0.06401622558286074</v>
      </c>
      <c r="W116" s="13">
        <v>0.37090271691498683</v>
      </c>
      <c r="X116" s="13">
        <v>-0.06304893785295064</v>
      </c>
    </row>
    <row r="117" ht="14.25" customHeight="1">
      <c r="A117" s="21" t="s">
        <v>841</v>
      </c>
      <c r="B117" s="30">
        <v>43811.0</v>
      </c>
      <c r="C117" s="40">
        <v>3150.0</v>
      </c>
      <c r="D117" s="21" t="s">
        <v>163</v>
      </c>
      <c r="E117" s="13">
        <v>25.41533776953201</v>
      </c>
      <c r="F117" s="13">
        <v>0.033</v>
      </c>
      <c r="G117" s="13">
        <v>0.003291625007146612</v>
      </c>
      <c r="H117" s="13">
        <v>0.004701507549698948</v>
      </c>
      <c r="I117" s="13">
        <v>0.0504694035611179</v>
      </c>
      <c r="J117" s="13">
        <v>0.132</v>
      </c>
      <c r="K117" s="13">
        <v>0.38234396637210527</v>
      </c>
      <c r="L117" s="13">
        <v>0.0026022548103370353</v>
      </c>
      <c r="M117" s="13">
        <v>0.07949835070915287</v>
      </c>
      <c r="N117" s="13">
        <v>0.2289810362389547</v>
      </c>
      <c r="O117" s="13">
        <f>C117/1522695</f>
        <v>0.002068700561</v>
      </c>
      <c r="P117" s="13">
        <f>C117/987935</f>
        <v>0.003188468877</v>
      </c>
      <c r="Q117" s="13">
        <v>14.235992349182531</v>
      </c>
      <c r="R117" s="13">
        <v>0.11852078058967817</v>
      </c>
      <c r="S117" s="13">
        <v>0.6488068851608497</v>
      </c>
      <c r="T117" s="13">
        <v>0.974</v>
      </c>
      <c r="U117" s="13">
        <v>0.6564203599538976</v>
      </c>
      <c r="V117" s="13">
        <v>0.07267312232587617</v>
      </c>
      <c r="W117" s="13">
        <v>0.5827382319173364</v>
      </c>
      <c r="X117" s="13">
        <v>-0.10009814717288265</v>
      </c>
    </row>
    <row r="118" ht="14.25" customHeight="1">
      <c r="A118" s="21" t="s">
        <v>841</v>
      </c>
      <c r="B118" s="30">
        <v>43432.0</v>
      </c>
      <c r="C118" s="40">
        <v>2310.0</v>
      </c>
      <c r="D118" s="21" t="s">
        <v>58</v>
      </c>
      <c r="E118" s="13">
        <v>136.8320137979403</v>
      </c>
      <c r="F118" s="13">
        <v>0.037</v>
      </c>
      <c r="G118" s="13">
        <v>0.004010643465402289</v>
      </c>
      <c r="H118" s="13">
        <v>0.005571829118629796</v>
      </c>
      <c r="I118" s="13">
        <v>0.05243830133897597</v>
      </c>
      <c r="J118" s="13">
        <v>0.13</v>
      </c>
      <c r="K118" s="13">
        <v>0.4033715487613536</v>
      </c>
      <c r="L118" s="13">
        <v>0.002829047934110561</v>
      </c>
      <c r="M118" s="13">
        <v>0.06871820952879226</v>
      </c>
      <c r="N118" s="13">
        <v>0.23465509102341</v>
      </c>
      <c r="O118" s="13">
        <f>C118/1459271</f>
        <v>0.001582982188</v>
      </c>
      <c r="P118" s="13">
        <f>C118/916109</f>
        <v>0.00252153401</v>
      </c>
      <c r="Q118" s="13">
        <v>14.193447553916746</v>
      </c>
      <c r="R118" s="13">
        <v>0.10855625857020389</v>
      </c>
      <c r="S118" s="13">
        <v>0.6277853805084868</v>
      </c>
      <c r="T118" s="13">
        <v>0.96</v>
      </c>
      <c r="U118" s="13">
        <v>0.6636224525807749</v>
      </c>
      <c r="V118" s="13">
        <v>0.073571666948771</v>
      </c>
      <c r="W118" s="13">
        <v>0.5664871894409937</v>
      </c>
      <c r="X118" s="13">
        <v>-0.045806161730239145</v>
      </c>
    </row>
    <row r="119" ht="14.25" customHeight="1">
      <c r="A119" s="21" t="s">
        <v>841</v>
      </c>
      <c r="B119" s="29">
        <v>41977.0</v>
      </c>
      <c r="C119" s="40">
        <v>4560.0</v>
      </c>
      <c r="D119" s="21" t="s">
        <v>238</v>
      </c>
      <c r="E119" s="13">
        <v>158.0</v>
      </c>
      <c r="F119" s="13">
        <v>0.047</v>
      </c>
      <c r="G119" s="13">
        <v>0.004945624948228324</v>
      </c>
      <c r="H119" s="13">
        <v>0.007439792744392266</v>
      </c>
      <c r="I119" s="13">
        <v>0.053731866334718076</v>
      </c>
      <c r="J119" s="13">
        <v>0.119</v>
      </c>
      <c r="K119" s="13">
        <v>0.45152828852704263</v>
      </c>
      <c r="L119" s="13">
        <v>0.003125028775587252</v>
      </c>
      <c r="M119" s="13">
        <v>0.004917901130912834</v>
      </c>
      <c r="N119" s="13">
        <v>0.2648205068300126</v>
      </c>
      <c r="O119" s="13">
        <f>C119/1266296</f>
        <v>0.003601053782</v>
      </c>
      <c r="P119" s="13">
        <f>C119/750036</f>
        <v>0.006079708174</v>
      </c>
      <c r="Q119" s="13">
        <v>14.051606661624582</v>
      </c>
      <c r="R119" s="13">
        <v>0.1318704315578664</v>
      </c>
      <c r="S119" s="13">
        <v>0.5923070119466539</v>
      </c>
      <c r="T119" s="13">
        <v>1.031</v>
      </c>
      <c r="U119" s="13">
        <v>0.6237720090721285</v>
      </c>
      <c r="V119" s="13">
        <v>0.07084757434280768</v>
      </c>
      <c r="W119" s="13">
        <v>0.43470511500171644</v>
      </c>
      <c r="X119" s="13">
        <v>-0.04177980324468884</v>
      </c>
    </row>
    <row r="120" ht="14.25" customHeight="1">
      <c r="A120" s="21" t="s">
        <v>841</v>
      </c>
      <c r="B120" s="26">
        <v>42143.0</v>
      </c>
      <c r="C120" s="40">
        <v>3753.8</v>
      </c>
      <c r="D120" s="21" t="s">
        <v>125</v>
      </c>
      <c r="E120" s="13">
        <v>54.0</v>
      </c>
      <c r="F120" s="13">
        <v>0.044</v>
      </c>
      <c r="G120" s="13">
        <v>0.004996971532404603</v>
      </c>
      <c r="H120" s="13">
        <v>0.007361497139205248</v>
      </c>
      <c r="I120" s="13">
        <v>0.05496403814826568</v>
      </c>
      <c r="J120" s="13">
        <v>0.124</v>
      </c>
      <c r="K120" s="13">
        <v>0.4432583721634329</v>
      </c>
      <c r="L120" s="13">
        <v>0.0032466751352079604</v>
      </c>
      <c r="M120" s="13">
        <v>0.004762095897766405</v>
      </c>
      <c r="N120" s="13">
        <v>0.26301416132811584</v>
      </c>
      <c r="O120" s="13">
        <f>C120/1339376</f>
        <v>0.002802648397</v>
      </c>
      <c r="P120" s="13">
        <f>C120/865606.8</f>
        <v>0.004336611034</v>
      </c>
      <c r="Q120" s="13">
        <v>14.107714391826592</v>
      </c>
      <c r="R120" s="13">
        <v>0.11850667773649819</v>
      </c>
      <c r="S120" s="13">
        <v>0.646276176368697</v>
      </c>
      <c r="T120" s="13">
        <v>1.005</v>
      </c>
      <c r="U120" s="13">
        <v>0.6262132515440025</v>
      </c>
      <c r="V120" s="13">
        <v>0.07611902856255451</v>
      </c>
      <c r="W120" s="13">
        <v>0.4852811594202899</v>
      </c>
      <c r="X120" s="13">
        <v>-0.0073951122086825345</v>
      </c>
    </row>
    <row r="121" ht="14.25" customHeight="1">
      <c r="A121" s="21" t="s">
        <v>841</v>
      </c>
      <c r="B121" s="26">
        <v>41408.0</v>
      </c>
      <c r="C121" s="40">
        <v>2052.0</v>
      </c>
      <c r="D121" s="21" t="s">
        <v>116</v>
      </c>
      <c r="E121" s="13">
        <v>47.1350642909758</v>
      </c>
      <c r="F121" s="13">
        <v>0.06</v>
      </c>
      <c r="G121" s="13">
        <v>0.005929537108907182</v>
      </c>
      <c r="H121" s="13">
        <v>0.00900461101721337</v>
      </c>
      <c r="I121" s="13">
        <v>0.05242660300742924</v>
      </c>
      <c r="J121" s="13">
        <v>0.124</v>
      </c>
      <c r="K121" s="13">
        <v>0.4227951855437842</v>
      </c>
      <c r="L121" s="13">
        <v>0.0034193745033654684</v>
      </c>
      <c r="M121" s="13">
        <v>0.07389733605887025</v>
      </c>
      <c r="N121" s="13">
        <v>0.2945702036855142</v>
      </c>
      <c r="O121" s="13">
        <f>C121/1223118</f>
        <v>0.001677679504</v>
      </c>
      <c r="P121" s="13">
        <f>C121/748871</f>
        <v>0.002740124801</v>
      </c>
      <c r="Q121" s="13">
        <v>14.016913894070623</v>
      </c>
      <c r="R121" s="13">
        <v>0.17639344691190875</v>
      </c>
      <c r="S121" s="13">
        <v>0.6122639025833975</v>
      </c>
      <c r="T121" s="13">
        <v>0.944</v>
      </c>
      <c r="U121" s="13">
        <v>0.6063830309095279</v>
      </c>
      <c r="V121" s="13">
        <v>0.06654631850729038</v>
      </c>
      <c r="W121" s="13">
        <v>0.40420290812954396</v>
      </c>
      <c r="X121" s="13">
        <v>-0.01823914488102136</v>
      </c>
    </row>
    <row r="122" ht="14.25" customHeight="1">
      <c r="A122" s="21" t="s">
        <v>841</v>
      </c>
      <c r="B122" s="26">
        <v>41779.0</v>
      </c>
      <c r="C122" s="40">
        <v>2360.0</v>
      </c>
      <c r="D122" s="21" t="s">
        <v>86</v>
      </c>
      <c r="E122" s="13">
        <v>78.0</v>
      </c>
      <c r="F122" s="13">
        <v>0.05</v>
      </c>
      <c r="G122" s="13">
        <v>0.00562334843418982</v>
      </c>
      <c r="H122" s="13">
        <v>0.008449632006924475</v>
      </c>
      <c r="I122" s="13">
        <v>0.05173818412720924</v>
      </c>
      <c r="J122" s="13">
        <v>0.114</v>
      </c>
      <c r="K122" s="13">
        <v>0.45384372041411614</v>
      </c>
      <c r="L122" s="13">
        <v>0.003125028775587252</v>
      </c>
      <c r="M122" s="13">
        <v>0.004297413574282885</v>
      </c>
      <c r="N122" s="13">
        <v>0.24059794726582803</v>
      </c>
      <c r="O122" s="13">
        <f>C122/1188043</f>
        <v>0.001986460086</v>
      </c>
      <c r="P122" s="13">
        <f>C122/774980</f>
        <v>0.003045239877</v>
      </c>
      <c r="Q122" s="13">
        <v>13.98781797353589</v>
      </c>
      <c r="R122" s="13">
        <v>0.13781235190982144</v>
      </c>
      <c r="S122" s="13">
        <v>0.6523164565592323</v>
      </c>
      <c r="T122" s="13">
        <v>1.048</v>
      </c>
      <c r="U122" s="13">
        <v>0.6153826082052586</v>
      </c>
      <c r="V122" s="13">
        <v>0.072148903701297</v>
      </c>
      <c r="W122" s="13">
        <v>0.4078417439066255</v>
      </c>
      <c r="X122" s="13">
        <v>-0.009467040673211781</v>
      </c>
    </row>
    <row r="123" ht="14.25" customHeight="1">
      <c r="A123" s="21" t="s">
        <v>841</v>
      </c>
      <c r="B123" s="30">
        <v>38652.0</v>
      </c>
      <c r="C123" s="40">
        <v>3100.0</v>
      </c>
      <c r="D123" s="21" t="s">
        <v>1016</v>
      </c>
      <c r="E123" s="13">
        <v>42.0</v>
      </c>
      <c r="F123" s="13">
        <v>0.01</v>
      </c>
      <c r="G123" s="13">
        <v>0.007969964260482899</v>
      </c>
      <c r="H123" s="13">
        <v>0.016854611467836997</v>
      </c>
      <c r="I123" s="13">
        <v>0.04039212605770198</v>
      </c>
      <c r="J123" s="13">
        <v>0.077</v>
      </c>
      <c r="K123" s="13">
        <v>0.5245730656844414</v>
      </c>
      <c r="L123" s="13">
        <v>0.0011603139478024483</v>
      </c>
      <c r="M123" s="13">
        <v>0.014837898809187738</v>
      </c>
      <c r="N123" s="13">
        <v>0.3973976910368732</v>
      </c>
      <c r="O123" s="13">
        <f>C123/809106.9</f>
        <v>0.00383138495</v>
      </c>
      <c r="P123" s="13">
        <f>C123/457629.1</f>
        <v>0.006774044745</v>
      </c>
      <c r="Q123" s="13">
        <v>13.603686325753635</v>
      </c>
      <c r="R123" s="13">
        <v>0.20663993843087974</v>
      </c>
      <c r="S123" s="13">
        <v>0.5655978214992358</v>
      </c>
      <c r="T123" s="13">
        <v>1.192</v>
      </c>
      <c r="U123" s="13">
        <v>0.45658008849016113</v>
      </c>
      <c r="V123" s="13">
        <v>0.054301230158833154</v>
      </c>
      <c r="W123" s="13">
        <v>0.2997639254179191</v>
      </c>
      <c r="X123" s="13">
        <v>-0.044731258840169714</v>
      </c>
    </row>
    <row r="124" ht="14.25" customHeight="1">
      <c r="A124" s="21" t="s">
        <v>841</v>
      </c>
      <c r="B124" s="30">
        <v>40871.0</v>
      </c>
      <c r="C124" s="40">
        <v>5640.0</v>
      </c>
      <c r="D124" s="21" t="s">
        <v>361</v>
      </c>
      <c r="E124" s="13">
        <v>30.24604981500523</v>
      </c>
      <c r="F124" s="13">
        <v>0.044</v>
      </c>
      <c r="G124" s="13">
        <v>0.006259204098752995</v>
      </c>
      <c r="H124" s="13">
        <v>0.00985485554483329</v>
      </c>
      <c r="I124" s="13">
        <v>0.049114465355877476</v>
      </c>
      <c r="J124" s="13">
        <v>0.111</v>
      </c>
      <c r="K124" s="13">
        <v>0.442472660863761</v>
      </c>
      <c r="L124" s="13">
        <v>0.0031215125588316163</v>
      </c>
      <c r="M124" s="13">
        <v>0.08722724683620746</v>
      </c>
      <c r="N124" s="13">
        <v>0.27913607288430503</v>
      </c>
      <c r="O124" s="13">
        <f>C124/1251526</f>
        <v>0.004506498467</v>
      </c>
      <c r="P124" s="13">
        <f>C124/749232</f>
        <v>0.007527708373</v>
      </c>
      <c r="Q124" s="13">
        <v>14.039874164708083</v>
      </c>
      <c r="R124" s="13">
        <v>0.1568549115240115</v>
      </c>
      <c r="S124" s="13">
        <v>0.5986547622662254</v>
      </c>
      <c r="T124" s="13">
        <v>0.972</v>
      </c>
      <c r="U124" s="13">
        <v>0.49692375547931084</v>
      </c>
      <c r="V124" s="13">
        <v>0.06620637525708616</v>
      </c>
      <c r="W124" s="13">
        <v>0.36809588235294116</v>
      </c>
      <c r="X124" s="13">
        <v>-0.06668007778448337</v>
      </c>
    </row>
    <row r="125" ht="14.25" customHeight="1">
      <c r="A125" s="21" t="s">
        <v>841</v>
      </c>
      <c r="B125" s="30">
        <v>39069.0</v>
      </c>
      <c r="C125" s="40">
        <v>2953.7</v>
      </c>
      <c r="D125" s="21" t="s">
        <v>762</v>
      </c>
      <c r="E125" s="13">
        <v>114.31535329954507</v>
      </c>
      <c r="F125" s="13">
        <v>0.009</v>
      </c>
      <c r="G125" s="13">
        <v>0.00787850095481584</v>
      </c>
      <c r="H125" s="13">
        <v>0.01967504727112083</v>
      </c>
      <c r="I125" s="13">
        <v>0.043661212539530016</v>
      </c>
      <c r="J125" s="13">
        <v>0.079</v>
      </c>
      <c r="K125" s="13">
        <v>0.552673576449747</v>
      </c>
      <c r="L125" s="13">
        <v>0.0013924118330175417</v>
      </c>
      <c r="M125" s="13">
        <v>0.017768165979303047</v>
      </c>
      <c r="N125" s="13">
        <v>0.310323057347897</v>
      </c>
      <c r="O125" s="13">
        <f>C125/833872.7</f>
        <v>0.003542147381</v>
      </c>
      <c r="P125" s="13">
        <f>C125/538327.8</f>
        <v>0.005486805623</v>
      </c>
      <c r="Q125" s="13">
        <v>13.633836031800847</v>
      </c>
      <c r="R125" s="13">
        <v>0.21743067017303722</v>
      </c>
      <c r="S125" s="13">
        <v>0.6455755177019227</v>
      </c>
      <c r="T125" s="13">
        <v>1.64</v>
      </c>
      <c r="U125" s="13">
        <v>0.4029210933515392</v>
      </c>
      <c r="V125" s="13">
        <v>0.057251664432712575</v>
      </c>
      <c r="W125" s="13">
        <v>0.27043865099915415</v>
      </c>
      <c r="X125" s="13">
        <v>-0.04955849312921253</v>
      </c>
    </row>
    <row r="126" ht="14.25" customHeight="1">
      <c r="A126" s="21" t="s">
        <v>841</v>
      </c>
      <c r="B126" s="26">
        <v>39230.0</v>
      </c>
      <c r="C126" s="40">
        <v>3545.5</v>
      </c>
      <c r="D126" s="21" t="s">
        <v>775</v>
      </c>
      <c r="E126" s="13">
        <v>30.08915324260774</v>
      </c>
      <c r="F126" s="13">
        <v>0.011</v>
      </c>
      <c r="G126" s="13">
        <v>0.009271322594699117</v>
      </c>
      <c r="H126" s="13">
        <v>0.024036810100728775</v>
      </c>
      <c r="I126" s="13">
        <v>0.043661212539530016</v>
      </c>
      <c r="J126" s="13">
        <v>0.078</v>
      </c>
      <c r="K126" s="13">
        <v>0.5597591351221797</v>
      </c>
      <c r="L126" s="13">
        <v>0.0026756962399616317</v>
      </c>
      <c r="M126" s="13">
        <v>0.021810869457339163</v>
      </c>
      <c r="N126" s="13">
        <v>0.3200228270333428</v>
      </c>
      <c r="O126" s="13">
        <f>C126/883035.8</f>
        <v>0.004015126001</v>
      </c>
      <c r="P126" s="13">
        <f>C126/517844.4</f>
        <v>0.006846651233</v>
      </c>
      <c r="Q126" s="13">
        <v>13.691121022365586</v>
      </c>
      <c r="R126" s="13">
        <v>0.24294541625605665</v>
      </c>
      <c r="S126" s="13">
        <v>0.5864364729040431</v>
      </c>
      <c r="T126" s="13">
        <v>1.678</v>
      </c>
      <c r="U126" s="13">
        <v>0.39977439193292047</v>
      </c>
      <c r="V126" s="13">
        <v>0.0545237237267164</v>
      </c>
      <c r="W126" s="13">
        <v>0.2823907259354014</v>
      </c>
      <c r="X126" s="13">
        <v>-0.024788835842820538</v>
      </c>
    </row>
    <row r="127" ht="14.25" customHeight="1">
      <c r="A127" s="21" t="s">
        <v>841</v>
      </c>
      <c r="B127" s="30">
        <v>40570.0</v>
      </c>
      <c r="C127" s="40">
        <v>7740.0</v>
      </c>
      <c r="D127" s="21" t="s">
        <v>311</v>
      </c>
      <c r="E127" s="13">
        <v>46.66666666666667</v>
      </c>
      <c r="F127" s="13">
        <v>0.039</v>
      </c>
      <c r="G127" s="13">
        <v>0.006514240158494084</v>
      </c>
      <c r="H127" s="13">
        <v>0.010374114966091322</v>
      </c>
      <c r="I127" s="13">
        <v>0.049157903631903595</v>
      </c>
      <c r="J127" s="13">
        <v>0.104</v>
      </c>
      <c r="K127" s="13">
        <v>0.4726721503067654</v>
      </c>
      <c r="L127" s="13">
        <v>0.003821596231163066</v>
      </c>
      <c r="M127" s="13">
        <v>0.004246909082555455</v>
      </c>
      <c r="N127" s="13">
        <v>0.24392103401902596</v>
      </c>
      <c r="O127" s="13">
        <f>C127/1208563</f>
        <v>0.006404299983</v>
      </c>
      <c r="P127" s="13">
        <f>C127/724043</f>
        <v>0.01068997283</v>
      </c>
      <c r="Q127" s="13">
        <v>14.004942608507502</v>
      </c>
      <c r="R127" s="13">
        <v>0.12827548088101323</v>
      </c>
      <c r="S127" s="13">
        <v>0.5990941307983118</v>
      </c>
      <c r="T127" s="13">
        <v>1.074</v>
      </c>
      <c r="U127" s="13">
        <v>0.5878659201051166</v>
      </c>
      <c r="V127" s="13">
        <v>0.06598994011896774</v>
      </c>
      <c r="W127" s="13">
        <v>0.3554597058823529</v>
      </c>
      <c r="X127" s="13">
        <v>0.039470358617203535</v>
      </c>
    </row>
    <row r="128" ht="14.25" customHeight="1">
      <c r="A128" s="21" t="s">
        <v>841</v>
      </c>
      <c r="B128" s="30">
        <v>40640.0</v>
      </c>
      <c r="C128" s="40">
        <v>6420.0</v>
      </c>
      <c r="D128" s="21" t="s">
        <v>1078</v>
      </c>
      <c r="E128" s="13">
        <v>46.66666666666667</v>
      </c>
      <c r="F128" s="13">
        <v>0.043</v>
      </c>
      <c r="G128" s="13">
        <v>0.006403415701028565</v>
      </c>
      <c r="H128" s="13">
        <v>0.011467182104229444</v>
      </c>
      <c r="I128" s="13">
        <v>0.048005707905059855</v>
      </c>
      <c r="J128" s="13">
        <v>0.107</v>
      </c>
      <c r="K128" s="13">
        <v>0.4486514757482229</v>
      </c>
      <c r="L128" s="13">
        <v>0.0042105082195719725</v>
      </c>
      <c r="M128" s="13">
        <v>0.06721454856841348</v>
      </c>
      <c r="N128" s="13">
        <v>0.25823360266803935</v>
      </c>
      <c r="O128" s="13">
        <f>C128/1231907.7</f>
        <v>0.005211429395</v>
      </c>
      <c r="P128" s="13">
        <f>C128/777228.4</f>
        <v>0.008260120191</v>
      </c>
      <c r="Q128" s="13">
        <v>14.024074501437877</v>
      </c>
      <c r="R128" s="13">
        <v>0.1553124475153455</v>
      </c>
      <c r="S128" s="13">
        <v>0.6309144751672549</v>
      </c>
      <c r="T128" s="13">
        <v>1.102</v>
      </c>
      <c r="U128" s="13">
        <v>0.5873261446454145</v>
      </c>
      <c r="V128" s="13">
        <v>0.06466620835310957</v>
      </c>
      <c r="W128" s="13">
        <v>0.36232579411764704</v>
      </c>
      <c r="X128" s="13">
        <v>-0.02505774763943854</v>
      </c>
    </row>
    <row r="129" ht="14.25" customHeight="1">
      <c r="A129" s="21" t="s">
        <v>1087</v>
      </c>
      <c r="B129" s="30">
        <v>38651.0</v>
      </c>
      <c r="C129" s="40">
        <v>750.0</v>
      </c>
      <c r="D129" s="21" t="s">
        <v>1016</v>
      </c>
      <c r="E129" s="13">
        <v>28.89782582391601</v>
      </c>
      <c r="F129" s="13">
        <v>0.005</v>
      </c>
      <c r="G129" s="13">
        <v>0.0054224957715771314</v>
      </c>
      <c r="H129" s="13">
        <v>0.010254321337489374</v>
      </c>
      <c r="I129" s="13">
        <v>0.061821165635584915</v>
      </c>
      <c r="J129" s="13">
        <v>0.077</v>
      </c>
      <c r="K129" s="13">
        <v>0.8028722809816222</v>
      </c>
      <c r="L129" s="13">
        <v>2.577429646846385E-4</v>
      </c>
      <c r="M129" s="13">
        <v>0.012483204098200038</v>
      </c>
      <c r="N129" s="13">
        <v>0.08446239117655292</v>
      </c>
      <c r="O129" s="13">
        <f>C129/52320.4</f>
        <v>0.01433475279</v>
      </c>
      <c r="P129" s="13">
        <f>C129/43051.2</f>
        <v>0.01742111718</v>
      </c>
      <c r="Q129" s="13">
        <v>10.865141631361794</v>
      </c>
      <c r="R129" s="13">
        <v>0.012650897164394766</v>
      </c>
      <c r="S129" s="13">
        <v>0.8228377458887928</v>
      </c>
      <c r="T129" s="13">
        <v>1.742</v>
      </c>
      <c r="U129" s="13">
        <v>0.4792337214547289</v>
      </c>
      <c r="V129" s="13">
        <v>0.06702357015619147</v>
      </c>
      <c r="W129" s="13">
        <v>0.019384049849822928</v>
      </c>
      <c r="X129" s="13">
        <v>-0.044731258840169714</v>
      </c>
    </row>
    <row r="130" ht="14.25" customHeight="1">
      <c r="A130" s="21" t="s">
        <v>1087</v>
      </c>
      <c r="B130" s="30">
        <v>39049.0</v>
      </c>
      <c r="C130" s="40">
        <v>1250.0</v>
      </c>
      <c r="D130" s="21" t="s">
        <v>762</v>
      </c>
      <c r="E130" s="13">
        <v>19.36491673103717</v>
      </c>
      <c r="F130" s="13">
        <v>0.004</v>
      </c>
      <c r="G130" s="13">
        <v>0.007551536281754392</v>
      </c>
      <c r="H130" s="13">
        <v>0.014971219586895228</v>
      </c>
      <c r="I130" s="13">
        <v>0.06058643843522572</v>
      </c>
      <c r="J130" s="13">
        <v>0.073</v>
      </c>
      <c r="K130" s="13">
        <v>0.8299512114414482</v>
      </c>
      <c r="L130" s="13">
        <v>5.684503127171646E-4</v>
      </c>
      <c r="M130" s="13">
        <v>0.012145441236503891</v>
      </c>
      <c r="N130" s="13">
        <v>0.07742226101155703</v>
      </c>
      <c r="O130" s="13">
        <f>C130/72779.8</f>
        <v>0.01717509529</v>
      </c>
      <c r="P130" s="13">
        <f>C130/54557.3</f>
        <v>0.02291169101</v>
      </c>
      <c r="Q130" s="13">
        <v>11.19519372315468</v>
      </c>
      <c r="R130" s="13">
        <v>0.0056018290789477294</v>
      </c>
      <c r="S130" s="13">
        <v>0.749621460899865</v>
      </c>
      <c r="T130" s="13">
        <v>1.895</v>
      </c>
      <c r="U130" s="13">
        <v>0.4740889642455736</v>
      </c>
      <c r="V130" s="13">
        <v>0.05764511581510254</v>
      </c>
      <c r="W130" s="13">
        <v>0.02360368786745056</v>
      </c>
      <c r="X130" s="13">
        <v>-0.04955849312921253</v>
      </c>
    </row>
    <row r="131" ht="14.25" customHeight="1">
      <c r="A131" s="21" t="s">
        <v>1087</v>
      </c>
      <c r="B131" s="30">
        <v>39262.0</v>
      </c>
      <c r="C131" s="40">
        <v>1000.0</v>
      </c>
      <c r="D131" s="21" t="s">
        <v>775</v>
      </c>
      <c r="E131" s="13">
        <v>16.059101370939224</v>
      </c>
      <c r="F131" s="13">
        <v>0.004</v>
      </c>
      <c r="G131" s="13">
        <v>0.008758587471797601</v>
      </c>
      <c r="H131" s="13">
        <v>0.01825364911549491</v>
      </c>
      <c r="I131" s="13">
        <v>0.057607817274914305</v>
      </c>
      <c r="J131" s="13">
        <v>0.072</v>
      </c>
      <c r="K131" s="13">
        <v>0.8001085732626987</v>
      </c>
      <c r="L131" s="13">
        <v>5.684503127171646E-4</v>
      </c>
      <c r="M131" s="13">
        <v>0.009473031914258379</v>
      </c>
      <c r="N131" s="13">
        <v>0.09330253060921188</v>
      </c>
      <c r="O131" s="13">
        <f>C131/74596.9</f>
        <v>0.0134053828</v>
      </c>
      <c r="P131" s="13">
        <f>C131/65983.9</f>
        <v>0.0151552121</v>
      </c>
      <c r="Q131" s="13">
        <v>11.219854230368636</v>
      </c>
      <c r="R131" s="13">
        <v>0.012422768238358433</v>
      </c>
      <c r="S131" s="13">
        <v>0.8845394379659208</v>
      </c>
      <c r="T131" s="13">
        <v>1.94</v>
      </c>
      <c r="U131" s="13">
        <v>0.456781716130295</v>
      </c>
      <c r="V131" s="13">
        <v>0.06125053453963906</v>
      </c>
      <c r="W131" s="13">
        <v>0.023855740326191234</v>
      </c>
      <c r="X131" s="13">
        <v>-0.024788835842820538</v>
      </c>
    </row>
    <row r="132" ht="14.25" customHeight="1">
      <c r="A132" s="21" t="s">
        <v>1087</v>
      </c>
      <c r="B132" s="30">
        <v>40443.0</v>
      </c>
      <c r="C132" s="40">
        <v>1000.0</v>
      </c>
      <c r="D132" s="21" t="s">
        <v>715</v>
      </c>
      <c r="E132" s="13">
        <v>36.37306695894595</v>
      </c>
      <c r="F132" s="13">
        <v>0.052</v>
      </c>
      <c r="G132" s="13">
        <v>0.004091424745680757</v>
      </c>
      <c r="H132" s="13">
        <v>0.005716338181012281</v>
      </c>
      <c r="I132" s="13">
        <v>0.061233166626774665</v>
      </c>
      <c r="J132" s="13">
        <v>0.105</v>
      </c>
      <c r="K132" s="13">
        <v>0.5831730154930921</v>
      </c>
      <c r="L132" s="13">
        <v>0.004553846655463189</v>
      </c>
      <c r="M132" s="13">
        <v>0.012910508016543904</v>
      </c>
      <c r="N132" s="13">
        <v>0.16839891574801852</v>
      </c>
      <c r="O132" s="13">
        <f>C132/85682.1</f>
        <v>0.01167104915</v>
      </c>
      <c r="P132" s="13">
        <f>C132/66022.1</f>
        <v>0.01514644339</v>
      </c>
      <c r="Q132" s="13">
        <v>11.35839921462519</v>
      </c>
      <c r="R132" s="13">
        <v>0.025867713326354045</v>
      </c>
      <c r="S132" s="13">
        <v>0.7705471737970941</v>
      </c>
      <c r="T132" s="13">
        <v>1.131</v>
      </c>
      <c r="U132" s="13">
        <v>0.581591721024578</v>
      </c>
      <c r="V132" s="13">
        <v>0.06352318628978515</v>
      </c>
      <c r="W132" s="13">
        <v>0.026347509225092252</v>
      </c>
      <c r="X132" s="13">
        <v>0.048902346707040245</v>
      </c>
    </row>
    <row r="133" ht="14.25" customHeight="1">
      <c r="A133" s="21" t="s">
        <v>1132</v>
      </c>
      <c r="B133" s="30">
        <v>40906.0</v>
      </c>
      <c r="C133" s="40">
        <v>275.0</v>
      </c>
      <c r="D133" s="21" t="s">
        <v>361</v>
      </c>
      <c r="E133" s="13">
        <v>11.43207688722101</v>
      </c>
      <c r="F133" s="13">
        <v>0.16</v>
      </c>
      <c r="G133" s="13">
        <v>0.005307177317496169</v>
      </c>
      <c r="H133" s="13">
        <v>0.005941959455579121</v>
      </c>
      <c r="I133" s="13">
        <v>0.04105125831865366</v>
      </c>
      <c r="J133" s="13">
        <v>0.082</v>
      </c>
      <c r="K133" s="13">
        <v>0.5006251014469958</v>
      </c>
      <c r="L133" s="13">
        <v>0.001145436668735202</v>
      </c>
      <c r="M133" s="13">
        <v>0.007017195402753505</v>
      </c>
      <c r="N133" s="13">
        <v>0.3298401271430985</v>
      </c>
      <c r="O133" s="13">
        <f>C133/29288.005</f>
        <v>0.00938950946</v>
      </c>
      <c r="P133" s="13">
        <f>C133/17415.096</f>
        <v>0.01579089774</v>
      </c>
      <c r="Q133" s="13">
        <v>10.284933325518441</v>
      </c>
      <c r="R133" s="13">
        <v>0.01781060198535202</v>
      </c>
      <c r="S133" s="13">
        <v>0.5946153041151148</v>
      </c>
      <c r="T133" s="13">
        <v>0.614</v>
      </c>
      <c r="U133" s="13">
        <v>0.5057475918895807</v>
      </c>
      <c r="V133" s="13">
        <v>0.04027252795128927</v>
      </c>
      <c r="W133" s="13">
        <v>0.008614119117647059</v>
      </c>
      <c r="X133" s="13">
        <v>-0.06668007778448337</v>
      </c>
    </row>
    <row r="134" ht="14.25" customHeight="1">
      <c r="A134" s="21" t="s">
        <v>1141</v>
      </c>
      <c r="B134" s="30">
        <v>38348.0</v>
      </c>
      <c r="C134" s="40">
        <v>2000.0</v>
      </c>
      <c r="D134" s="21" t="s">
        <v>740</v>
      </c>
      <c r="E134" s="13">
        <v>28.54873557673459</v>
      </c>
      <c r="F134" s="13">
        <v>0.009</v>
      </c>
      <c r="G134" s="13">
        <v>0.003888632348386392</v>
      </c>
      <c r="H134" s="13">
        <v>0.00563723672246393</v>
      </c>
      <c r="I134" s="13">
        <v>0.07928114757737653</v>
      </c>
      <c r="J134" s="13">
        <v>0.088</v>
      </c>
      <c r="K134" s="13">
        <v>0.900922131561097</v>
      </c>
      <c r="L134" s="13">
        <v>5.08136256129478E-4</v>
      </c>
      <c r="M134" s="13">
        <v>0.01476596511720726</v>
      </c>
      <c r="N134" s="13">
        <v>0.03368634180810308</v>
      </c>
      <c r="O134" s="13">
        <f>C134/63576.085</f>
        <v>0.03145836992</v>
      </c>
      <c r="P134" s="13">
        <f>C134/54439.493</f>
        <v>0.03673803501</v>
      </c>
      <c r="Q134" s="13">
        <v>11.059992656601631</v>
      </c>
      <c r="R134" s="13">
        <v>0.020791591681054284</v>
      </c>
      <c r="S134" s="13">
        <v>0.8562888545276105</v>
      </c>
      <c r="T134" s="13">
        <v>1.486</v>
      </c>
      <c r="U134" s="13">
        <v>0.6325677336061194</v>
      </c>
      <c r="V134" s="13">
        <v>0.06412143811623507</v>
      </c>
      <c r="W134" s="13">
        <v>0.025585656034604495</v>
      </c>
      <c r="X134" s="13">
        <v>-0.05228758169934636</v>
      </c>
    </row>
    <row r="135" ht="14.25" customHeight="1">
      <c r="A135" s="21" t="s">
        <v>1152</v>
      </c>
      <c r="B135" s="30">
        <v>42573.0</v>
      </c>
      <c r="C135" s="40">
        <v>1000.0</v>
      </c>
      <c r="D135" s="21" t="s">
        <v>1153</v>
      </c>
      <c r="E135" s="13">
        <v>115.72948237087287</v>
      </c>
      <c r="F135" s="13">
        <v>0.013</v>
      </c>
      <c r="G135" s="13">
        <v>0.0011005451707203303</v>
      </c>
      <c r="H135" s="13">
        <v>0.0012670529614407025</v>
      </c>
      <c r="I135" s="13">
        <v>0.06488551508309069</v>
      </c>
      <c r="J135" s="13">
        <v>0.114</v>
      </c>
      <c r="K135" s="13">
        <v>0.5691711849393921</v>
      </c>
      <c r="L135" s="13">
        <v>0.0030196661256363627</v>
      </c>
      <c r="M135" s="13">
        <v>0.0041050171331233785</v>
      </c>
      <c r="N135" s="13">
        <v>0.07440529245152218</v>
      </c>
      <c r="O135" s="13">
        <f>C135/40389.6        </f>
        <v>0.02475884881</v>
      </c>
      <c r="P135" s="13">
        <f>C135/30682.2</f>
        <v>0.032592187</v>
      </c>
      <c r="Q135" s="13">
        <v>10.606327605066973</v>
      </c>
      <c r="R135" s="13">
        <v>0.002307524709331115</v>
      </c>
      <c r="S135" s="13">
        <v>0.7596559510369006</v>
      </c>
      <c r="T135" s="13">
        <v>0.936</v>
      </c>
      <c r="U135" s="13">
        <v>0.8114192762493315</v>
      </c>
      <c r="V135" s="13">
        <v>0.06581644779844317</v>
      </c>
      <c r="W135" s="13">
        <v>0.015258632414053645</v>
      </c>
      <c r="X135" s="13">
        <v>0.02772574986150313</v>
      </c>
    </row>
    <row r="136" ht="14.25" customHeight="1">
      <c r="A136" s="21" t="s">
        <v>1152</v>
      </c>
      <c r="B136" s="34">
        <v>43224.0</v>
      </c>
      <c r="C136" s="40">
        <v>1000.0</v>
      </c>
      <c r="D136" s="21" t="s">
        <v>530</v>
      </c>
      <c r="E136" s="13">
        <v>124.70765814495826</v>
      </c>
      <c r="F136" s="13">
        <v>0.078</v>
      </c>
      <c r="G136" s="13">
        <v>7.83803193424595E-4</v>
      </c>
      <c r="H136" s="13">
        <v>9.013253393385308E-4</v>
      </c>
      <c r="I136" s="13">
        <v>0.08387342737323675</v>
      </c>
      <c r="J136" s="13">
        <v>0.125</v>
      </c>
      <c r="K136" s="13">
        <v>0.670987418985894</v>
      </c>
      <c r="L136" s="13">
        <v>0.0026393071521315</v>
      </c>
      <c r="M136" s="13">
        <v>0.010072377936806815</v>
      </c>
      <c r="N136" s="13">
        <v>0.07771824698134237</v>
      </c>
      <c r="O136" s="13">
        <f>C136/34361.3</f>
        <v>0.02910250776</v>
      </c>
      <c r="P136" s="13">
        <f>C136/29420.6</f>
        <v>0.03398978947</v>
      </c>
      <c r="Q136" s="13">
        <v>10.44468621007398</v>
      </c>
      <c r="R136" s="13">
        <v>0.004583644972687296</v>
      </c>
      <c r="S136" s="13">
        <v>0.8562132398948816</v>
      </c>
      <c r="T136" s="13">
        <v>1.07</v>
      </c>
      <c r="U136" s="13">
        <v>0.7999493616364921</v>
      </c>
      <c r="V136" s="13">
        <v>0.08010756286869239</v>
      </c>
      <c r="W136" s="13">
        <v>0.013339013975155281</v>
      </c>
      <c r="X136" s="13">
        <v>-0.018502735885179308</v>
      </c>
    </row>
    <row r="137" ht="14.25" customHeight="1">
      <c r="A137" s="21" t="s">
        <v>1152</v>
      </c>
      <c r="B137" s="29">
        <v>44295.0</v>
      </c>
      <c r="C137" s="40">
        <v>1000.0</v>
      </c>
      <c r="D137" s="21" t="s">
        <v>381</v>
      </c>
      <c r="E137" s="13">
        <v>129.90381056766483</v>
      </c>
      <c r="F137" s="13">
        <v>0.042</v>
      </c>
      <c r="G137" s="13">
        <v>2.9627873903768665E-4</v>
      </c>
      <c r="H137" s="13">
        <v>3.1918696695776516E-4</v>
      </c>
      <c r="I137" s="13">
        <v>0.07616737696776504</v>
      </c>
      <c r="J137" s="13">
        <v>0.133</v>
      </c>
      <c r="K137" s="13">
        <v>0.5726870448704138</v>
      </c>
      <c r="L137" s="13">
        <v>0.0026283224309221827</v>
      </c>
      <c r="M137" s="13">
        <v>0.23829158148828292</v>
      </c>
      <c r="N137" s="13">
        <v>0.23829158148828292</v>
      </c>
      <c r="O137" s="13">
        <f>C137/43291.5</f>
        <v>0.02309922271</v>
      </c>
      <c r="P137" s="13">
        <f>C137/28525.8</f>
        <v>0.03505598441</v>
      </c>
      <c r="Q137" s="13">
        <v>10.675711589870378</v>
      </c>
      <c r="R137" s="13">
        <v>0.008100897404802328</v>
      </c>
      <c r="S137" s="13">
        <v>0.6589238072138872</v>
      </c>
      <c r="T137" s="13">
        <v>0.767</v>
      </c>
      <c r="U137" s="13">
        <v>0.8593811718235682</v>
      </c>
      <c r="V137" s="13">
        <v>0.07417160412552118</v>
      </c>
      <c r="W137" s="13">
        <v>0.01473502382573179</v>
      </c>
      <c r="X137" s="13">
        <v>0.008367263575391052</v>
      </c>
    </row>
    <row r="138" ht="14.25" customHeight="1">
      <c r="A138" s="21" t="s">
        <v>1087</v>
      </c>
      <c r="B138" s="30">
        <v>39717.0</v>
      </c>
      <c r="C138" s="40">
        <v>1000.0</v>
      </c>
      <c r="D138" s="21" t="s">
        <v>673</v>
      </c>
      <c r="E138" s="13">
        <v>16.159294756193425</v>
      </c>
      <c r="F138" s="13">
        <v>0.016</v>
      </c>
      <c r="G138" s="13">
        <v>0.009965757934940077</v>
      </c>
      <c r="H138" s="13">
        <v>0.01579047312990257</v>
      </c>
      <c r="I138" s="13">
        <v>0.06444170704467249</v>
      </c>
      <c r="J138" s="13">
        <v>0.089</v>
      </c>
      <c r="K138" s="13">
        <v>1.0006476249172747</v>
      </c>
      <c r="L138" s="13">
        <v>2.648581528792418E-5</v>
      </c>
      <c r="M138" s="13">
        <v>0.0031874353835186445</v>
      </c>
      <c r="N138" s="13">
        <v>0.06126295595442041</v>
      </c>
      <c r="O138" s="13">
        <f>C138/80379.3</f>
        <v>0.01244101404</v>
      </c>
      <c r="P138" s="13">
        <f>C138/71950</f>
        <v>0.01389854065</v>
      </c>
      <c r="Q138" s="13">
        <v>11.294511959331283</v>
      </c>
      <c r="R138" s="13">
        <v>0.009768684225913886</v>
      </c>
      <c r="S138" s="13">
        <v>0.8951309603343149</v>
      </c>
      <c r="T138" s="13">
        <v>1.37</v>
      </c>
      <c r="U138" s="13">
        <v>0.5265161552787845</v>
      </c>
      <c r="V138" s="13">
        <v>0.058029865898309635</v>
      </c>
      <c r="W138" s="13">
        <v>0.029228836363636365</v>
      </c>
      <c r="X138" s="13">
        <v>0.03921725239616603</v>
      </c>
    </row>
    <row r="139" ht="14.25" customHeight="1">
      <c r="A139" s="21" t="s">
        <v>1087</v>
      </c>
      <c r="B139" s="30">
        <v>40842.0</v>
      </c>
      <c r="C139" s="40">
        <v>1500.0</v>
      </c>
      <c r="D139" s="21" t="s">
        <v>361</v>
      </c>
      <c r="E139" s="13">
        <v>72.06814956565877</v>
      </c>
      <c r="F139" s="13">
        <v>0.065</v>
      </c>
      <c r="G139" s="13">
        <v>0.005080017438254865</v>
      </c>
      <c r="H139" s="13">
        <v>0.007286338116032439</v>
      </c>
      <c r="I139" s="13">
        <v>0.060123811965325055</v>
      </c>
      <c r="J139" s="13">
        <v>0.114</v>
      </c>
      <c r="K139" s="13">
        <v>0.5274018593449566</v>
      </c>
      <c r="L139" s="13">
        <v>0.002063239555586621</v>
      </c>
      <c r="M139" s="13">
        <v>0.013677234359719334</v>
      </c>
      <c r="N139" s="13">
        <v>0.21023442618281252</v>
      </c>
      <c r="O139" s="13">
        <f>C139/100437.4</f>
        <v>0.01493467573</v>
      </c>
      <c r="P139" s="13">
        <f>C139/72654</f>
        <v>0.02064580064</v>
      </c>
      <c r="Q139" s="13">
        <v>11.517289926835316</v>
      </c>
      <c r="R139" s="13">
        <v>0.020906554729612677</v>
      </c>
      <c r="S139" s="13">
        <v>0.7233759535790453</v>
      </c>
      <c r="T139" s="13">
        <v>1.129</v>
      </c>
      <c r="U139" s="13">
        <v>0.7030608120082759</v>
      </c>
      <c r="V139" s="13">
        <v>0.05908257282645708</v>
      </c>
      <c r="W139" s="13">
        <v>0.02954041176470588</v>
      </c>
      <c r="X139" s="13">
        <v>-0.06668007778448337</v>
      </c>
    </row>
    <row r="140" ht="14.25" customHeight="1">
      <c r="A140" s="21" t="s">
        <v>1141</v>
      </c>
      <c r="B140" s="30">
        <v>38981.0</v>
      </c>
      <c r="C140" s="40">
        <v>1832.4</v>
      </c>
      <c r="D140" s="21" t="s">
        <v>1190</v>
      </c>
      <c r="E140" s="13">
        <v>40.14856132844826</v>
      </c>
      <c r="F140" s="13">
        <v>0.008</v>
      </c>
      <c r="G140" s="13">
        <v>0.006061933039845069</v>
      </c>
      <c r="H140" s="13">
        <v>0.012403884365081861</v>
      </c>
      <c r="I140" s="13">
        <v>0.06753618864478045</v>
      </c>
      <c r="J140" s="13">
        <v>0.08</v>
      </c>
      <c r="K140" s="13">
        <v>0.8442023580597556</v>
      </c>
      <c r="L140" s="13">
        <v>7.516617619321456E-4</v>
      </c>
      <c r="M140" s="13">
        <v>0.004556999697350042</v>
      </c>
      <c r="N140" s="13">
        <v>0.0830764642096512</v>
      </c>
      <c r="O140" s="13">
        <f>C140/87441.609</f>
        <v>0.02095569856</v>
      </c>
      <c r="P140" s="13">
        <f>C140/84671.878</f>
        <v>0.02164118764</v>
      </c>
      <c r="Q140" s="13">
        <v>11.378726523870508</v>
      </c>
      <c r="R140" s="13">
        <v>0.014310692750404443</v>
      </c>
      <c r="S140" s="13">
        <v>0.9683247937489348</v>
      </c>
      <c r="T140" s="13">
        <v>1.996</v>
      </c>
      <c r="U140" s="13">
        <v>0.496881822016793</v>
      </c>
      <c r="V140" s="13">
        <v>0.06661943972234088</v>
      </c>
      <c r="W140" s="13">
        <v>0.028358754015037905</v>
      </c>
      <c r="X140" s="13">
        <v>0.06650692374132776</v>
      </c>
    </row>
    <row r="141" ht="14.25" customHeight="1">
      <c r="A141" s="21" t="s">
        <v>1141</v>
      </c>
      <c r="B141" s="30">
        <v>41332.0</v>
      </c>
      <c r="C141" s="40">
        <v>2650.0</v>
      </c>
      <c r="D141" s="21" t="s">
        <v>275</v>
      </c>
      <c r="E141" s="13">
        <v>1.979802029695031</v>
      </c>
      <c r="F141" s="13">
        <v>0.166</v>
      </c>
      <c r="G141" s="13">
        <v>0.004086626969579694</v>
      </c>
      <c r="H141" s="13">
        <v>0.006016634093625127</v>
      </c>
      <c r="I141" s="13">
        <v>0.060347407844336086</v>
      </c>
      <c r="J141" s="13">
        <v>0.111</v>
      </c>
      <c r="K141" s="13">
        <v>0.5436703409399647</v>
      </c>
      <c r="L141" s="13">
        <v>0.0015632222666831445</v>
      </c>
      <c r="M141" s="13">
        <v>0.0027987360612021926</v>
      </c>
      <c r="N141" s="13">
        <v>0.22722801141346358</v>
      </c>
      <c r="O141" s="13">
        <f>C141/159936.521</f>
        <v>0.01656907368</v>
      </c>
      <c r="P141" s="13">
        <f>C141/113965.031</f>
        <v>0.02325274671</v>
      </c>
      <c r="Q141" s="13">
        <v>11.98253227174234</v>
      </c>
      <c r="R141" s="13">
        <v>0.0182275816791088</v>
      </c>
      <c r="S141" s="13">
        <v>0.7125641491226384</v>
      </c>
      <c r="T141" s="13">
        <v>1.13</v>
      </c>
      <c r="U141" s="13">
        <v>0.5843669501851925</v>
      </c>
      <c r="V141" s="13">
        <v>0.06368761141178005</v>
      </c>
      <c r="W141" s="13">
        <v>0.05285410475875744</v>
      </c>
      <c r="X141" s="13">
        <v>0.04738845202659677</v>
      </c>
    </row>
    <row r="142" ht="14.25" customHeight="1">
      <c r="A142" s="21" t="s">
        <v>1141</v>
      </c>
      <c r="B142" s="30">
        <v>42088.0</v>
      </c>
      <c r="C142" s="40">
        <v>3000.0</v>
      </c>
      <c r="D142" s="21" t="s">
        <v>122</v>
      </c>
      <c r="E142" s="13">
        <v>96.75484483993507</v>
      </c>
      <c r="F142" s="13">
        <v>0.176</v>
      </c>
      <c r="G142" s="13">
        <v>0.002240181291931054</v>
      </c>
      <c r="H142" s="13">
        <v>0.002703111322865828</v>
      </c>
      <c r="I142" s="13">
        <v>0.06118937559238844</v>
      </c>
      <c r="J142" s="13">
        <v>0.125</v>
      </c>
      <c r="K142" s="13">
        <v>0.48951500473910753</v>
      </c>
      <c r="L142" s="13">
        <v>0.004755013660541326</v>
      </c>
      <c r="M142" s="13">
        <v>0.0030863698649116573</v>
      </c>
      <c r="N142" s="13">
        <v>0.25959230671752515</v>
      </c>
      <c r="O142" s="13">
        <f>C142/166798.576</f>
        <v>0.01798576506</v>
      </c>
      <c r="P142" s="13">
        <f>C142/107757.549</f>
        <v>0.02784027688</v>
      </c>
      <c r="Q142" s="13">
        <v>12.024542231700078</v>
      </c>
      <c r="R142" s="13">
        <v>0.016055838510276012</v>
      </c>
      <c r="S142" s="13">
        <v>0.6460339865251608</v>
      </c>
      <c r="T142" s="13">
        <v>0.876</v>
      </c>
      <c r="U142" s="13">
        <v>0.5969681359869643</v>
      </c>
      <c r="V142" s="13">
        <v>0.07808349634831414</v>
      </c>
      <c r="W142" s="13">
        <v>0.06043426666666667</v>
      </c>
      <c r="X142" s="13">
        <v>0.05519244734931008</v>
      </c>
    </row>
    <row r="143" ht="14.25" customHeight="1">
      <c r="A143" s="21" t="s">
        <v>1141</v>
      </c>
      <c r="B143" s="30">
        <v>39050.0</v>
      </c>
      <c r="C143" s="40">
        <v>2030.0</v>
      </c>
      <c r="D143" s="21" t="s">
        <v>762</v>
      </c>
      <c r="E143" s="13">
        <v>40.67683187224363</v>
      </c>
      <c r="F143" s="13">
        <v>0.008</v>
      </c>
      <c r="G143" s="13">
        <v>0.006773200715770644</v>
      </c>
      <c r="H143" s="13">
        <v>0.017565223074212422</v>
      </c>
      <c r="I143" s="13">
        <v>0.0704417424235783</v>
      </c>
      <c r="J143" s="13">
        <v>0.082</v>
      </c>
      <c r="K143" s="13">
        <v>0.8590456393119305</v>
      </c>
      <c r="L143" s="13">
        <v>7.516617619321456E-4</v>
      </c>
      <c r="M143" s="13">
        <v>0.02146863875050706</v>
      </c>
      <c r="N143" s="13">
        <v>0.04509576305878609</v>
      </c>
      <c r="O143" s="13">
        <f>C143/91650.434</f>
        <v>0.02214937684</v>
      </c>
      <c r="P143" s="13">
        <f>C143/83621.454</f>
        <v>0.02427606676</v>
      </c>
      <c r="Q143" s="13">
        <v>11.425736988663077</v>
      </c>
      <c r="R143" s="13">
        <v>0.034853986616146304</v>
      </c>
      <c r="S143" s="13">
        <v>0.9123956139694877</v>
      </c>
      <c r="T143" s="13">
        <v>2.615</v>
      </c>
      <c r="U143" s="13">
        <v>0.45717384164269204</v>
      </c>
      <c r="V143" s="13">
        <v>0.06453412975654868</v>
      </c>
      <c r="W143" s="13">
        <v>0.029723745284438514</v>
      </c>
      <c r="X143" s="13">
        <v>-0.04955849312921253</v>
      </c>
    </row>
    <row r="144" ht="14.25" customHeight="1">
      <c r="A144" s="21" t="s">
        <v>1141</v>
      </c>
      <c r="B144" s="29">
        <v>39269.0</v>
      </c>
      <c r="C144" s="40">
        <v>2039.0</v>
      </c>
      <c r="D144" s="21" t="s">
        <v>1237</v>
      </c>
      <c r="E144" s="13">
        <v>150.0</v>
      </c>
      <c r="F144" s="13">
        <v>0.008</v>
      </c>
      <c r="G144" s="13">
        <v>0.008957253057016393</v>
      </c>
      <c r="H144" s="13">
        <v>0.02062845076728064</v>
      </c>
      <c r="I144" s="13">
        <v>0.06894611390831251</v>
      </c>
      <c r="J144" s="13">
        <v>0.08</v>
      </c>
      <c r="K144" s="13">
        <v>0.8618264238539064</v>
      </c>
      <c r="L144" s="13">
        <v>7.025647022698485E-4</v>
      </c>
      <c r="M144" s="13">
        <v>0.018243816401504263</v>
      </c>
      <c r="N144" s="13">
        <v>0.05618848888637034</v>
      </c>
      <c r="O144" s="13">
        <f>C144/105102.945</f>
        <v>0.01940002728</v>
      </c>
      <c r="P144" s="13">
        <f>C144/96245.953</f>
        <v>0.02118530636</v>
      </c>
      <c r="Q144" s="13">
        <v>11.56269557740491</v>
      </c>
      <c r="R144" s="13">
        <v>0.019911611420593396</v>
      </c>
      <c r="S144" s="13">
        <v>0.9157303156443427</v>
      </c>
      <c r="T144" s="13">
        <v>2.2988538138867907</v>
      </c>
      <c r="U144" s="13">
        <v>0.3602419703843693</v>
      </c>
      <c r="V144" s="13">
        <v>0.061344703519011765</v>
      </c>
      <c r="W144" s="13">
        <v>0.03361143108410618</v>
      </c>
      <c r="X144" s="13">
        <v>0.06721897947655811</v>
      </c>
    </row>
    <row r="145" ht="14.25" customHeight="1">
      <c r="A145" s="21" t="s">
        <v>1141</v>
      </c>
      <c r="B145" s="30">
        <v>42697.0</v>
      </c>
      <c r="C145" s="40">
        <v>2500.0</v>
      </c>
      <c r="D145" s="21" t="s">
        <v>132</v>
      </c>
      <c r="E145" s="13">
        <v>1.2394231220797858</v>
      </c>
      <c r="F145" s="13">
        <v>0.199</v>
      </c>
      <c r="G145" s="13">
        <v>0.0012632368780936475</v>
      </c>
      <c r="H145" s="13">
        <v>0.002121368744800105</v>
      </c>
      <c r="I145" s="13">
        <v>0.044973392858598235</v>
      </c>
      <c r="J145" s="13">
        <v>0.109</v>
      </c>
      <c r="K145" s="13">
        <v>0.4125999344825526</v>
      </c>
      <c r="L145" s="13">
        <v>0.0015823198544552236</v>
      </c>
      <c r="M145" s="13">
        <v>0.041989851833114614</v>
      </c>
      <c r="N145" s="13">
        <v>0.23479810967040893</v>
      </c>
      <c r="O145" s="13">
        <f>C145/137473.77</f>
        <v>0.01818528727</v>
      </c>
      <c r="P145" s="13">
        <f>C145/104710.496</f>
        <v>0.02387535248</v>
      </c>
      <c r="Q145" s="13">
        <v>11.831188414254703</v>
      </c>
      <c r="R145" s="13">
        <v>0.01943481291012824</v>
      </c>
      <c r="S145" s="13">
        <v>0.7616761801178509</v>
      </c>
      <c r="T145" s="13">
        <v>1.181</v>
      </c>
      <c r="U145" s="13">
        <v>0.6848498880913791</v>
      </c>
      <c r="V145" s="13">
        <v>0.07363473046530986</v>
      </c>
      <c r="W145" s="13">
        <v>0.05193568945976577</v>
      </c>
      <c r="X145" s="13">
        <v>-0.04214795420709472</v>
      </c>
    </row>
    <row r="146" ht="14.25" customHeight="1">
      <c r="A146" s="21" t="s">
        <v>1087</v>
      </c>
      <c r="B146" s="30">
        <v>42573.0</v>
      </c>
      <c r="C146" s="40">
        <v>1750.0</v>
      </c>
      <c r="D146" s="21" t="s">
        <v>1153</v>
      </c>
      <c r="E146" s="13">
        <v>37.4745628012244</v>
      </c>
      <c r="F146" s="13">
        <v>0.062</v>
      </c>
      <c r="G146" s="13">
        <v>0.0016657916496803052</v>
      </c>
      <c r="H146" s="13">
        <v>0.002243177452082637</v>
      </c>
      <c r="I146" s="13">
        <v>0.04862129701653163</v>
      </c>
      <c r="J146" s="13">
        <v>0.12</v>
      </c>
      <c r="K146" s="13">
        <v>0.4051774751377636</v>
      </c>
      <c r="L146" s="13">
        <v>0.003060528807162775</v>
      </c>
      <c r="M146" s="13">
        <v>0.007366791885658731</v>
      </c>
      <c r="N146" s="13">
        <v>0.13491746416718076</v>
      </c>
      <c r="O146" s="13">
        <f>C146/205843</f>
        <v>0.008501625025</v>
      </c>
      <c r="P146" s="13">
        <f>C146/152627</f>
        <v>0.01146586122</v>
      </c>
      <c r="Q146" s="13">
        <v>12.23486902127616</v>
      </c>
      <c r="R146" s="13">
        <v>0.023517923854588205</v>
      </c>
      <c r="S146" s="13">
        <v>0.7414728701000277</v>
      </c>
      <c r="T146" s="13">
        <v>1.045</v>
      </c>
      <c r="U146" s="13">
        <v>0.7159534208110064</v>
      </c>
      <c r="V146" s="13">
        <v>0.06410225268772803</v>
      </c>
      <c r="W146" s="13">
        <v>0.07776463921420476</v>
      </c>
      <c r="X146" s="13">
        <v>0.02772574986150313</v>
      </c>
    </row>
    <row r="147" ht="14.25" customHeight="1">
      <c r="A147" s="21" t="s">
        <v>1087</v>
      </c>
      <c r="B147" s="30">
        <v>43084.0</v>
      </c>
      <c r="C147" s="40">
        <v>1900.0</v>
      </c>
      <c r="D147" s="21" t="s">
        <v>817</v>
      </c>
      <c r="E147" s="13">
        <v>78.38367176906132</v>
      </c>
      <c r="F147" s="13">
        <v>0.052</v>
      </c>
      <c r="G147" s="13">
        <v>0.0010575388451481767</v>
      </c>
      <c r="H147" s="13">
        <v>0.001319492782132373</v>
      </c>
      <c r="I147" s="13">
        <v>0.05145907245820948</v>
      </c>
      <c r="J147" s="13">
        <v>0.144</v>
      </c>
      <c r="K147" s="13">
        <v>0.357354669848677</v>
      </c>
      <c r="L147" s="13">
        <v>0.0023952184764093015</v>
      </c>
      <c r="M147" s="13">
        <v>0.10402312233743818</v>
      </c>
      <c r="N147" s="13">
        <v>0.13906734426439096</v>
      </c>
      <c r="O147" s="13">
        <f>C147/221348.3</f>
        <v>0.008583756912</v>
      </c>
      <c r="P147" s="13">
        <f>C147/153004.2</f>
        <v>0.01241795977</v>
      </c>
      <c r="Q147" s="13">
        <v>12.307492757986227</v>
      </c>
      <c r="R147" s="13">
        <v>0.009012041203840283</v>
      </c>
      <c r="S147" s="13">
        <v>0.6912372943456083</v>
      </c>
      <c r="T147" s="13">
        <v>0.917</v>
      </c>
      <c r="U147" s="13">
        <v>0.7248585148383793</v>
      </c>
      <c r="V147" s="13">
        <v>0.0597330090179143</v>
      </c>
      <c r="W147" s="13">
        <v>0.08346466817496229</v>
      </c>
      <c r="X147" s="13">
        <v>-0.04824976348155169</v>
      </c>
    </row>
    <row r="148" ht="14.25" customHeight="1">
      <c r="A148" s="21" t="s">
        <v>1272</v>
      </c>
      <c r="B148" s="30">
        <v>39283.0</v>
      </c>
      <c r="C148" s="40">
        <v>865.3</v>
      </c>
      <c r="D148" s="21" t="s">
        <v>1237</v>
      </c>
      <c r="E148" s="13">
        <v>97.58073580374322</v>
      </c>
      <c r="F148" s="13">
        <v>0.007</v>
      </c>
      <c r="G148" s="13">
        <v>0.009605671186868866</v>
      </c>
      <c r="H148" s="13">
        <v>0.013902356176491163</v>
      </c>
      <c r="I148" s="13">
        <v>0.06419287906861149</v>
      </c>
      <c r="J148" s="13">
        <v>0.072</v>
      </c>
      <c r="K148" s="13">
        <v>0.8915677648418262</v>
      </c>
      <c r="L148" s="13">
        <v>8.336518922622239E-4</v>
      </c>
      <c r="M148" s="13">
        <v>0.002506621692502668</v>
      </c>
      <c r="N148" s="13">
        <v>0.0783291137796298</v>
      </c>
      <c r="O148" s="13">
        <f>C148/18669.589</f>
        <v>0.04634810118</v>
      </c>
      <c r="P148" s="13">
        <f>C148/16993.556</f>
        <v>0.05091930141</v>
      </c>
      <c r="Q148" s="13">
        <v>9.834651222367373</v>
      </c>
      <c r="R148" s="13">
        <v>6.917667014522922E-4</v>
      </c>
      <c r="S148" s="13">
        <v>0.9102265722078832</v>
      </c>
      <c r="T148" s="13">
        <v>1.39</v>
      </c>
      <c r="U148" s="13">
        <v>0.6451942782457611</v>
      </c>
      <c r="V148" s="13">
        <v>0.05597412990719827</v>
      </c>
      <c r="W148" s="13">
        <v>0.005970447393668052</v>
      </c>
      <c r="X148" s="13">
        <v>0.06721897947655811</v>
      </c>
    </row>
    <row r="149" ht="14.25" customHeight="1"/>
    <row r="150" ht="14.25" customHeight="1"/>
    <row r="151" ht="14.25" customHeight="1">
      <c r="A151" s="2"/>
      <c r="B151" s="48"/>
      <c r="C151" s="40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4.25" customHeight="1">
      <c r="A152" s="2"/>
      <c r="B152" s="4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4.25" customHeight="1">
      <c r="A153" s="2"/>
      <c r="B153" s="4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4.25" customHeight="1">
      <c r="A154" s="2"/>
      <c r="B154" s="4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4.25" customHeight="1">
      <c r="A155" s="2"/>
      <c r="B155" s="4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4.25" customHeight="1">
      <c r="A156" s="2"/>
      <c r="B156" s="4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4.25" customHeight="1">
      <c r="A157" s="2"/>
      <c r="B157" s="4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4.25" customHeight="1">
      <c r="A158" s="2"/>
      <c r="B158" s="4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4.25" customHeight="1">
      <c r="A159" s="2"/>
      <c r="B159" s="4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4.25" customHeight="1">
      <c r="A160" s="2"/>
      <c r="B160" s="4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4.25" customHeight="1">
      <c r="A161" s="2"/>
      <c r="B161" s="4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4.25" customHeight="1">
      <c r="A162" s="2"/>
      <c r="B162" s="4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4.25" customHeight="1">
      <c r="A163" s="2"/>
      <c r="B163" s="4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4.25" customHeight="1">
      <c r="A164" s="2"/>
      <c r="B164" s="4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4.25" customHeight="1">
      <c r="A165" s="2"/>
      <c r="B165" s="4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4.25" customHeight="1">
      <c r="A166" s="2"/>
      <c r="B166" s="4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4.25" customHeight="1">
      <c r="A167" s="2"/>
      <c r="B167" s="4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4.25" customHeight="1">
      <c r="A168" s="2"/>
      <c r="B168" s="4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4.25" customHeight="1">
      <c r="A169" s="2"/>
      <c r="B169" s="4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4.25" customHeight="1">
      <c r="A170" s="2"/>
      <c r="B170" s="4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4.25" customHeight="1">
      <c r="A171" s="2"/>
      <c r="B171" s="4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4.25" customHeight="1">
      <c r="A172" s="2"/>
      <c r="B172" s="4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4.25" customHeight="1">
      <c r="A173" s="2"/>
      <c r="B173" s="4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4.25" customHeight="1">
      <c r="A174" s="2"/>
      <c r="B174" s="4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4.25" customHeight="1">
      <c r="A175" s="2"/>
      <c r="B175" s="4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4.25" customHeight="1">
      <c r="A176" s="2"/>
      <c r="B176" s="4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4.25" customHeight="1">
      <c r="A177" s="2"/>
      <c r="B177" s="4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4.25" customHeight="1">
      <c r="A178" s="2"/>
      <c r="B178" s="4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4.25" customHeight="1">
      <c r="A179" s="2"/>
      <c r="B179" s="4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4.25" customHeight="1">
      <c r="A180" s="2"/>
      <c r="B180" s="4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4.25" customHeight="1">
      <c r="A181" s="2"/>
      <c r="B181" s="4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4.25" customHeight="1">
      <c r="A182" s="2"/>
      <c r="B182" s="4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4.25" customHeight="1">
      <c r="A183" s="2"/>
      <c r="B183" s="4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4.25" customHeight="1">
      <c r="A184" s="2"/>
      <c r="B184" s="4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4.25" customHeight="1">
      <c r="A185" s="2"/>
      <c r="B185" s="4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4.25" customHeight="1">
      <c r="A186" s="2"/>
      <c r="B186" s="4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4.25" customHeight="1">
      <c r="A187" s="2"/>
      <c r="B187" s="4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4.25" customHeight="1">
      <c r="A188" s="2"/>
      <c r="B188" s="4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4.25" customHeight="1">
      <c r="A189" s="2"/>
      <c r="B189" s="4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4.25" customHeight="1">
      <c r="A190" s="2"/>
      <c r="B190" s="4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4.25" customHeight="1">
      <c r="A191" s="2"/>
      <c r="B191" s="4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4.25" customHeight="1">
      <c r="A192" s="2"/>
      <c r="B192" s="4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4.25" customHeight="1">
      <c r="A193" s="2"/>
      <c r="B193" s="4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4.25" customHeight="1">
      <c r="A194" s="2"/>
      <c r="B194" s="4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4.25" customHeight="1">
      <c r="A195" s="2"/>
      <c r="B195" s="4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4.25" customHeight="1">
      <c r="A196" s="2"/>
      <c r="B196" s="4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4.25" customHeight="1">
      <c r="A197" s="2"/>
      <c r="B197" s="4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4.25" customHeight="1">
      <c r="A198" s="2"/>
      <c r="B198" s="4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4.25" customHeight="1">
      <c r="A199" s="2"/>
      <c r="B199" s="4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4.25" customHeight="1">
      <c r="A200" s="2"/>
      <c r="B200" s="4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4.25" customHeight="1">
      <c r="A201" s="2"/>
      <c r="B201" s="4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4.25" customHeight="1">
      <c r="A202" s="2"/>
      <c r="B202" s="4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4.25" customHeight="1">
      <c r="A203" s="2"/>
      <c r="B203" s="4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4.25" customHeight="1">
      <c r="A204" s="2"/>
      <c r="B204" s="4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4.25" customHeight="1">
      <c r="A205" s="2"/>
      <c r="B205" s="4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4.25" customHeight="1">
      <c r="A206" s="2"/>
      <c r="B206" s="4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4.25" customHeight="1">
      <c r="A207" s="2"/>
      <c r="B207" s="4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4.25" customHeight="1">
      <c r="A208" s="2"/>
      <c r="B208" s="4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4.25" customHeight="1">
      <c r="A209" s="2"/>
      <c r="B209" s="4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4.25" customHeight="1">
      <c r="A210" s="2"/>
      <c r="B210" s="4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4.25" customHeight="1">
      <c r="A211" s="2"/>
      <c r="B211" s="4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4.25" customHeight="1">
      <c r="A212" s="2"/>
      <c r="B212" s="4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4.25" customHeight="1">
      <c r="A213" s="2"/>
      <c r="B213" s="4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4.25" customHeight="1">
      <c r="A214" s="2"/>
      <c r="B214" s="4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4.25" customHeight="1">
      <c r="A215" s="2"/>
      <c r="B215" s="4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4.25" customHeight="1">
      <c r="A216" s="2"/>
      <c r="B216" s="4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4.25" customHeight="1">
      <c r="A217" s="2"/>
      <c r="B217" s="4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4.25" customHeight="1">
      <c r="A218" s="2"/>
      <c r="B218" s="4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4.25" customHeight="1">
      <c r="A219" s="2"/>
      <c r="B219" s="4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4.25" customHeight="1">
      <c r="A220" s="2"/>
      <c r="B220" s="4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4.25" customHeight="1">
      <c r="A221" s="2"/>
      <c r="B221" s="4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4.25" customHeight="1">
      <c r="A222" s="2"/>
      <c r="B222" s="4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4.25" customHeight="1">
      <c r="A223" s="2"/>
      <c r="B223" s="4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4.25" customHeight="1">
      <c r="A224" s="2"/>
      <c r="B224" s="4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4.25" customHeight="1">
      <c r="A225" s="2"/>
      <c r="B225" s="4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4.25" customHeight="1">
      <c r="A226" s="2"/>
      <c r="B226" s="4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4.25" customHeight="1">
      <c r="A227" s="2"/>
      <c r="B227" s="4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4.25" customHeight="1">
      <c r="A228" s="2"/>
      <c r="B228" s="4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4.25" customHeight="1">
      <c r="A229" s="2"/>
      <c r="B229" s="4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4.25" customHeight="1">
      <c r="A230" s="2"/>
      <c r="B230" s="4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4.25" customHeight="1">
      <c r="A231" s="2"/>
      <c r="B231" s="4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4.25" customHeight="1">
      <c r="A232" s="2"/>
      <c r="B232" s="4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4.25" customHeight="1">
      <c r="A233" s="2"/>
      <c r="B233" s="4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4.25" customHeight="1">
      <c r="A234" s="2"/>
      <c r="B234" s="4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4.25" customHeight="1">
      <c r="A235" s="2"/>
      <c r="B235" s="4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4.25" customHeight="1">
      <c r="A236" s="2"/>
      <c r="B236" s="4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4.25" customHeight="1">
      <c r="A237" s="2"/>
      <c r="B237" s="4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4.25" customHeight="1">
      <c r="A238" s="2"/>
      <c r="B238" s="4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4.25" customHeight="1">
      <c r="A239" s="2"/>
      <c r="B239" s="4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4.25" customHeight="1">
      <c r="A240" s="2"/>
      <c r="B240" s="4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4.25" customHeight="1">
      <c r="A241" s="2"/>
      <c r="B241" s="4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4.25" customHeight="1">
      <c r="A242" s="2"/>
      <c r="B242" s="4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4.25" customHeight="1">
      <c r="A243" s="2"/>
      <c r="B243" s="4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4.25" customHeight="1">
      <c r="A244" s="2"/>
      <c r="B244" s="4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4.25" customHeight="1">
      <c r="A245" s="2"/>
      <c r="B245" s="4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4.25" customHeight="1">
      <c r="A246" s="2"/>
      <c r="B246" s="4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4.25" customHeight="1">
      <c r="A247" s="2"/>
      <c r="B247" s="4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4.25" customHeight="1">
      <c r="A248" s="2"/>
      <c r="B248" s="4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4.25" customHeight="1">
      <c r="A249" s="2"/>
      <c r="B249" s="4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4.25" customHeight="1">
      <c r="A250" s="2"/>
      <c r="B250" s="4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4.25" customHeight="1">
      <c r="A251" s="2"/>
      <c r="B251" s="4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4.25" customHeight="1">
      <c r="A252" s="2"/>
      <c r="B252" s="4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4.25" customHeight="1">
      <c r="A253" s="2"/>
      <c r="B253" s="4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4.25" customHeight="1">
      <c r="A254" s="2"/>
      <c r="B254" s="4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4.25" customHeight="1">
      <c r="A255" s="2"/>
      <c r="B255" s="4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4.25" customHeight="1">
      <c r="A256" s="2"/>
      <c r="B256" s="4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4.25" customHeight="1">
      <c r="A257" s="2"/>
      <c r="B257" s="4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4.25" customHeight="1">
      <c r="A258" s="2"/>
      <c r="B258" s="4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4.25" customHeight="1">
      <c r="A259" s="2"/>
      <c r="B259" s="4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4.25" customHeight="1">
      <c r="A260" s="2"/>
      <c r="B260" s="4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4.25" customHeight="1">
      <c r="A261" s="2"/>
      <c r="B261" s="4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4.25" customHeight="1">
      <c r="A262" s="2"/>
      <c r="B262" s="4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4.25" customHeight="1">
      <c r="A263" s="2"/>
      <c r="B263" s="4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4.25" customHeight="1">
      <c r="A264" s="2"/>
      <c r="B264" s="4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4.25" customHeight="1">
      <c r="A265" s="2"/>
      <c r="B265" s="4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4.25" customHeight="1">
      <c r="A266" s="2"/>
      <c r="B266" s="4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4.25" customHeight="1">
      <c r="A267" s="2"/>
      <c r="B267" s="4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4.25" customHeight="1">
      <c r="A268" s="2"/>
      <c r="B268" s="4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4.25" customHeight="1">
      <c r="A269" s="2"/>
      <c r="B269" s="4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4.25" customHeight="1">
      <c r="A270" s="2"/>
      <c r="B270" s="4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4.25" customHeight="1">
      <c r="A271" s="2"/>
      <c r="B271" s="4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4.25" customHeight="1">
      <c r="A272" s="2"/>
      <c r="B272" s="4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4.25" customHeight="1">
      <c r="A273" s="2"/>
      <c r="B273" s="4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4.25" customHeight="1">
      <c r="A274" s="2"/>
      <c r="B274" s="4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4.25" customHeight="1">
      <c r="A275" s="2"/>
      <c r="B275" s="4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4.25" customHeight="1">
      <c r="A276" s="2"/>
      <c r="B276" s="4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4.25" customHeight="1">
      <c r="A277" s="2"/>
      <c r="B277" s="4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4.25" customHeight="1">
      <c r="A278" s="2"/>
      <c r="B278" s="4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4.25" customHeight="1">
      <c r="A279" s="2"/>
      <c r="B279" s="4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4.25" customHeight="1">
      <c r="A280" s="2"/>
      <c r="B280" s="4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4.25" customHeight="1">
      <c r="A281" s="2"/>
      <c r="B281" s="4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4.25" customHeight="1">
      <c r="A282" s="2"/>
      <c r="B282" s="4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4.25" customHeight="1">
      <c r="A283" s="2"/>
      <c r="B283" s="4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4.25" customHeight="1">
      <c r="A284" s="2"/>
      <c r="B284" s="4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4.25" customHeight="1">
      <c r="A285" s="2"/>
      <c r="B285" s="4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4.25" customHeight="1">
      <c r="A286" s="2"/>
      <c r="B286" s="4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4.25" customHeight="1">
      <c r="A287" s="2"/>
      <c r="B287" s="4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4.25" customHeight="1">
      <c r="A288" s="2"/>
      <c r="B288" s="4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4.25" customHeight="1">
      <c r="A289" s="2"/>
      <c r="B289" s="4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4.25" customHeight="1">
      <c r="A290" s="2"/>
      <c r="B290" s="4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4.25" customHeight="1">
      <c r="A291" s="2"/>
      <c r="B291" s="4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4.25" customHeight="1">
      <c r="A292" s="2"/>
      <c r="B292" s="4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4.25" customHeight="1">
      <c r="A293" s="2"/>
      <c r="B293" s="4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4.25" customHeight="1">
      <c r="A294" s="2"/>
      <c r="B294" s="4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4.25" customHeight="1">
      <c r="A295" s="2"/>
      <c r="B295" s="4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4.25" customHeight="1">
      <c r="A296" s="2"/>
      <c r="B296" s="4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4.25" customHeight="1">
      <c r="A297" s="2"/>
      <c r="B297" s="4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mergeCells count="11">
    <mergeCell ref="K1:L1"/>
    <mergeCell ref="M1:N1"/>
    <mergeCell ref="O1:P1"/>
    <mergeCell ref="Q1:X1"/>
    <mergeCell ref="A1:A2"/>
    <mergeCell ref="B1:B2"/>
    <mergeCell ref="C1:C2"/>
    <mergeCell ref="D1:D2"/>
    <mergeCell ref="E1:F1"/>
    <mergeCell ref="G1:H1"/>
    <mergeCell ref="I1:J1"/>
  </mergeCells>
  <printOptions/>
  <pageMargins bottom="0.75" footer="0.0" header="0.0" left="0.7" right="0.7" top="0.75"/>
  <pageSetup fitToWidth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2022-10-03T11:27:05Z</dcterms:created>
  <dc:creator>Arfan</dc:creator>
</cp:coreProperties>
</file>