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a" sheetId="1" r:id="rId4"/>
    <sheet state="visible" name="Price" sheetId="2" r:id="rId5"/>
    <sheet state="visible" name="Sensor_size" sheetId="3" r:id="rId6"/>
    <sheet state="visible" name="Frame_rates" sheetId="4" r:id="rId7"/>
    <sheet state="visible" name="Screen_size_inches" sheetId="5" r:id="rId8"/>
    <sheet state="visible" name="Screen_brightness_nits" sheetId="6" r:id="rId9"/>
    <sheet state="visible" name="Results" sheetId="7" r:id="rId10"/>
  </sheets>
  <definedNames/>
  <calcPr/>
</workbook>
</file>

<file path=xl/sharedStrings.xml><?xml version="1.0" encoding="utf-8"?>
<sst xmlns="http://schemas.openxmlformats.org/spreadsheetml/2006/main" count="77" uniqueCount="46">
  <si>
    <t>Alternative</t>
  </si>
  <si>
    <t>Code</t>
  </si>
  <si>
    <t>Criteria</t>
  </si>
  <si>
    <t>Sony A9 III</t>
  </si>
  <si>
    <t>A1</t>
  </si>
  <si>
    <t>Price (cost)</t>
  </si>
  <si>
    <t>C1</t>
  </si>
  <si>
    <t>Leica SL3</t>
  </si>
  <si>
    <t>A2</t>
  </si>
  <si>
    <t>Sensor size (benefit)</t>
  </si>
  <si>
    <t>C2</t>
  </si>
  <si>
    <t>Fujifilm GFX100 II</t>
  </si>
  <si>
    <t>A3</t>
  </si>
  <si>
    <t>Frame rates (benefit)</t>
  </si>
  <si>
    <t>C3</t>
  </si>
  <si>
    <t>Lumix G9 II</t>
  </si>
  <si>
    <t>A4</t>
  </si>
  <si>
    <t>Screen size inches (benefit)</t>
  </si>
  <si>
    <t>C4</t>
  </si>
  <si>
    <t>Canon EOS R3</t>
  </si>
  <si>
    <t>A5</t>
  </si>
  <si>
    <t>Screen brightnees nits (benefit)</t>
  </si>
  <si>
    <t>C5</t>
  </si>
  <si>
    <t>Alternatives</t>
  </si>
  <si>
    <t>A / C</t>
  </si>
  <si>
    <t>Pair-wise comparison matrix</t>
  </si>
  <si>
    <t>Total</t>
  </si>
  <si>
    <t>Normalized pair-wise comparison matrix</t>
  </si>
  <si>
    <t>Average</t>
  </si>
  <si>
    <t>...</t>
  </si>
  <si>
    <t>Vector</t>
  </si>
  <si>
    <t>Weight</t>
  </si>
  <si>
    <t>Eigen value</t>
  </si>
  <si>
    <t>t</t>
  </si>
  <si>
    <t>CI</t>
  </si>
  <si>
    <t>RI</t>
  </si>
  <si>
    <t>CR</t>
  </si>
  <si>
    <t>Alternative (-)</t>
  </si>
  <si>
    <t>Value</t>
  </si>
  <si>
    <t>Weight / Avg</t>
  </si>
  <si>
    <t>Alternative (+)</t>
  </si>
  <si>
    <t>Criteria weight</t>
  </si>
  <si>
    <t>Alternative weight</t>
  </si>
  <si>
    <t>Rankingization</t>
  </si>
  <si>
    <t>Score</t>
  </si>
  <si>
    <t>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</si>
</sst>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]#,##0"/>
    <numFmt numFmtId="165" formatCode="0.000"/>
  </numFmts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3" fillId="0" fontId="3" numFmtId="0" xfId="0" applyBorder="1" applyFont="1"/>
    <xf borderId="3" fillId="2" fontId="2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horizontal="center" readingOrder="0" vertical="bottom"/>
    </xf>
    <xf borderId="1" fillId="0" fontId="3" numFmtId="0" xfId="0" applyBorder="1" applyFont="1"/>
    <xf borderId="3" fillId="0" fontId="1" numFmtId="164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readingOrder="0" vertical="bottom"/>
    </xf>
    <xf borderId="0" fillId="3" fontId="4" numFmtId="0" xfId="0" applyFill="1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horizontal="center" vertical="bottom"/>
    </xf>
    <xf borderId="7" fillId="2" fontId="2" numFmtId="0" xfId="0" applyAlignment="1" applyBorder="1" applyFont="1">
      <alignment horizontal="center" readingOrder="0" vertical="bottom"/>
    </xf>
    <xf borderId="8" fillId="0" fontId="3" numFmtId="0" xfId="0" applyBorder="1" applyFont="1"/>
    <xf borderId="5" fillId="0" fontId="3" numFmtId="0" xfId="0" applyBorder="1" applyFont="1"/>
    <xf borderId="4" fillId="2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vertical="bottom"/>
    </xf>
    <xf borderId="4" fillId="2" fontId="2" numFmtId="0" xfId="0" applyAlignment="1" applyBorder="1" applyFont="1">
      <alignment horizontal="right" readingOrder="0" vertical="bottom"/>
    </xf>
    <xf borderId="4" fillId="2" fontId="2" numFmtId="164" xfId="0" applyAlignment="1" applyBorder="1" applyFont="1" applyNumberFormat="1">
      <alignment horizontal="right" vertical="bottom"/>
    </xf>
    <xf borderId="4" fillId="2" fontId="2" numFmtId="164" xfId="0" applyAlignment="1" applyBorder="1" applyFont="1" applyNumberFormat="1">
      <alignment horizontal="right" readingOrder="0" vertical="bottom"/>
    </xf>
    <xf borderId="4" fillId="2" fontId="2" numFmtId="0" xfId="0" applyAlignment="1" applyBorder="1" applyFont="1">
      <alignment horizontal="right" vertical="bottom"/>
    </xf>
    <xf borderId="7" fillId="2" fontId="2" numFmtId="0" xfId="0" applyAlignment="1" applyBorder="1" applyFont="1">
      <alignment horizontal="center" vertical="bottom"/>
    </xf>
    <xf borderId="3" fillId="0" fontId="1" numFmtId="165" xfId="0" applyAlignment="1" applyBorder="1" applyFont="1" applyNumberFormat="1">
      <alignment horizontal="right" vertical="bottom"/>
    </xf>
    <xf borderId="0" fillId="4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/>
      <c r="D2" s="2"/>
      <c r="E2" s="2"/>
      <c r="F2" s="1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/>
      <c r="C3" s="4" t="s">
        <v>0</v>
      </c>
      <c r="D3" s="5"/>
      <c r="E3" s="6" t="s">
        <v>1</v>
      </c>
      <c r="F3" s="3"/>
      <c r="G3" s="4" t="s">
        <v>2</v>
      </c>
      <c r="H3" s="5"/>
      <c r="I3" s="6" t="s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/>
      <c r="C4" s="2" t="s">
        <v>3</v>
      </c>
      <c r="D4" s="5"/>
      <c r="E4" s="7" t="s">
        <v>4</v>
      </c>
      <c r="F4" s="3"/>
      <c r="G4" s="2" t="s">
        <v>5</v>
      </c>
      <c r="H4" s="5"/>
      <c r="I4" s="7" t="s">
        <v>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/>
      <c r="C5" s="2" t="s">
        <v>7</v>
      </c>
      <c r="D5" s="5"/>
      <c r="E5" s="7" t="s">
        <v>8</v>
      </c>
      <c r="F5" s="3"/>
      <c r="G5" s="8" t="s">
        <v>9</v>
      </c>
      <c r="H5" s="5"/>
      <c r="I5" s="7" t="s">
        <v>10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/>
      <c r="C6" s="2" t="s">
        <v>11</v>
      </c>
      <c r="D6" s="5"/>
      <c r="E6" s="7" t="s">
        <v>12</v>
      </c>
      <c r="F6" s="3"/>
      <c r="G6" s="8" t="s">
        <v>13</v>
      </c>
      <c r="H6" s="5"/>
      <c r="I6" s="7" t="s">
        <v>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/>
      <c r="C7" s="2" t="s">
        <v>15</v>
      </c>
      <c r="D7" s="5"/>
      <c r="E7" s="7" t="s">
        <v>16</v>
      </c>
      <c r="F7" s="3"/>
      <c r="G7" s="8" t="s">
        <v>17</v>
      </c>
      <c r="H7" s="5"/>
      <c r="I7" s="7" t="s">
        <v>18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/>
      <c r="C8" s="2" t="s">
        <v>19</v>
      </c>
      <c r="D8" s="5"/>
      <c r="E8" s="7" t="s">
        <v>20</v>
      </c>
      <c r="F8" s="3"/>
      <c r="G8" s="2" t="s">
        <v>21</v>
      </c>
      <c r="H8" s="5"/>
      <c r="I8" s="7" t="s">
        <v>22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2"/>
      <c r="D9" s="2"/>
      <c r="E9" s="2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/>
      <c r="C10" s="9" t="s">
        <v>23</v>
      </c>
      <c r="D10" s="10"/>
      <c r="E10" s="10"/>
      <c r="F10" s="10"/>
      <c r="G10" s="10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/>
      <c r="C11" s="6" t="s">
        <v>24</v>
      </c>
      <c r="D11" s="6" t="str">
        <f>$G$4</f>
        <v>Price (cost)</v>
      </c>
      <c r="E11" s="6" t="str">
        <f>$G$5</f>
        <v>Sensor size (benefit)</v>
      </c>
      <c r="F11" s="6" t="str">
        <f>$G$6</f>
        <v>Frame rates (benefit)</v>
      </c>
      <c r="G11" s="6" t="str">
        <f>$G$7</f>
        <v>Screen size inches (benefit)</v>
      </c>
      <c r="H11" s="6" t="str">
        <f>$G$8</f>
        <v>Screen brightnees nits (benefit)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/>
      <c r="C12" s="6" t="str">
        <f>$C$4</f>
        <v>Sony A9 III</v>
      </c>
      <c r="D12" s="11">
        <v>1.01E8</v>
      </c>
      <c r="E12" s="12">
        <v>36.0</v>
      </c>
      <c r="F12" s="13">
        <v>120.0</v>
      </c>
      <c r="G12" s="13">
        <v>3.0</v>
      </c>
      <c r="H12" s="13">
        <v>1500.0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/>
      <c r="C13" s="6" t="str">
        <f>$C$5</f>
        <v>Leica SL3</v>
      </c>
      <c r="D13" s="11">
        <v>1.29E8</v>
      </c>
      <c r="E13" s="14">
        <v>36.0</v>
      </c>
      <c r="F13" s="15">
        <v>240.0</v>
      </c>
      <c r="G13" s="15">
        <v>5.0</v>
      </c>
      <c r="H13" s="15">
        <v>1500.0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/>
      <c r="C14" s="6" t="str">
        <f>$C$6</f>
        <v>Fujifilm GFX100 II</v>
      </c>
      <c r="D14" s="11">
        <v>1.55E8</v>
      </c>
      <c r="E14" s="14">
        <v>44.0</v>
      </c>
      <c r="F14" s="15">
        <v>360.0</v>
      </c>
      <c r="G14" s="15">
        <v>5.0</v>
      </c>
      <c r="H14" s="15">
        <v>1500.0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/>
      <c r="C15" s="6" t="str">
        <f>$C$7</f>
        <v>Lumix G9 II</v>
      </c>
      <c r="D15" s="11">
        <v>2.9E7</v>
      </c>
      <c r="E15" s="14">
        <v>17.0</v>
      </c>
      <c r="F15" s="15">
        <v>120.0</v>
      </c>
      <c r="G15" s="15">
        <v>3.0</v>
      </c>
      <c r="H15" s="15">
        <v>1500.0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/>
      <c r="C16" s="6" t="str">
        <f>$C$8</f>
        <v>Canon EOS R3</v>
      </c>
      <c r="D16" s="11">
        <v>9.0E7</v>
      </c>
      <c r="E16" s="14">
        <v>36.0</v>
      </c>
      <c r="F16" s="15">
        <v>90.0</v>
      </c>
      <c r="G16" s="15">
        <v>3.0</v>
      </c>
      <c r="H16" s="15">
        <v>1500.0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/>
      <c r="C18" s="16" t="s">
        <v>25</v>
      </c>
      <c r="D18" s="10"/>
      <c r="E18" s="10"/>
      <c r="F18" s="10"/>
      <c r="G18" s="10"/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/>
      <c r="C19" s="6" t="s">
        <v>2</v>
      </c>
      <c r="D19" s="6" t="str">
        <f>$G$4</f>
        <v>Price (cost)</v>
      </c>
      <c r="E19" s="6" t="str">
        <f>$G$5</f>
        <v>Sensor size (benefit)</v>
      </c>
      <c r="F19" s="6" t="str">
        <f>$G$6</f>
        <v>Frame rates (benefit)</v>
      </c>
      <c r="G19" s="6" t="str">
        <f>$G$7</f>
        <v>Screen size inches (benefit)</v>
      </c>
      <c r="H19" s="6" t="str">
        <f>$G$8</f>
        <v>Screen brightnees nits (benefit)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/>
      <c r="C20" s="6" t="str">
        <f>$G$4</f>
        <v>Price (cost)</v>
      </c>
      <c r="D20" s="17">
        <v>1.0</v>
      </c>
      <c r="E20" s="18">
        <v>1.0</v>
      </c>
      <c r="F20" s="18">
        <v>1.0</v>
      </c>
      <c r="G20" s="18">
        <v>1.0</v>
      </c>
      <c r="H20" s="18">
        <v>1.0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/>
      <c r="C21" s="6" t="str">
        <f>$G$5</f>
        <v>Sensor size (benefit)</v>
      </c>
      <c r="D21" s="15">
        <f>1/E20</f>
        <v>1</v>
      </c>
      <c r="E21" s="17">
        <v>1.0</v>
      </c>
      <c r="F21" s="18">
        <v>3.0</v>
      </c>
      <c r="G21" s="18">
        <v>3.0</v>
      </c>
      <c r="H21" s="18">
        <v>3.0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"/>
      <c r="C22" s="6" t="str">
        <f>$G$6</f>
        <v>Frame rates (benefit)</v>
      </c>
      <c r="D22" s="15">
        <f>1/F20</f>
        <v>1</v>
      </c>
      <c r="E22" s="15">
        <f>1/F21</f>
        <v>0.3333333333</v>
      </c>
      <c r="F22" s="17">
        <v>1.0</v>
      </c>
      <c r="G22" s="18">
        <v>2.0</v>
      </c>
      <c r="H22" s="18">
        <v>2.0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"/>
      <c r="C23" s="6" t="str">
        <f>$G$7</f>
        <v>Screen size inches (benefit)</v>
      </c>
      <c r="D23" s="15">
        <f>1/G20</f>
        <v>1</v>
      </c>
      <c r="E23" s="15">
        <f>1/G21</f>
        <v>0.3333333333</v>
      </c>
      <c r="F23" s="15">
        <f>1/G22</f>
        <v>0.5</v>
      </c>
      <c r="G23" s="17">
        <v>1.0</v>
      </c>
      <c r="H23" s="18">
        <v>3.0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"/>
      <c r="C24" s="6" t="str">
        <f>$G$8</f>
        <v>Screen brightnees nits (benefit)</v>
      </c>
      <c r="D24" s="15">
        <f>1/H20</f>
        <v>1</v>
      </c>
      <c r="E24" s="15">
        <f>1/H21</f>
        <v>0.3333333333</v>
      </c>
      <c r="F24" s="15">
        <f>1/H22</f>
        <v>0.5</v>
      </c>
      <c r="G24" s="15">
        <f>1/H23</f>
        <v>0.3333333333</v>
      </c>
      <c r="H24" s="17">
        <v>1.0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"/>
      <c r="C25" s="6" t="s">
        <v>26</v>
      </c>
      <c r="D25" s="15">
        <f t="shared" ref="D25:H25" si="1">SUM(D20:D24)</f>
        <v>5</v>
      </c>
      <c r="E25" s="15">
        <f t="shared" si="1"/>
        <v>3</v>
      </c>
      <c r="F25" s="15">
        <f t="shared" si="1"/>
        <v>6</v>
      </c>
      <c r="G25" s="15">
        <f t="shared" si="1"/>
        <v>7.333333333</v>
      </c>
      <c r="H25" s="15">
        <f t="shared" si="1"/>
        <v>10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2"/>
      <c r="D26" s="2"/>
      <c r="E26" s="2"/>
      <c r="F26" s="2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3"/>
      <c r="C27" s="16" t="s">
        <v>27</v>
      </c>
      <c r="D27" s="10"/>
      <c r="E27" s="10"/>
      <c r="F27" s="10"/>
      <c r="G27" s="10"/>
      <c r="H27" s="10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3"/>
      <c r="C28" s="6" t="s">
        <v>2</v>
      </c>
      <c r="D28" s="6" t="str">
        <f>$G$4</f>
        <v>Price (cost)</v>
      </c>
      <c r="E28" s="6" t="str">
        <f>$G$5</f>
        <v>Sensor size (benefit)</v>
      </c>
      <c r="F28" s="6" t="str">
        <f>$G$6</f>
        <v>Frame rates (benefit)</v>
      </c>
      <c r="G28" s="6" t="str">
        <f>$G$7</f>
        <v>Screen size inches (benefit)</v>
      </c>
      <c r="H28" s="6" t="str">
        <f>$G$8</f>
        <v>Screen brightnees nits (benefit)</v>
      </c>
      <c r="I28" s="6" t="s">
        <v>28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"/>
      <c r="C29" s="6" t="str">
        <f>$G$4</f>
        <v>Price (cost)</v>
      </c>
      <c r="D29" s="15">
        <f t="shared" ref="D29:H29" si="2">D20/D$25</f>
        <v>0.2</v>
      </c>
      <c r="E29" s="15">
        <f t="shared" si="2"/>
        <v>0.3333333333</v>
      </c>
      <c r="F29" s="15">
        <f t="shared" si="2"/>
        <v>0.1666666667</v>
      </c>
      <c r="G29" s="15">
        <f t="shared" si="2"/>
        <v>0.1363636364</v>
      </c>
      <c r="H29" s="15">
        <f t="shared" si="2"/>
        <v>0.1</v>
      </c>
      <c r="I29" s="15">
        <f t="shared" ref="I29:I34" si="4">AVERAGE(D29:H29)</f>
        <v>0.1872727273</v>
      </c>
      <c r="J29" s="1"/>
      <c r="K29" s="1"/>
      <c r="L29" s="19">
        <f t="shared" ref="L29:L33" si="5">($D20*E$38)</f>
        <v>0.1872727273</v>
      </c>
      <c r="M29" s="1">
        <f t="shared" ref="M29:M33" si="6">($E20*E$39)</f>
        <v>0.3484848485</v>
      </c>
      <c r="N29" s="1">
        <f t="shared" ref="N29:N33" si="7">($F20*E$40)</f>
        <v>0.1901010101</v>
      </c>
      <c r="O29" s="19">
        <f t="shared" ref="O29:O33" si="8">($G20*E$41)</f>
        <v>0.1661616162</v>
      </c>
      <c r="P29" s="1">
        <f>($H20*E$42)</f>
        <v>0.107979798</v>
      </c>
      <c r="Q29" s="20">
        <v>1.0</v>
      </c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"/>
      <c r="C30" s="6" t="str">
        <f>$G$5</f>
        <v>Sensor size (benefit)</v>
      </c>
      <c r="D30" s="15">
        <f t="shared" ref="D30:H30" si="3">D21/D$25</f>
        <v>0.2</v>
      </c>
      <c r="E30" s="15">
        <f t="shared" si="3"/>
        <v>0.3333333333</v>
      </c>
      <c r="F30" s="15">
        <f t="shared" si="3"/>
        <v>0.5</v>
      </c>
      <c r="G30" s="15">
        <f t="shared" si="3"/>
        <v>0.4090909091</v>
      </c>
      <c r="H30" s="15">
        <f t="shared" si="3"/>
        <v>0.3</v>
      </c>
      <c r="I30" s="15">
        <f t="shared" si="4"/>
        <v>0.3484848485</v>
      </c>
      <c r="J30" s="1"/>
      <c r="K30" s="1"/>
      <c r="L30" s="1">
        <f t="shared" si="5"/>
        <v>0.1872727273</v>
      </c>
      <c r="M30" s="1">
        <f t="shared" si="6"/>
        <v>0.3484848485</v>
      </c>
      <c r="N30" s="1">
        <f t="shared" si="7"/>
        <v>0.5703030303</v>
      </c>
      <c r="O30" s="1">
        <f t="shared" si="8"/>
        <v>0.4984848485</v>
      </c>
      <c r="P30" s="1">
        <f>$H21*E$42</f>
        <v>0.3239393939</v>
      </c>
      <c r="Q30" s="20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"/>
      <c r="C31" s="6" t="str">
        <f>$G$6</f>
        <v>Frame rates (benefit)</v>
      </c>
      <c r="D31" s="15">
        <f t="shared" ref="D31:H31" si="9">D22/D$25</f>
        <v>0.2</v>
      </c>
      <c r="E31" s="15">
        <f t="shared" si="9"/>
        <v>0.1111111111</v>
      </c>
      <c r="F31" s="15">
        <f t="shared" si="9"/>
        <v>0.1666666667</v>
      </c>
      <c r="G31" s="15">
        <f t="shared" si="9"/>
        <v>0.2727272727</v>
      </c>
      <c r="H31" s="15">
        <f t="shared" si="9"/>
        <v>0.2</v>
      </c>
      <c r="I31" s="15">
        <f t="shared" si="4"/>
        <v>0.1901010101</v>
      </c>
      <c r="J31" s="1"/>
      <c r="K31" s="1"/>
      <c r="L31" s="1">
        <f t="shared" si="5"/>
        <v>0.1872727273</v>
      </c>
      <c r="M31" s="1">
        <f t="shared" si="6"/>
        <v>0.1161616162</v>
      </c>
      <c r="N31" s="1">
        <f t="shared" si="7"/>
        <v>0.1901010101</v>
      </c>
      <c r="O31" s="1">
        <f t="shared" si="8"/>
        <v>0.3323232323</v>
      </c>
      <c r="P31" s="1">
        <f t="shared" ref="P31:P33" si="11">($H22*E$42)</f>
        <v>0.215959596</v>
      </c>
      <c r="Q31" s="2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"/>
      <c r="C32" s="6" t="str">
        <f>$G$7</f>
        <v>Screen size inches (benefit)</v>
      </c>
      <c r="D32" s="15">
        <f t="shared" ref="D32:H32" si="10">D23/D$25</f>
        <v>0.2</v>
      </c>
      <c r="E32" s="15">
        <f t="shared" si="10"/>
        <v>0.1111111111</v>
      </c>
      <c r="F32" s="15">
        <f t="shared" si="10"/>
        <v>0.08333333333</v>
      </c>
      <c r="G32" s="15">
        <f t="shared" si="10"/>
        <v>0.1363636364</v>
      </c>
      <c r="H32" s="15">
        <f t="shared" si="10"/>
        <v>0.3</v>
      </c>
      <c r="I32" s="15">
        <f t="shared" si="4"/>
        <v>0.1661616162</v>
      </c>
      <c r="J32" s="1"/>
      <c r="K32" s="1"/>
      <c r="L32" s="1">
        <f t="shared" si="5"/>
        <v>0.1872727273</v>
      </c>
      <c r="M32" s="1">
        <f t="shared" si="6"/>
        <v>0.1161616162</v>
      </c>
      <c r="N32" s="1">
        <f t="shared" si="7"/>
        <v>0.09505050505</v>
      </c>
      <c r="O32" s="1">
        <f t="shared" si="8"/>
        <v>0.1661616162</v>
      </c>
      <c r="P32" s="1">
        <f t="shared" si="11"/>
        <v>0.3239393939</v>
      </c>
      <c r="Q32" s="2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"/>
      <c r="C33" s="6" t="str">
        <f>$G$8</f>
        <v>Screen brightnees nits (benefit)</v>
      </c>
      <c r="D33" s="15">
        <f t="shared" ref="D33:H33" si="12">D24/D$25</f>
        <v>0.2</v>
      </c>
      <c r="E33" s="15">
        <f t="shared" si="12"/>
        <v>0.1111111111</v>
      </c>
      <c r="F33" s="15">
        <f t="shared" si="12"/>
        <v>0.08333333333</v>
      </c>
      <c r="G33" s="15">
        <f t="shared" si="12"/>
        <v>0.04545454545</v>
      </c>
      <c r="H33" s="15">
        <f t="shared" si="12"/>
        <v>0.1</v>
      </c>
      <c r="I33" s="15">
        <f t="shared" si="4"/>
        <v>0.107979798</v>
      </c>
      <c r="J33" s="1"/>
      <c r="K33" s="1"/>
      <c r="L33" s="1">
        <f t="shared" si="5"/>
        <v>0.1872727273</v>
      </c>
      <c r="M33" s="1">
        <f t="shared" si="6"/>
        <v>0.1161616162</v>
      </c>
      <c r="N33" s="1">
        <f t="shared" si="7"/>
        <v>0.09505050505</v>
      </c>
      <c r="O33" s="1">
        <f t="shared" si="8"/>
        <v>0.05538720539</v>
      </c>
      <c r="P33" s="1">
        <f t="shared" si="11"/>
        <v>0.107979798</v>
      </c>
      <c r="Q33" s="2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"/>
      <c r="C34" s="6" t="s">
        <v>26</v>
      </c>
      <c r="D34" s="15">
        <f t="shared" ref="D34:H34" si="13">D25/D$25</f>
        <v>1</v>
      </c>
      <c r="E34" s="15">
        <f t="shared" si="13"/>
        <v>1</v>
      </c>
      <c r="F34" s="15">
        <f t="shared" si="13"/>
        <v>1</v>
      </c>
      <c r="G34" s="15">
        <f t="shared" si="13"/>
        <v>1</v>
      </c>
      <c r="H34" s="15">
        <f t="shared" si="13"/>
        <v>1</v>
      </c>
      <c r="I34" s="15">
        <f t="shared" si="4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"/>
      <c r="C36" s="22" t="s">
        <v>29</v>
      </c>
      <c r="D36" s="10"/>
      <c r="E36" s="10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"/>
      <c r="C37" s="6" t="s">
        <v>2</v>
      </c>
      <c r="D37" s="6" t="s">
        <v>30</v>
      </c>
      <c r="E37" s="6" t="s">
        <v>31</v>
      </c>
      <c r="F37" s="6" t="s">
        <v>32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"/>
      <c r="C38" s="6" t="str">
        <f>$G$4</f>
        <v>Price (cost)</v>
      </c>
      <c r="D38" s="15">
        <f t="shared" ref="D38:D43" si="14">SUM(D29:H29)</f>
        <v>0.9363636364</v>
      </c>
      <c r="E38" s="15">
        <f t="shared" ref="E38:E43" si="15">D38/5</f>
        <v>0.1872727273</v>
      </c>
      <c r="F38" s="15">
        <f t="shared" ref="F38:F42" si="16">($D20*E$38)+($E20*E$39)+($F20*E$40)+($G20*E$41)+($H20*E$42)</f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"/>
      <c r="C39" s="6" t="str">
        <f>$G$5</f>
        <v>Sensor size (benefit)</v>
      </c>
      <c r="D39" s="15">
        <f t="shared" si="14"/>
        <v>1.742424242</v>
      </c>
      <c r="E39" s="15">
        <f t="shared" si="15"/>
        <v>0.3484848485</v>
      </c>
      <c r="F39" s="15">
        <f t="shared" si="16"/>
        <v>1.928484848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3"/>
      <c r="C40" s="6" t="str">
        <f>$G$6</f>
        <v>Frame rates (benefit)</v>
      </c>
      <c r="D40" s="15">
        <f t="shared" si="14"/>
        <v>0.9505050505</v>
      </c>
      <c r="E40" s="15">
        <f t="shared" si="15"/>
        <v>0.1901010101</v>
      </c>
      <c r="F40" s="15">
        <f t="shared" si="16"/>
        <v>1.041818182</v>
      </c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3"/>
      <c r="C41" s="6" t="str">
        <f>$G$7</f>
        <v>Screen size inches (benefit)</v>
      </c>
      <c r="D41" s="15">
        <f t="shared" si="14"/>
        <v>0.8308080808</v>
      </c>
      <c r="E41" s="15">
        <f t="shared" si="15"/>
        <v>0.1661616162</v>
      </c>
      <c r="F41" s="15">
        <f t="shared" si="16"/>
        <v>0.8885858586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"/>
      <c r="C42" s="6" t="str">
        <f>$G$8</f>
        <v>Screen brightnees nits (benefit)</v>
      </c>
      <c r="D42" s="15">
        <f t="shared" si="14"/>
        <v>0.5398989899</v>
      </c>
      <c r="E42" s="15">
        <f t="shared" si="15"/>
        <v>0.107979798</v>
      </c>
      <c r="F42" s="15">
        <f t="shared" si="16"/>
        <v>0.5618518519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"/>
      <c r="C43" s="6" t="s">
        <v>26</v>
      </c>
      <c r="D43" s="15">
        <f t="shared" si="14"/>
        <v>5</v>
      </c>
      <c r="E43" s="15">
        <f t="shared" si="15"/>
        <v>1</v>
      </c>
      <c r="F43" s="15">
        <f>SUM(F38:F42)</f>
        <v>5.420740741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"/>
      <c r="C45" s="22" t="s">
        <v>29</v>
      </c>
      <c r="D45" s="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"/>
      <c r="C46" s="6" t="s">
        <v>33</v>
      </c>
      <c r="D46" s="15">
        <f>((F38/E38)+(F39/E39)+(F40/E40)+(F41/E41)+(F42/E42))/5</f>
        <v>5.381016913</v>
      </c>
      <c r="E46" s="1"/>
      <c r="F46" s="1"/>
      <c r="G46" s="1"/>
      <c r="H46" s="1"/>
      <c r="I46" s="1"/>
      <c r="J46" s="1">
        <f>F38/E38</f>
        <v>5.339805825</v>
      </c>
      <c r="K46" s="1">
        <f>F39/E39</f>
        <v>5.533913043</v>
      </c>
      <c r="L46" s="1">
        <f>F40/E40</f>
        <v>5.480340064</v>
      </c>
      <c r="M46" s="1">
        <f>F41/E41</f>
        <v>5.347720365</v>
      </c>
      <c r="N46" s="1">
        <f>F42/E42</f>
        <v>5.20330527</v>
      </c>
      <c r="O46" s="1">
        <f>SUM(J46:N46)</f>
        <v>26.90508457</v>
      </c>
      <c r="P46" s="1">
        <f>O46/5</f>
        <v>5.381016913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"/>
      <c r="C47" s="6" t="s">
        <v>34</v>
      </c>
      <c r="D47" s="15">
        <f>(D46-5)/(5-1)</f>
        <v>0.09525422835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"/>
      <c r="C48" s="6" t="s">
        <v>35</v>
      </c>
      <c r="D48" s="15">
        <v>1.12</v>
      </c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"/>
      <c r="C49" s="6" t="s">
        <v>36</v>
      </c>
      <c r="D49" s="15">
        <f>D47/D48</f>
        <v>0.08504841817</v>
      </c>
      <c r="E49" s="7" t="str">
        <f>IF(D49&lt;=0.1,"Consistent","Unconsistent")</f>
        <v>Consistent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C6:D6"/>
    <mergeCell ref="C7:D7"/>
    <mergeCell ref="C8:D8"/>
    <mergeCell ref="G7:H7"/>
    <mergeCell ref="G8:H8"/>
    <mergeCell ref="C10:H10"/>
    <mergeCell ref="C18:H18"/>
    <mergeCell ref="C27:I27"/>
    <mergeCell ref="C36:F36"/>
    <mergeCell ref="C45:D45"/>
    <mergeCell ref="C3:D3"/>
    <mergeCell ref="G3:H3"/>
    <mergeCell ref="C4:D4"/>
    <mergeCell ref="G4:H4"/>
    <mergeCell ref="C5:D5"/>
    <mergeCell ref="G5:H5"/>
    <mergeCell ref="G6:H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2"/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3"/>
      <c r="C3" s="23" t="s">
        <v>29</v>
      </c>
      <c r="D3" s="24"/>
      <c r="E3" s="24"/>
      <c r="F3" s="24"/>
      <c r="G3" s="24"/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/>
      <c r="B4" s="3"/>
      <c r="C4" s="26" t="s">
        <v>37</v>
      </c>
      <c r="D4" s="27" t="str">
        <f>Criteria!$C$4</f>
        <v>Sony A9 III</v>
      </c>
      <c r="E4" s="27" t="str">
        <f>Criteria!$C$5</f>
        <v>Leica SL3</v>
      </c>
      <c r="F4" s="27" t="str">
        <f>Criteria!$C$6</f>
        <v>Fujifilm GFX100 II</v>
      </c>
      <c r="G4" s="27" t="str">
        <f>Criteria!$C$7</f>
        <v>Lumix G9 II</v>
      </c>
      <c r="H4" s="27" t="str">
        <f>Criteria!$C$8</f>
        <v>Canon EOS R3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1"/>
      <c r="B5" s="3"/>
      <c r="C5" s="28" t="s">
        <v>38</v>
      </c>
      <c r="D5" s="29">
        <f>Criteria!$D12</f>
        <v>101000000</v>
      </c>
      <c r="E5" s="29">
        <f>Criteria!$D13</f>
        <v>129000000</v>
      </c>
      <c r="F5" s="29">
        <f>Criteria!$D14</f>
        <v>155000000</v>
      </c>
      <c r="G5" s="29">
        <f>Criteria!$D15</f>
        <v>29000000</v>
      </c>
      <c r="H5" s="29">
        <f>Criteria!$D16</f>
        <v>90000000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1"/>
      <c r="B6" s="3"/>
      <c r="C6" s="30" t="s">
        <v>30</v>
      </c>
      <c r="D6" s="12">
        <f t="shared" ref="D6:H6" si="1">MIN($D$5:$H$5)/D$5</f>
        <v>0.2871287129</v>
      </c>
      <c r="E6" s="12">
        <f t="shared" si="1"/>
        <v>0.2248062016</v>
      </c>
      <c r="F6" s="12">
        <f t="shared" si="1"/>
        <v>0.1870967742</v>
      </c>
      <c r="G6" s="12">
        <f t="shared" si="1"/>
        <v>1</v>
      </c>
      <c r="H6" s="12">
        <f t="shared" si="1"/>
        <v>0.3222222222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/>
      <c r="B7" s="3"/>
      <c r="C7" s="30" t="s">
        <v>39</v>
      </c>
      <c r="D7" s="12">
        <f t="shared" ref="D7:H7" si="2">D$6/SUM($D$6:$H$6)</f>
        <v>0.142054747</v>
      </c>
      <c r="E7" s="12">
        <f t="shared" si="2"/>
        <v>0.1112211585</v>
      </c>
      <c r="F7" s="12">
        <f t="shared" si="2"/>
        <v>0.09256470609</v>
      </c>
      <c r="G7" s="12">
        <f t="shared" si="2"/>
        <v>0.4947423946</v>
      </c>
      <c r="H7" s="12">
        <f t="shared" si="2"/>
        <v>0.1594169938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C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/>
      <c r="C3" s="23" t="s">
        <v>29</v>
      </c>
      <c r="D3" s="24"/>
      <c r="E3" s="24"/>
      <c r="F3" s="24"/>
      <c r="G3" s="24"/>
      <c r="H3" s="25"/>
      <c r="I3" s="1"/>
      <c r="J3" s="1"/>
      <c r="K3" s="1"/>
      <c r="L3" s="1"/>
    </row>
    <row r="4">
      <c r="A4" s="1"/>
      <c r="B4" s="1"/>
      <c r="C4" s="26" t="s">
        <v>40</v>
      </c>
      <c r="D4" s="27" t="str">
        <f>Criteria!$C$4</f>
        <v>Sony A9 III</v>
      </c>
      <c r="E4" s="27" t="str">
        <f>Criteria!$C$5</f>
        <v>Leica SL3</v>
      </c>
      <c r="F4" s="27" t="str">
        <f>Criteria!$C$6</f>
        <v>Fujifilm GFX100 II</v>
      </c>
      <c r="G4" s="27" t="str">
        <f>Criteria!$C$7</f>
        <v>Lumix G9 II</v>
      </c>
      <c r="H4" s="27" t="str">
        <f>Criteria!$C$8</f>
        <v>Canon EOS R3</v>
      </c>
      <c r="I4" s="1"/>
      <c r="J4" s="1"/>
      <c r="K4" s="1"/>
      <c r="L4" s="1"/>
    </row>
    <row r="5">
      <c r="A5" s="1"/>
      <c r="B5" s="1"/>
      <c r="C5" s="28" t="s">
        <v>38</v>
      </c>
      <c r="D5" s="31">
        <f>Criteria!$E12</f>
        <v>36</v>
      </c>
      <c r="E5" s="31">
        <f>Criteria!$E13</f>
        <v>36</v>
      </c>
      <c r="F5" s="31">
        <f>Criteria!$E14</f>
        <v>44</v>
      </c>
      <c r="G5" s="31">
        <f>Criteria!$E15</f>
        <v>17</v>
      </c>
      <c r="H5" s="31">
        <f>Criteria!$E16</f>
        <v>36</v>
      </c>
      <c r="I5" s="1"/>
      <c r="J5" s="1"/>
      <c r="K5" s="1"/>
      <c r="L5" s="1"/>
    </row>
    <row r="6">
      <c r="A6" s="1"/>
      <c r="B6" s="1"/>
      <c r="C6" s="30" t="s">
        <v>29</v>
      </c>
      <c r="D6" s="12">
        <f t="shared" ref="D6:H6" si="1">D$5/MAX($D$5:$H$5)</f>
        <v>0.8181818182</v>
      </c>
      <c r="E6" s="12">
        <f t="shared" si="1"/>
        <v>0.8181818182</v>
      </c>
      <c r="F6" s="12">
        <f t="shared" si="1"/>
        <v>1</v>
      </c>
      <c r="G6" s="12">
        <f t="shared" si="1"/>
        <v>0.3863636364</v>
      </c>
      <c r="H6" s="12">
        <f t="shared" si="1"/>
        <v>0.8181818182</v>
      </c>
      <c r="I6" s="1"/>
      <c r="J6" s="1"/>
      <c r="K6" s="1"/>
      <c r="L6" s="1"/>
    </row>
    <row r="7">
      <c r="A7" s="1"/>
      <c r="B7" s="1"/>
      <c r="C7" s="30" t="s">
        <v>39</v>
      </c>
      <c r="D7" s="12">
        <f t="shared" ref="D7:H7" si="2">D$6/SUM($D$6:$H$6)</f>
        <v>0.2130177515</v>
      </c>
      <c r="E7" s="12">
        <f t="shared" si="2"/>
        <v>0.2130177515</v>
      </c>
      <c r="F7" s="12">
        <f t="shared" si="2"/>
        <v>0.2603550296</v>
      </c>
      <c r="G7" s="12">
        <f t="shared" si="2"/>
        <v>0.100591716</v>
      </c>
      <c r="H7" s="12">
        <f t="shared" si="2"/>
        <v>0.2130177515</v>
      </c>
      <c r="I7" s="1"/>
      <c r="J7" s="1"/>
      <c r="K7" s="1"/>
      <c r="L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C3:H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B3" s="1"/>
      <c r="C3" s="23" t="s">
        <v>29</v>
      </c>
      <c r="D3" s="24"/>
      <c r="E3" s="24"/>
      <c r="F3" s="24"/>
      <c r="G3" s="24"/>
      <c r="H3" s="25"/>
    </row>
    <row r="4">
      <c r="B4" s="1"/>
      <c r="C4" s="26" t="s">
        <v>40</v>
      </c>
      <c r="D4" s="27" t="str">
        <f>Criteria!$C$4</f>
        <v>Sony A9 III</v>
      </c>
      <c r="E4" s="27" t="str">
        <f>Criteria!$C$5</f>
        <v>Leica SL3</v>
      </c>
      <c r="F4" s="27" t="str">
        <f>Criteria!$C$6</f>
        <v>Fujifilm GFX100 II</v>
      </c>
      <c r="G4" s="27" t="str">
        <f>Criteria!$C$7</f>
        <v>Lumix G9 II</v>
      </c>
      <c r="H4" s="27" t="str">
        <f>Criteria!$C$8</f>
        <v>Canon EOS R3</v>
      </c>
    </row>
    <row r="5">
      <c r="B5" s="1"/>
      <c r="C5" s="28" t="s">
        <v>38</v>
      </c>
      <c r="D5" s="31">
        <f>Criteria!$F12</f>
        <v>120</v>
      </c>
      <c r="E5" s="31">
        <f>Criteria!$F13</f>
        <v>240</v>
      </c>
      <c r="F5" s="31">
        <f>Criteria!$F14</f>
        <v>360</v>
      </c>
      <c r="G5" s="31">
        <f>Criteria!$F15</f>
        <v>120</v>
      </c>
      <c r="H5" s="31">
        <f>Criteria!$F16</f>
        <v>90</v>
      </c>
    </row>
    <row r="6">
      <c r="B6" s="1"/>
      <c r="C6" s="30" t="s">
        <v>29</v>
      </c>
      <c r="D6" s="12">
        <f t="shared" ref="D6:H6" si="1">D$5/MAX($D$5:$H$5)</f>
        <v>0.3333333333</v>
      </c>
      <c r="E6" s="12">
        <f t="shared" si="1"/>
        <v>0.6666666667</v>
      </c>
      <c r="F6" s="12">
        <f t="shared" si="1"/>
        <v>1</v>
      </c>
      <c r="G6" s="12">
        <f t="shared" si="1"/>
        <v>0.3333333333</v>
      </c>
      <c r="H6" s="12">
        <f t="shared" si="1"/>
        <v>0.25</v>
      </c>
    </row>
    <row r="7">
      <c r="B7" s="1"/>
      <c r="C7" s="30" t="s">
        <v>39</v>
      </c>
      <c r="D7" s="12">
        <f t="shared" ref="D7:H7" si="2">D$6/SUM($D$6:$H$6)</f>
        <v>0.1290322581</v>
      </c>
      <c r="E7" s="12">
        <f t="shared" si="2"/>
        <v>0.2580645161</v>
      </c>
      <c r="F7" s="12">
        <f t="shared" si="2"/>
        <v>0.3870967742</v>
      </c>
      <c r="G7" s="12">
        <f t="shared" si="2"/>
        <v>0.1290322581</v>
      </c>
      <c r="H7" s="12">
        <f t="shared" si="2"/>
        <v>0.09677419355</v>
      </c>
    </row>
    <row r="8">
      <c r="B8" s="1"/>
      <c r="C8" s="1"/>
      <c r="D8" s="1"/>
      <c r="E8" s="1"/>
      <c r="F8" s="1"/>
      <c r="G8" s="1"/>
      <c r="H8" s="1"/>
    </row>
    <row r="9">
      <c r="B9" s="1"/>
      <c r="C9" s="1"/>
      <c r="D9" s="1"/>
      <c r="E9" s="1"/>
      <c r="F9" s="1"/>
      <c r="G9" s="1"/>
      <c r="H9" s="1"/>
    </row>
    <row r="10">
      <c r="B10" s="1"/>
      <c r="C10" s="1"/>
      <c r="D10" s="1"/>
      <c r="E10" s="1"/>
      <c r="F10" s="1"/>
      <c r="G10" s="1"/>
      <c r="H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C3:H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/>
      <c r="C3" s="23" t="s">
        <v>29</v>
      </c>
      <c r="D3" s="24"/>
      <c r="E3" s="24"/>
      <c r="F3" s="24"/>
      <c r="G3" s="24"/>
      <c r="H3" s="25"/>
      <c r="I3" s="1"/>
      <c r="J3" s="1"/>
      <c r="K3" s="1"/>
      <c r="L3" s="1"/>
    </row>
    <row r="4">
      <c r="A4" s="1"/>
      <c r="B4" s="1"/>
      <c r="C4" s="26" t="s">
        <v>40</v>
      </c>
      <c r="D4" s="27" t="str">
        <f>Criteria!$C$4</f>
        <v>Sony A9 III</v>
      </c>
      <c r="E4" s="27" t="str">
        <f>Criteria!$C$5</f>
        <v>Leica SL3</v>
      </c>
      <c r="F4" s="27" t="str">
        <f>Criteria!$C$6</f>
        <v>Fujifilm GFX100 II</v>
      </c>
      <c r="G4" s="27" t="str">
        <f>Criteria!$C$7</f>
        <v>Lumix G9 II</v>
      </c>
      <c r="H4" s="27" t="str">
        <f>Criteria!$C$8</f>
        <v>Canon EOS R3</v>
      </c>
      <c r="I4" s="1"/>
      <c r="J4" s="1"/>
      <c r="K4" s="1"/>
      <c r="L4" s="1"/>
    </row>
    <row r="5">
      <c r="A5" s="1"/>
      <c r="B5" s="1"/>
      <c r="C5" s="28" t="s">
        <v>38</v>
      </c>
      <c r="D5" s="31">
        <f>Criteria!$G12</f>
        <v>3</v>
      </c>
      <c r="E5" s="31">
        <f>Criteria!$G13</f>
        <v>5</v>
      </c>
      <c r="F5" s="31">
        <f>Criteria!$G14</f>
        <v>5</v>
      </c>
      <c r="G5" s="31">
        <f>Criteria!$G15</f>
        <v>3</v>
      </c>
      <c r="H5" s="31">
        <f>Criteria!$G16</f>
        <v>3</v>
      </c>
      <c r="I5" s="1"/>
      <c r="J5" s="1"/>
      <c r="K5" s="1"/>
      <c r="L5" s="1"/>
    </row>
    <row r="6">
      <c r="A6" s="1"/>
      <c r="B6" s="1"/>
      <c r="C6" s="30" t="s">
        <v>29</v>
      </c>
      <c r="D6" s="12">
        <f t="shared" ref="D6:H6" si="1">D$5/MAX($D$5:$H$5)</f>
        <v>0.6</v>
      </c>
      <c r="E6" s="12">
        <f t="shared" si="1"/>
        <v>1</v>
      </c>
      <c r="F6" s="12">
        <f t="shared" si="1"/>
        <v>1</v>
      </c>
      <c r="G6" s="12">
        <f t="shared" si="1"/>
        <v>0.6</v>
      </c>
      <c r="H6" s="12">
        <f t="shared" si="1"/>
        <v>0.6</v>
      </c>
      <c r="I6" s="1"/>
      <c r="J6" s="1"/>
      <c r="K6" s="1"/>
      <c r="L6" s="1"/>
    </row>
    <row r="7">
      <c r="A7" s="1"/>
      <c r="B7" s="1"/>
      <c r="C7" s="30" t="s">
        <v>39</v>
      </c>
      <c r="D7" s="12">
        <f t="shared" ref="D7:H7" si="2">D$6/SUM($D$6:$H$6)</f>
        <v>0.1578947368</v>
      </c>
      <c r="E7" s="12">
        <f t="shared" si="2"/>
        <v>0.2631578947</v>
      </c>
      <c r="F7" s="12">
        <f t="shared" si="2"/>
        <v>0.2631578947</v>
      </c>
      <c r="G7" s="12">
        <f t="shared" si="2"/>
        <v>0.1578947368</v>
      </c>
      <c r="H7" s="12">
        <f t="shared" si="2"/>
        <v>0.1578947368</v>
      </c>
      <c r="I7" s="1"/>
      <c r="J7" s="1"/>
      <c r="K7" s="1"/>
      <c r="L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C3:H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B3" s="1"/>
      <c r="C3" s="23" t="s">
        <v>29</v>
      </c>
      <c r="D3" s="24"/>
      <c r="E3" s="24"/>
      <c r="F3" s="24"/>
      <c r="G3" s="24"/>
      <c r="H3" s="25"/>
      <c r="I3" s="1"/>
    </row>
    <row r="4">
      <c r="B4" s="1"/>
      <c r="C4" s="26" t="s">
        <v>40</v>
      </c>
      <c r="D4" s="27" t="str">
        <f>Criteria!$C$4</f>
        <v>Sony A9 III</v>
      </c>
      <c r="E4" s="27" t="str">
        <f>Criteria!$C$5</f>
        <v>Leica SL3</v>
      </c>
      <c r="F4" s="27" t="str">
        <f>Criteria!$C$6</f>
        <v>Fujifilm GFX100 II</v>
      </c>
      <c r="G4" s="27" t="str">
        <f>Criteria!$C$7</f>
        <v>Lumix G9 II</v>
      </c>
      <c r="H4" s="27" t="str">
        <f>Criteria!$C$8</f>
        <v>Canon EOS R3</v>
      </c>
      <c r="I4" s="1"/>
    </row>
    <row r="5">
      <c r="B5" s="1"/>
      <c r="C5" s="28" t="s">
        <v>38</v>
      </c>
      <c r="D5" s="31">
        <f>Criteria!$H12</f>
        <v>1500</v>
      </c>
      <c r="E5" s="31">
        <f>Criteria!$H13</f>
        <v>1500</v>
      </c>
      <c r="F5" s="31">
        <f>Criteria!$H14</f>
        <v>1500</v>
      </c>
      <c r="G5" s="31">
        <f>Criteria!$H15</f>
        <v>1500</v>
      </c>
      <c r="H5" s="31">
        <f>Criteria!$H16</f>
        <v>1500</v>
      </c>
      <c r="I5" s="1"/>
    </row>
    <row r="6">
      <c r="B6" s="1"/>
      <c r="C6" s="30" t="s">
        <v>29</v>
      </c>
      <c r="D6" s="12">
        <f t="shared" ref="D6:H6" si="1">D$5/MAX($D$5:$I$5)</f>
        <v>1</v>
      </c>
      <c r="E6" s="12">
        <f t="shared" si="1"/>
        <v>1</v>
      </c>
      <c r="F6" s="12">
        <f t="shared" si="1"/>
        <v>1</v>
      </c>
      <c r="G6" s="12">
        <f t="shared" si="1"/>
        <v>1</v>
      </c>
      <c r="H6" s="12">
        <f t="shared" si="1"/>
        <v>1</v>
      </c>
      <c r="I6" s="1"/>
    </row>
    <row r="7">
      <c r="B7" s="1"/>
      <c r="C7" s="30" t="s">
        <v>39</v>
      </c>
      <c r="D7" s="12">
        <f t="shared" ref="D7:H7" si="2">D$6/SUM($D$6:$I$6)</f>
        <v>0.2</v>
      </c>
      <c r="E7" s="12">
        <f t="shared" si="2"/>
        <v>0.2</v>
      </c>
      <c r="F7" s="12">
        <f t="shared" si="2"/>
        <v>0.2</v>
      </c>
      <c r="G7" s="12">
        <f t="shared" si="2"/>
        <v>0.2</v>
      </c>
      <c r="H7" s="12">
        <f t="shared" si="2"/>
        <v>0.2</v>
      </c>
      <c r="I7" s="1"/>
    </row>
    <row r="8">
      <c r="B8" s="1"/>
      <c r="C8" s="1"/>
      <c r="D8" s="1"/>
      <c r="E8" s="1"/>
      <c r="F8" s="1"/>
      <c r="G8" s="1"/>
      <c r="H8" s="1"/>
      <c r="I8" s="1"/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/>
      <c r="B12" s="1"/>
      <c r="C12" s="1"/>
      <c r="D12" s="1"/>
      <c r="E12" s="1"/>
      <c r="F12" s="1"/>
      <c r="G12" s="1"/>
      <c r="H12" s="1"/>
      <c r="I12" s="1"/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1"/>
      <c r="B14" s="1"/>
      <c r="C14" s="1"/>
      <c r="D14" s="1"/>
      <c r="E14" s="1"/>
      <c r="F14" s="1"/>
      <c r="G14" s="1"/>
      <c r="H14" s="1"/>
      <c r="I14" s="1"/>
    </row>
    <row r="15">
      <c r="A15" s="1"/>
      <c r="B15" s="1"/>
      <c r="C15" s="1"/>
      <c r="D15" s="1"/>
      <c r="E15" s="1"/>
      <c r="F15" s="1"/>
      <c r="G15" s="1"/>
      <c r="H15" s="1"/>
      <c r="I15" s="1"/>
    </row>
    <row r="16">
      <c r="A16" s="1"/>
      <c r="B16" s="1"/>
      <c r="C16" s="1"/>
      <c r="D16" s="1"/>
      <c r="E16" s="1"/>
      <c r="F16" s="1"/>
      <c r="G16" s="1"/>
      <c r="H16" s="1"/>
      <c r="I16" s="1"/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/>
      <c r="B20" s="1"/>
      <c r="C20" s="1"/>
      <c r="D20" s="1"/>
      <c r="E20" s="1"/>
      <c r="F20" s="1"/>
      <c r="G20" s="1"/>
      <c r="H20" s="1"/>
      <c r="I20" s="1"/>
    </row>
    <row r="21">
      <c r="A21" s="1"/>
      <c r="B21" s="1"/>
      <c r="C21" s="1"/>
      <c r="D21" s="1"/>
      <c r="E21" s="1"/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/>
      <c r="B23" s="1"/>
      <c r="C23" s="1"/>
      <c r="D23" s="1"/>
      <c r="E23" s="1"/>
      <c r="F23" s="1"/>
      <c r="G23" s="1"/>
      <c r="H23" s="1"/>
      <c r="I23" s="1"/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C3:H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C3" s="3"/>
      <c r="D3" s="32" t="s">
        <v>41</v>
      </c>
      <c r="E3" s="24"/>
      <c r="F3" s="24"/>
      <c r="G3" s="24"/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C4" s="3"/>
      <c r="D4" s="6" t="str">
        <f>Criteria!$G$4</f>
        <v>Price (cost)</v>
      </c>
      <c r="E4" s="6" t="str">
        <f>Criteria!$G$5</f>
        <v>Sensor size (benefit)</v>
      </c>
      <c r="F4" s="6" t="str">
        <f>Criteria!$G$6</f>
        <v>Frame rates (benefit)</v>
      </c>
      <c r="G4" s="6" t="str">
        <f>Criteria!$G$7</f>
        <v>Screen size inches (benefit)</v>
      </c>
      <c r="H4" s="6" t="str">
        <f>Criteria!$G$8</f>
        <v>Screen brightnees nits (benefit)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C5" s="3"/>
      <c r="D5" s="15">
        <f>Criteria!$E38</f>
        <v>0.1872727273</v>
      </c>
      <c r="E5" s="15">
        <f>Criteria!$E39</f>
        <v>0.3484848485</v>
      </c>
      <c r="F5" s="15">
        <f>Criteria!$E40</f>
        <v>0.1901010101</v>
      </c>
      <c r="G5" s="15">
        <f>Criteria!$E41</f>
        <v>0.1661616162</v>
      </c>
      <c r="H5" s="15">
        <f>Criteria!$E42</f>
        <v>0.107979798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2"/>
      <c r="D6" s="2"/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3"/>
      <c r="C7" s="16" t="s">
        <v>42</v>
      </c>
      <c r="D7" s="10"/>
      <c r="E7" s="10"/>
      <c r="F7" s="10"/>
      <c r="G7" s="10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3"/>
      <c r="C8" s="6" t="s">
        <v>24</v>
      </c>
      <c r="D8" s="6" t="str">
        <f>Criteria!$G$4</f>
        <v>Price (cost)</v>
      </c>
      <c r="E8" s="6" t="str">
        <f>Criteria!$G$5</f>
        <v>Sensor size (benefit)</v>
      </c>
      <c r="F8" s="6" t="str">
        <f>Criteria!$G$6</f>
        <v>Frame rates (benefit)</v>
      </c>
      <c r="G8" s="6" t="str">
        <f>Criteria!$G$7</f>
        <v>Screen size inches (benefit)</v>
      </c>
      <c r="H8" s="6" t="str">
        <f>Criteria!$G$8</f>
        <v>Screen brightnees nits (benefit)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3"/>
      <c r="C9" s="6" t="str">
        <f>Criteria!$C$4</f>
        <v>Sony A9 III</v>
      </c>
      <c r="D9" s="15">
        <f>Price!$D$7</f>
        <v>0.142054747</v>
      </c>
      <c r="E9" s="15">
        <f>Sensor_size!$D$7</f>
        <v>0.2130177515</v>
      </c>
      <c r="F9" s="15">
        <f>Frame_rates!$D$7</f>
        <v>0.1290322581</v>
      </c>
      <c r="G9" s="15">
        <f>Screen_size_inches!$D$7</f>
        <v>0.1578947368</v>
      </c>
      <c r="H9" s="15">
        <f>Screen_brightness_nits!$E$7</f>
        <v>0.2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3"/>
      <c r="C10" s="6" t="str">
        <f>Criteria!$C$5</f>
        <v>Leica SL3</v>
      </c>
      <c r="D10" s="15">
        <f>Price!$E$7</f>
        <v>0.1112211585</v>
      </c>
      <c r="E10" s="15">
        <f>Sensor_size!$E$7</f>
        <v>0.2130177515</v>
      </c>
      <c r="F10" s="15">
        <f>Frame_rates!$E$7</f>
        <v>0.2580645161</v>
      </c>
      <c r="G10" s="15">
        <f>Screen_size_inches!$E$7</f>
        <v>0.2631578947</v>
      </c>
      <c r="H10" s="15">
        <f>Screen_brightness_nits!$F$7</f>
        <v>0.2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3"/>
      <c r="C11" s="6" t="str">
        <f>Criteria!$C$6</f>
        <v>Fujifilm GFX100 II</v>
      </c>
      <c r="D11" s="15">
        <f>Price!$F$7</f>
        <v>0.09256470609</v>
      </c>
      <c r="E11" s="15">
        <f>Sensor_size!$F$7</f>
        <v>0.2603550296</v>
      </c>
      <c r="F11" s="15">
        <f>Frame_rates!$F$7</f>
        <v>0.3870967742</v>
      </c>
      <c r="G11" s="15">
        <f>Screen_size_inches!$F$7</f>
        <v>0.2631578947</v>
      </c>
      <c r="H11" s="15">
        <f>Screen_brightness_nits!$G$7</f>
        <v>0.2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3"/>
      <c r="C12" s="6" t="str">
        <f>Criteria!$C$7</f>
        <v>Lumix G9 II</v>
      </c>
      <c r="D12" s="15">
        <f>Price!$G$7</f>
        <v>0.4947423946</v>
      </c>
      <c r="E12" s="15">
        <f>Sensor_size!$G$7</f>
        <v>0.100591716</v>
      </c>
      <c r="F12" s="15">
        <f>Frame_rates!$G$7</f>
        <v>0.1290322581</v>
      </c>
      <c r="G12" s="15">
        <f>Screen_size_inches!$G$7</f>
        <v>0.1578947368</v>
      </c>
      <c r="H12" s="15">
        <f>Screen_brightness_nits!$H$7</f>
        <v>0.2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3"/>
      <c r="C13" s="6" t="str">
        <f>Criteria!$C$8</f>
        <v>Canon EOS R3</v>
      </c>
      <c r="D13" s="15">
        <f>Price!$H$7</f>
        <v>0.1594169938</v>
      </c>
      <c r="E13" s="15">
        <f>Sensor_size!$H$7</f>
        <v>0.2130177515</v>
      </c>
      <c r="F13" s="15">
        <f>Frame_rates!$H$7</f>
        <v>0.09677419355</v>
      </c>
      <c r="G13" s="15">
        <f>Screen_size_inches!$H$7</f>
        <v>0.1578947368</v>
      </c>
      <c r="H13" s="15">
        <f>Screen_brightness_nits!$H$7</f>
        <v>0.2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3"/>
      <c r="C14" s="6" t="s">
        <v>26</v>
      </c>
      <c r="D14" s="15">
        <f t="shared" ref="D14:H14" si="1">SUM(D9:D13)</f>
        <v>1</v>
      </c>
      <c r="E14" s="15">
        <f t="shared" si="1"/>
        <v>1</v>
      </c>
      <c r="F14" s="15">
        <f t="shared" si="1"/>
        <v>1</v>
      </c>
      <c r="G14" s="15">
        <f t="shared" si="1"/>
        <v>1</v>
      </c>
      <c r="H14" s="15">
        <f t="shared" si="1"/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3"/>
      <c r="C16" s="16" t="s">
        <v>43</v>
      </c>
      <c r="D16" s="10"/>
      <c r="E16" s="10"/>
      <c r="F16" s="10"/>
      <c r="G16" s="10"/>
      <c r="H16" s="10"/>
      <c r="I16" s="10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3"/>
      <c r="C17" s="6" t="s">
        <v>0</v>
      </c>
      <c r="D17" s="6" t="str">
        <f>Criteria!$C$4</f>
        <v>Sony A9 III</v>
      </c>
      <c r="E17" s="6" t="str">
        <f>Criteria!$C$5</f>
        <v>Leica SL3</v>
      </c>
      <c r="F17" s="6" t="str">
        <f>Criteria!$C$6</f>
        <v>Fujifilm GFX100 II</v>
      </c>
      <c r="G17" s="6" t="str">
        <f>Criteria!$C$7</f>
        <v>Lumix G9 II</v>
      </c>
      <c r="H17" s="6" t="str">
        <f>Criteria!$C$8</f>
        <v>Canon EOS R3</v>
      </c>
      <c r="I17" s="6" t="s">
        <v>44</v>
      </c>
      <c r="J17" s="6" t="s">
        <v>45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3"/>
      <c r="C18" s="6" t="str">
        <f>Criteria!$C$4</f>
        <v>Sony A9 III</v>
      </c>
      <c r="D18" s="15">
        <f t="shared" ref="D18:H18" si="2">D9*D$5</f>
        <v>0.02660297989</v>
      </c>
      <c r="E18" s="15">
        <f t="shared" si="2"/>
        <v>0.07423345885</v>
      </c>
      <c r="F18" s="15">
        <f t="shared" si="2"/>
        <v>0.02452916259</v>
      </c>
      <c r="G18" s="15">
        <f t="shared" si="2"/>
        <v>0.02623604466</v>
      </c>
      <c r="H18" s="15">
        <f t="shared" si="2"/>
        <v>0.0215959596</v>
      </c>
      <c r="I18" s="33">
        <f t="shared" ref="I18:I22" si="4">SUM(D18:H18)</f>
        <v>0.1731976056</v>
      </c>
      <c r="J18" s="18">
        <v>4.0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3"/>
      <c r="C19" s="6" t="str">
        <f>Criteria!$C$5</f>
        <v>Leica SL3</v>
      </c>
      <c r="D19" s="15">
        <f t="shared" ref="D19:H19" si="3">D10*D$5</f>
        <v>0.02082868968</v>
      </c>
      <c r="E19" s="15">
        <f t="shared" si="3"/>
        <v>0.07423345885</v>
      </c>
      <c r="F19" s="15">
        <f t="shared" si="3"/>
        <v>0.04905832519</v>
      </c>
      <c r="G19" s="15">
        <f t="shared" si="3"/>
        <v>0.0437267411</v>
      </c>
      <c r="H19" s="15">
        <f t="shared" si="3"/>
        <v>0.0215959596</v>
      </c>
      <c r="I19" s="33">
        <f t="shared" si="4"/>
        <v>0.2094431744</v>
      </c>
      <c r="J19" s="18">
        <v>2.0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3"/>
      <c r="C20" s="6" t="str">
        <f>Criteria!$C$6</f>
        <v>Fujifilm GFX100 II</v>
      </c>
      <c r="D20" s="15">
        <f t="shared" ref="D20:H20" si="5">D11*D$5</f>
        <v>0.01733484496</v>
      </c>
      <c r="E20" s="15">
        <f t="shared" si="5"/>
        <v>0.09072978304</v>
      </c>
      <c r="F20" s="15">
        <f t="shared" si="5"/>
        <v>0.07358748778</v>
      </c>
      <c r="G20" s="15">
        <f t="shared" si="5"/>
        <v>0.0437267411</v>
      </c>
      <c r="H20" s="15">
        <f t="shared" si="5"/>
        <v>0.0215959596</v>
      </c>
      <c r="I20" s="33">
        <f t="shared" si="4"/>
        <v>0.2469748165</v>
      </c>
      <c r="J20" s="18">
        <v>1.0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3"/>
      <c r="C21" s="6" t="str">
        <f>Criteria!$C$7</f>
        <v>Lumix G9 II</v>
      </c>
      <c r="D21" s="15">
        <f t="shared" ref="D21:H21" si="6">D12*D$5</f>
        <v>0.09265175754</v>
      </c>
      <c r="E21" s="15">
        <f t="shared" si="6"/>
        <v>0.0350546889</v>
      </c>
      <c r="F21" s="15">
        <f t="shared" si="6"/>
        <v>0.02452916259</v>
      </c>
      <c r="G21" s="15">
        <f t="shared" si="6"/>
        <v>0.02623604466</v>
      </c>
      <c r="H21" s="15">
        <f t="shared" si="6"/>
        <v>0.0215959596</v>
      </c>
      <c r="I21" s="33">
        <f t="shared" si="4"/>
        <v>0.2000676133</v>
      </c>
      <c r="J21" s="18">
        <v>3.0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3"/>
      <c r="C22" s="6" t="str">
        <f>Criteria!$C$8</f>
        <v>Canon EOS R3</v>
      </c>
      <c r="D22" s="15">
        <f t="shared" ref="D22:H22" si="7">D13*D$5</f>
        <v>0.02985445521</v>
      </c>
      <c r="E22" s="15">
        <f t="shared" si="7"/>
        <v>0.07423345885</v>
      </c>
      <c r="F22" s="15">
        <f t="shared" si="7"/>
        <v>0.01839687195</v>
      </c>
      <c r="G22" s="15">
        <f t="shared" si="7"/>
        <v>0.02623604466</v>
      </c>
      <c r="H22" s="15">
        <f t="shared" si="7"/>
        <v>0.0215959596</v>
      </c>
      <c r="I22" s="33">
        <f t="shared" si="4"/>
        <v>0.1703167903</v>
      </c>
      <c r="J22" s="18">
        <v>5.0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1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1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1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1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1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1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1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1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1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1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1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1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1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1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1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1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1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1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1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1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1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1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1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1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1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1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1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1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1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1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1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1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1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1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1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1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1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1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1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1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1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1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1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1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1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1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1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1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1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1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1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1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1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1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1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1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1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1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1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1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1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1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1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1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1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1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1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1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1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1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1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1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1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1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1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1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1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1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1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1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1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1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1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1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1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1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1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1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1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1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1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1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1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1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1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1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1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1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1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1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1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1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1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1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1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1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1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1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1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1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1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1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1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1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1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1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1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1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1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1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1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1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1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1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1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1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1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1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1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1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1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1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1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1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1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1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1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1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1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1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1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1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1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1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1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1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1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1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1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1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1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1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1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1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1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1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1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1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1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1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1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1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1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1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1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1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1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1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1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1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1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1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1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1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1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1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1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1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1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1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1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1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1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1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1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1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1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1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1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1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1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1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1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1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1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1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1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1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1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1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1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1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1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1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1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1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1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1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1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1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1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1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1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1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1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1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1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1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1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1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1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1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1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1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1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1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1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1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1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1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1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1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1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1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1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1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1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1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1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1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1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1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1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1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1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1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1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1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1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1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1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1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1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1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1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1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1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1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1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1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1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1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1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1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1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1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1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1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1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1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1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1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1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1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1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1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1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1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1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1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1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1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1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1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1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1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1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1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1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1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1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1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1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1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1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1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1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1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1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1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1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1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1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1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1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1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1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1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1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1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1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1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1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1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1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1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1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1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1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1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1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1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1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1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1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1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1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1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1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1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1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1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1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1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1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1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1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1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1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1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1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1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1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1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1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1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1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1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1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1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1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1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1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1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1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1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1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1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1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1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1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1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1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1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1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1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1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1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1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1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1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1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1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1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1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1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1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1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1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1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1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1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1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1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1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1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1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1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1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1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1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1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1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1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1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1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1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1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1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1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1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1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1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1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1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1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1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1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1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1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1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1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1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1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1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1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1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1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1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1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1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1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1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1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1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1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1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1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1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1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1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1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1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1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1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1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1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1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1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1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1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1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1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1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1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1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1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1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1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1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1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1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1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1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1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1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1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1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1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1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1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1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1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1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1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1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1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1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1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1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1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1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1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1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1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1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1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1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1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1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1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1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1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1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1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1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1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1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1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1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1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1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1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1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1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1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1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1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1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1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1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1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1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1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1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1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1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1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1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1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1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1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1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1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1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1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1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1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1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1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1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1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1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1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1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1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1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1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1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1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1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1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1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1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1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1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1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1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1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1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1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1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1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1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1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1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1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1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1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1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1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1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1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1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1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1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1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1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1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1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1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1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1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1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1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1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1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1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1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1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1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1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1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1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1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1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1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1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1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1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1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1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1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1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1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1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1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1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1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1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1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1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1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1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1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1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1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1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1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1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1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1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1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1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1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1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1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1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1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1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1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1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1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1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1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1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1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1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1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1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1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1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1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1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1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1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1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1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1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1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1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1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1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1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1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1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1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1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1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1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1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1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1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1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1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1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1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1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1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1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1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1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1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1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1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1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1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1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1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1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1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1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1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1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1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1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1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1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1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1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1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1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1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1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1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1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1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1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1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1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1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1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1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1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1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1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1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1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1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1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1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1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1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1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1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1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1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1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1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1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1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1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1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1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1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1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1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1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1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1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1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1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1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1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1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1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1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1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1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1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1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1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1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1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1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1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1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1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1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1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1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1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1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1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1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1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1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1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1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1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1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1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1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1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1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1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1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1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1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1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1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1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1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1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1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1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1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1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1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1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1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1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1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1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1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1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1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1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1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1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1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1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1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1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1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1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1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1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1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1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1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1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1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1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1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1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1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1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1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1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1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1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1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1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1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1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1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1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1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1"/>
    </row>
  </sheetData>
  <mergeCells count="3">
    <mergeCell ref="D3:H3"/>
    <mergeCell ref="C7:H7"/>
    <mergeCell ref="C16:J16"/>
  </mergeCells>
  <drawing r:id="rId1"/>
</worksheet>
</file>