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willmore/Desktop/Engineering Economics/ECON 180 Fall 2020/Lectures/Lecture 12/"/>
    </mc:Choice>
  </mc:AlternateContent>
  <xr:revisionPtr revIDLastSave="0" documentId="13_ncr:1_{720238C8-DADC-0444-AE03-1D4FA8DED8EB}" xr6:coauthVersionLast="45" xr6:coauthVersionMax="45" xr10:uidLastSave="{00000000-0000-0000-0000-000000000000}"/>
  <bookViews>
    <workbookView xWindow="16560" yWindow="2780" windowWidth="37460" windowHeight="20940" xr2:uid="{82B6573A-44DB-6047-A0A9-ACB810809B1F}"/>
  </bookViews>
  <sheets>
    <sheet name="Forklift" sheetId="1" r:id="rId1"/>
    <sheet name="2 year old lift" sheetId="3" r:id="rId2"/>
    <sheet name="20 year old lift" sheetId="4" r:id="rId3"/>
    <sheet name="Isuzu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" i="6" l="1"/>
  <c r="B18" i="6"/>
  <c r="B19" i="6"/>
  <c r="B20" i="6"/>
  <c r="B21" i="6"/>
  <c r="B22" i="6" s="1"/>
  <c r="B23" i="6" s="1"/>
  <c r="B24" i="6" s="1"/>
  <c r="B25" i="6" s="1"/>
  <c r="B17" i="6"/>
  <c r="J4" i="6"/>
  <c r="J5" i="6"/>
  <c r="J6" i="6"/>
  <c r="J7" i="6"/>
  <c r="J8" i="6"/>
  <c r="J9" i="6"/>
  <c r="J10" i="6"/>
  <c r="J11" i="6"/>
  <c r="J12" i="6"/>
  <c r="J3" i="6"/>
  <c r="K3" i="6" s="1"/>
  <c r="I4" i="6"/>
  <c r="I5" i="6"/>
  <c r="I6" i="6"/>
  <c r="I7" i="6"/>
  <c r="I8" i="6"/>
  <c r="I9" i="6"/>
  <c r="I10" i="6"/>
  <c r="I11" i="6"/>
  <c r="I12" i="6"/>
  <c r="I3" i="6"/>
  <c r="E4" i="6"/>
  <c r="E5" i="6"/>
  <c r="E6" i="6"/>
  <c r="E7" i="6"/>
  <c r="E8" i="6"/>
  <c r="E9" i="6"/>
  <c r="E10" i="6"/>
  <c r="E11" i="6"/>
  <c r="E12" i="6"/>
  <c r="E3" i="6"/>
  <c r="M4" i="6"/>
  <c r="D17" i="6" s="1"/>
  <c r="M5" i="6"/>
  <c r="D18" i="6" s="1"/>
  <c r="M6" i="6"/>
  <c r="D19" i="6" s="1"/>
  <c r="M7" i="6"/>
  <c r="D20" i="6" s="1"/>
  <c r="M8" i="6"/>
  <c r="D21" i="6" s="1"/>
  <c r="M9" i="6"/>
  <c r="D22" i="6" s="1"/>
  <c r="M10" i="6"/>
  <c r="D23" i="6" s="1"/>
  <c r="M11" i="6"/>
  <c r="D24" i="6" s="1"/>
  <c r="M12" i="6"/>
  <c r="D25" i="6" s="1"/>
  <c r="M3" i="6"/>
  <c r="D16" i="6" s="1"/>
  <c r="J5" i="4"/>
  <c r="J4" i="4"/>
  <c r="B3" i="4" s="1"/>
  <c r="D4" i="4"/>
  <c r="A4" i="4"/>
  <c r="D3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B3" i="3"/>
  <c r="C5" i="3"/>
  <c r="C6" i="3"/>
  <c r="C7" i="3"/>
  <c r="C8" i="3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4" i="3"/>
  <c r="C3" i="3"/>
  <c r="J5" i="3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4" i="1"/>
  <c r="C3" i="1"/>
  <c r="J4" i="3"/>
  <c r="A4" i="3"/>
  <c r="A5" i="3" s="1"/>
  <c r="E3" i="3"/>
  <c r="F3" i="3" s="1"/>
  <c r="D3" i="3"/>
  <c r="G3" i="3"/>
  <c r="E3" i="1"/>
  <c r="F3" i="1" s="1"/>
  <c r="A4" i="1"/>
  <c r="D3" i="1"/>
  <c r="B3" i="1"/>
  <c r="E16" i="6" l="1"/>
  <c r="N3" i="6"/>
  <c r="O3" i="6" s="1"/>
  <c r="K4" i="6"/>
  <c r="E17" i="6" s="1"/>
  <c r="C17" i="6" s="1"/>
  <c r="C16" i="6"/>
  <c r="E4" i="4"/>
  <c r="F4" i="4" s="1"/>
  <c r="A5" i="4"/>
  <c r="E3" i="4"/>
  <c r="F3" i="4" s="1"/>
  <c r="G3" i="4" s="1"/>
  <c r="B4" i="4"/>
  <c r="E5" i="3"/>
  <c r="F5" i="3" s="1"/>
  <c r="A6" i="3"/>
  <c r="D5" i="3"/>
  <c r="B5" i="3"/>
  <c r="E4" i="3"/>
  <c r="F4" i="3"/>
  <c r="B4" i="3"/>
  <c r="D4" i="3"/>
  <c r="E4" i="1"/>
  <c r="F4" i="1" s="1"/>
  <c r="G3" i="1"/>
  <c r="D4" i="1"/>
  <c r="B4" i="1"/>
  <c r="A5" i="1"/>
  <c r="K5" i="6" l="1"/>
  <c r="N4" i="6"/>
  <c r="O4" i="6" s="1"/>
  <c r="K6" i="6"/>
  <c r="E18" i="6"/>
  <c r="C18" i="6" s="1"/>
  <c r="D5" i="4"/>
  <c r="B5" i="4"/>
  <c r="E5" i="4"/>
  <c r="F5" i="4" s="1"/>
  <c r="A6" i="4"/>
  <c r="G4" i="4"/>
  <c r="G5" i="3"/>
  <c r="A7" i="3"/>
  <c r="D6" i="3"/>
  <c r="B6" i="3"/>
  <c r="E6" i="3"/>
  <c r="F6" i="3" s="1"/>
  <c r="G4" i="3"/>
  <c r="E5" i="1"/>
  <c r="F5" i="1"/>
  <c r="G4" i="1"/>
  <c r="D5" i="1"/>
  <c r="B5" i="1"/>
  <c r="A6" i="1"/>
  <c r="E19" i="6" l="1"/>
  <c r="C19" i="6" s="1"/>
  <c r="K7" i="6"/>
  <c r="N5" i="6"/>
  <c r="O5" i="6" s="1"/>
  <c r="G5" i="4"/>
  <c r="A7" i="4"/>
  <c r="D6" i="4"/>
  <c r="B6" i="4"/>
  <c r="E6" i="4"/>
  <c r="F6" i="4" s="1"/>
  <c r="G6" i="3"/>
  <c r="E7" i="3"/>
  <c r="F7" i="3" s="1"/>
  <c r="A8" i="3"/>
  <c r="D7" i="3"/>
  <c r="B7" i="3"/>
  <c r="E6" i="1"/>
  <c r="F6" i="1" s="1"/>
  <c r="G5" i="1"/>
  <c r="A7" i="1"/>
  <c r="B6" i="1"/>
  <c r="D6" i="1"/>
  <c r="E20" i="6" l="1"/>
  <c r="C20" i="6" s="1"/>
  <c r="K8" i="6"/>
  <c r="N6" i="6"/>
  <c r="O6" i="6" s="1"/>
  <c r="G6" i="4"/>
  <c r="E7" i="4"/>
  <c r="F7" i="4" s="1"/>
  <c r="A8" i="4"/>
  <c r="D7" i="4"/>
  <c r="B7" i="4"/>
  <c r="G7" i="3"/>
  <c r="A9" i="3"/>
  <c r="D8" i="3"/>
  <c r="B8" i="3"/>
  <c r="E8" i="3"/>
  <c r="F8" i="3" s="1"/>
  <c r="E7" i="1"/>
  <c r="F7" i="1"/>
  <c r="G6" i="1"/>
  <c r="D7" i="1"/>
  <c r="A8" i="1"/>
  <c r="B7" i="1"/>
  <c r="K9" i="6" l="1"/>
  <c r="E21" i="6"/>
  <c r="C21" i="6" s="1"/>
  <c r="N7" i="6"/>
  <c r="O7" i="6" s="1"/>
  <c r="B8" i="4"/>
  <c r="E8" i="4"/>
  <c r="F8" i="4" s="1"/>
  <c r="A9" i="4"/>
  <c r="D8" i="4"/>
  <c r="G7" i="4"/>
  <c r="E9" i="3"/>
  <c r="F9" i="3" s="1"/>
  <c r="A10" i="3"/>
  <c r="D9" i="3"/>
  <c r="B9" i="3"/>
  <c r="G8" i="3"/>
  <c r="G7" i="1"/>
  <c r="E8" i="1"/>
  <c r="F8" i="1" s="1"/>
  <c r="D8" i="1"/>
  <c r="A9" i="1"/>
  <c r="B8" i="1"/>
  <c r="K10" i="6" l="1"/>
  <c r="E22" i="6"/>
  <c r="C22" i="6" s="1"/>
  <c r="N8" i="6"/>
  <c r="O8" i="6" s="1"/>
  <c r="B9" i="4"/>
  <c r="E9" i="4"/>
  <c r="F9" i="4" s="1"/>
  <c r="A10" i="4"/>
  <c r="D9" i="4"/>
  <c r="G8" i="4"/>
  <c r="D10" i="3"/>
  <c r="B10" i="3"/>
  <c r="F10" i="3"/>
  <c r="A11" i="3"/>
  <c r="E10" i="3"/>
  <c r="G9" i="3"/>
  <c r="G8" i="1"/>
  <c r="E9" i="1"/>
  <c r="F9" i="1" s="1"/>
  <c r="D9" i="1"/>
  <c r="B9" i="1"/>
  <c r="A10" i="1"/>
  <c r="K11" i="6" l="1"/>
  <c r="E23" i="6"/>
  <c r="C23" i="6" s="1"/>
  <c r="N9" i="6"/>
  <c r="O9" i="6" s="1"/>
  <c r="D10" i="4"/>
  <c r="B10" i="4"/>
  <c r="E10" i="4"/>
  <c r="F10" i="4" s="1"/>
  <c r="A11" i="4"/>
  <c r="G9" i="4"/>
  <c r="E11" i="3"/>
  <c r="A12" i="3"/>
  <c r="D11" i="3"/>
  <c r="B11" i="3"/>
  <c r="G11" i="3" s="1"/>
  <c r="F11" i="3"/>
  <c r="G10" i="3"/>
  <c r="E10" i="1"/>
  <c r="F10" i="1" s="1"/>
  <c r="G9" i="1"/>
  <c r="B10" i="1"/>
  <c r="A11" i="1"/>
  <c r="D10" i="1"/>
  <c r="K12" i="6" l="1"/>
  <c r="E25" i="6" s="1"/>
  <c r="C25" i="6" s="1"/>
  <c r="E24" i="6"/>
  <c r="C24" i="6" s="1"/>
  <c r="N10" i="6"/>
  <c r="O10" i="6" s="1"/>
  <c r="G10" i="4"/>
  <c r="A12" i="4"/>
  <c r="D11" i="4"/>
  <c r="F11" i="4"/>
  <c r="B11" i="4"/>
  <c r="E11" i="4"/>
  <c r="B12" i="3"/>
  <c r="E12" i="3"/>
  <c r="F12" i="3" s="1"/>
  <c r="A13" i="3"/>
  <c r="D12" i="3"/>
  <c r="G10" i="1"/>
  <c r="E11" i="1"/>
  <c r="F11" i="1" s="1"/>
  <c r="D11" i="1"/>
  <c r="B11" i="1"/>
  <c r="A12" i="1"/>
  <c r="N12" i="6" l="1"/>
  <c r="O12" i="6" s="1"/>
  <c r="N11" i="6"/>
  <c r="O11" i="6" s="1"/>
  <c r="E12" i="4"/>
  <c r="F12" i="4" s="1"/>
  <c r="A13" i="4"/>
  <c r="D12" i="4"/>
  <c r="B12" i="4"/>
  <c r="G11" i="4"/>
  <c r="E13" i="3"/>
  <c r="A14" i="3"/>
  <c r="D13" i="3"/>
  <c r="B13" i="3"/>
  <c r="F13" i="3"/>
  <c r="G12" i="3"/>
  <c r="G11" i="1"/>
  <c r="E12" i="1"/>
  <c r="F12" i="1" s="1"/>
  <c r="B12" i="1"/>
  <c r="D12" i="1"/>
  <c r="A13" i="1"/>
  <c r="B13" i="4" l="1"/>
  <c r="E13" i="4"/>
  <c r="F13" i="4" s="1"/>
  <c r="A14" i="4"/>
  <c r="D13" i="4"/>
  <c r="G12" i="4"/>
  <c r="G13" i="3"/>
  <c r="B14" i="3"/>
  <c r="E14" i="3"/>
  <c r="F14" i="3" s="1"/>
  <c r="A15" i="3"/>
  <c r="D14" i="3"/>
  <c r="G12" i="1"/>
  <c r="E13" i="1"/>
  <c r="F13" i="1"/>
  <c r="B13" i="1"/>
  <c r="D13" i="1"/>
  <c r="A14" i="1"/>
  <c r="B14" i="4" l="1"/>
  <c r="E14" i="4"/>
  <c r="F14" i="4" s="1"/>
  <c r="A15" i="4"/>
  <c r="D14" i="4"/>
  <c r="G13" i="4"/>
  <c r="G14" i="3"/>
  <c r="E15" i="3"/>
  <c r="F15" i="3" s="1"/>
  <c r="A16" i="3"/>
  <c r="D15" i="3"/>
  <c r="B15" i="3"/>
  <c r="G13" i="1"/>
  <c r="E14" i="1"/>
  <c r="F14" i="1" s="1"/>
  <c r="B14" i="1"/>
  <c r="A15" i="1"/>
  <c r="D14" i="1"/>
  <c r="A16" i="4" l="1"/>
  <c r="D15" i="4"/>
  <c r="F15" i="4"/>
  <c r="B15" i="4"/>
  <c r="E15" i="4"/>
  <c r="G14" i="4"/>
  <c r="B16" i="3"/>
  <c r="E16" i="3"/>
  <c r="F16" i="3" s="1"/>
  <c r="A17" i="3"/>
  <c r="D16" i="3"/>
  <c r="G15" i="3"/>
  <c r="G14" i="1"/>
  <c r="E15" i="1"/>
  <c r="F15" i="1"/>
  <c r="A16" i="1"/>
  <c r="D15" i="1"/>
  <c r="B15" i="1"/>
  <c r="G15" i="4" l="1"/>
  <c r="E16" i="4"/>
  <c r="F16" i="4" s="1"/>
  <c r="A17" i="4"/>
  <c r="D16" i="4"/>
  <c r="B16" i="4"/>
  <c r="E17" i="3"/>
  <c r="A18" i="3"/>
  <c r="D17" i="3"/>
  <c r="B17" i="3"/>
  <c r="G17" i="3" s="1"/>
  <c r="F17" i="3"/>
  <c r="G16" i="3"/>
  <c r="E16" i="1"/>
  <c r="F16" i="1" s="1"/>
  <c r="G15" i="1"/>
  <c r="B16" i="1"/>
  <c r="D16" i="1"/>
  <c r="A17" i="1"/>
  <c r="B17" i="4" l="1"/>
  <c r="E17" i="4"/>
  <c r="F17" i="4" s="1"/>
  <c r="A18" i="4"/>
  <c r="D17" i="4"/>
  <c r="G16" i="4"/>
  <c r="B18" i="3"/>
  <c r="E18" i="3"/>
  <c r="F18" i="3" s="1"/>
  <c r="A19" i="3"/>
  <c r="D18" i="3"/>
  <c r="G16" i="1"/>
  <c r="E17" i="1"/>
  <c r="F17" i="1" s="1"/>
  <c r="B17" i="1"/>
  <c r="D17" i="1"/>
  <c r="A18" i="1"/>
  <c r="B18" i="4" l="1"/>
  <c r="E18" i="4"/>
  <c r="F18" i="4" s="1"/>
  <c r="D18" i="4"/>
  <c r="A19" i="4"/>
  <c r="G17" i="4"/>
  <c r="E19" i="3"/>
  <c r="A20" i="3"/>
  <c r="D19" i="3"/>
  <c r="B19" i="3"/>
  <c r="G19" i="3" s="1"/>
  <c r="F19" i="3"/>
  <c r="G18" i="3"/>
  <c r="G17" i="1"/>
  <c r="E18" i="1"/>
  <c r="F18" i="1" s="1"/>
  <c r="B18" i="1"/>
  <c r="D18" i="1"/>
  <c r="A19" i="1"/>
  <c r="G18" i="4" l="1"/>
  <c r="A20" i="4"/>
  <c r="D19" i="4"/>
  <c r="B19" i="4"/>
  <c r="E19" i="4"/>
  <c r="F19" i="4" s="1"/>
  <c r="B20" i="3"/>
  <c r="E20" i="3"/>
  <c r="F20" i="3" s="1"/>
  <c r="A21" i="3"/>
  <c r="D20" i="3"/>
  <c r="G18" i="1"/>
  <c r="E19" i="1"/>
  <c r="F19" i="1"/>
  <c r="A20" i="1"/>
  <c r="B19" i="1"/>
  <c r="D19" i="1"/>
  <c r="G19" i="4" l="1"/>
  <c r="E20" i="4"/>
  <c r="A21" i="4"/>
  <c r="D20" i="4"/>
  <c r="B20" i="4"/>
  <c r="F20" i="4"/>
  <c r="E21" i="3"/>
  <c r="F21" i="3" s="1"/>
  <c r="A22" i="3"/>
  <c r="D21" i="3"/>
  <c r="B21" i="3"/>
  <c r="G20" i="3"/>
  <c r="E20" i="1"/>
  <c r="F20" i="1" s="1"/>
  <c r="G19" i="1"/>
  <c r="A21" i="1"/>
  <c r="B20" i="1"/>
  <c r="D20" i="1"/>
  <c r="G20" i="4" l="1"/>
  <c r="B21" i="4"/>
  <c r="E21" i="4"/>
  <c r="F21" i="4" s="1"/>
  <c r="A22" i="4"/>
  <c r="D21" i="4"/>
  <c r="G21" i="3"/>
  <c r="B22" i="3"/>
  <c r="E22" i="3"/>
  <c r="F22" i="3" s="1"/>
  <c r="D22" i="3"/>
  <c r="E21" i="1"/>
  <c r="F21" i="1"/>
  <c r="G20" i="1"/>
  <c r="B21" i="1"/>
  <c r="D21" i="1"/>
  <c r="A22" i="1"/>
  <c r="B22" i="4" l="1"/>
  <c r="E22" i="4"/>
  <c r="F22" i="4" s="1"/>
  <c r="D22" i="4"/>
  <c r="G21" i="4"/>
  <c r="G22" i="3"/>
  <c r="J10" i="3" s="1"/>
  <c r="G21" i="1"/>
  <c r="E22" i="1"/>
  <c r="F22" i="1" s="1"/>
  <c r="B22" i="1"/>
  <c r="D22" i="1"/>
  <c r="G22" i="4" l="1"/>
  <c r="J10" i="4" s="1"/>
  <c r="G22" i="1"/>
  <c r="J10" i="1" s="1"/>
</calcChain>
</file>

<file path=xl/sharedStrings.xml><?xml version="1.0" encoding="utf-8"?>
<sst xmlns="http://schemas.openxmlformats.org/spreadsheetml/2006/main" count="105" uniqueCount="53">
  <si>
    <t>N</t>
  </si>
  <si>
    <t>Px(A/P,MARR,N)</t>
  </si>
  <si>
    <t>Gx(A/P,5%,N)</t>
  </si>
  <si>
    <t>Years we keep the forklift before selling &amp; replacing</t>
  </si>
  <si>
    <t>P</t>
  </si>
  <si>
    <t>Initial cost of forklift</t>
  </si>
  <si>
    <t>G</t>
  </si>
  <si>
    <t>MARR</t>
  </si>
  <si>
    <t>per year</t>
  </si>
  <si>
    <t>Step size of operating/maintenance costs</t>
  </si>
  <si>
    <t>d</t>
  </si>
  <si>
    <t>Rate at which the forklift loses resale value, per year</t>
  </si>
  <si>
    <t>EAC(N)</t>
  </si>
  <si>
    <t>AW of:</t>
  </si>
  <si>
    <t>Initial Cost</t>
  </si>
  <si>
    <t>Operating Costs</t>
  </si>
  <si>
    <t>Resale Value</t>
  </si>
  <si>
    <t>A</t>
  </si>
  <si>
    <t>S=(1-d)^N*P</t>
  </si>
  <si>
    <t>S*(A/F,MARR,N)</t>
  </si>
  <si>
    <t>MIN EAC</t>
  </si>
  <si>
    <t>Varies</t>
  </si>
  <si>
    <t>First year's operating/maintenance costs</t>
  </si>
  <si>
    <t>Initial cost of forklift: here, it's the resale value today (2 years in)</t>
  </si>
  <si>
    <t>Additional life in years for our 2-year-old forklift. So N = 1 means selling 3 years after initial purchase.</t>
  </si>
  <si>
    <t>Step size of operating/maintenance costs.</t>
  </si>
  <si>
    <t>First year's operating/maintenance costs, but this first additional year is 3 years after purchase.</t>
  </si>
  <si>
    <t>Additional life in years for our 20-year-old forklift. So N = 1 means selling 21 years after initial purchase.</t>
  </si>
  <si>
    <t>Initial cost of forklift: here, it's the resale value today (20 years in)</t>
  </si>
  <si>
    <t>First year's operating/maintenance costs, but this first additional year is 21 years after purchase.</t>
  </si>
  <si>
    <t>Miles</t>
  </si>
  <si>
    <t>Max</t>
  </si>
  <si>
    <t>Min</t>
  </si>
  <si>
    <t>Average</t>
  </si>
  <si>
    <t>PV</t>
  </si>
  <si>
    <t>Cumulative PV</t>
  </si>
  <si>
    <t>S</t>
  </si>
  <si>
    <t>PV of S</t>
  </si>
  <si>
    <t>Resale Value (S)</t>
  </si>
  <si>
    <t>Total PV</t>
  </si>
  <si>
    <t>EAC</t>
  </si>
  <si>
    <t>Total</t>
  </si>
  <si>
    <t>Maintenance</t>
  </si>
  <si>
    <t>Cost per mile</t>
  </si>
  <si>
    <t>Fuel</t>
  </si>
  <si>
    <t>CO2</t>
  </si>
  <si>
    <t>EAC (Total)</t>
  </si>
  <si>
    <t>EAC(P-S)</t>
  </si>
  <si>
    <t>EAC(O&amp;M)</t>
  </si>
  <si>
    <t>Source: S. Taghipour and N. Salari, "Optimal sustainable vehicle replacement model," 2015 Annual Reliability and Maintainability Symposium (RAMS), Palm Harbor, FL, 2015, pp. 1-6, https://ieeexplore-ieee-org.ezproxy.library.uvic.ca/document/7105110</t>
  </si>
  <si>
    <t>(The original paper had an implied MARR of 0%)</t>
  </si>
  <si>
    <t>Initial cost of truck.</t>
  </si>
  <si>
    <t>Operating &amp; Maintenance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</si>
</sst>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</numFmts>
  <fonts count="6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</cellStyleXfs>
  <cellXfs count="38">
    <xf numFmtId="0" fontId="0" fillId="0" borderId="0" xfId="0"/>
    <xf numFmtId="8" fontId="0" fillId="0" borderId="0" xfId="0" applyNumberFormat="1"/>
    <xf numFmtId="0" fontId="0" fillId="0" borderId="4" xfId="0" applyBorder="1"/>
    <xf numFmtId="0" fontId="0" fillId="0" borderId="4" xfId="0" applyBorder="1" applyAlignment="1">
      <alignment horizontal="center"/>
    </xf>
    <xf numFmtId="8" fontId="0" fillId="0" borderId="4" xfId="0" applyNumberFormat="1" applyBorder="1"/>
    <xf numFmtId="0" fontId="0" fillId="0" borderId="4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0" fontId="0" fillId="4" borderId="4" xfId="0" applyFill="1" applyBorder="1" applyAlignment="1">
      <alignment horizontal="center"/>
    </xf>
    <xf numFmtId="8" fontId="0" fillId="4" borderId="4" xfId="0" applyNumberFormat="1" applyFill="1" applyBorder="1" applyAlignment="1">
      <alignment horizontal="center"/>
    </xf>
    <xf numFmtId="9" fontId="0" fillId="0" borderId="4" xfId="0" applyNumberFormat="1" applyBorder="1"/>
    <xf numFmtId="6" fontId="0" fillId="0" borderId="4" xfId="0" applyNumberFormat="1" applyBorder="1"/>
    <xf numFmtId="6" fontId="3" fillId="0" borderId="2" xfId="3" applyNumberFormat="1"/>
    <xf numFmtId="6" fontId="2" fillId="3" borderId="1" xfId="2" applyNumberFormat="1"/>
    <xf numFmtId="0" fontId="0" fillId="0" borderId="4" xfId="0" applyFill="1" applyBorder="1" applyAlignment="1">
      <alignment horizontal="center"/>
    </xf>
    <xf numFmtId="8" fontId="0" fillId="0" borderId="4" xfId="0" applyNumberFormat="1" applyFill="1" applyBorder="1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1" fillId="2" borderId="1" xfId="1" applyNumberFormat="1" applyAlignment="1">
      <alignment horizontal="center"/>
    </xf>
    <xf numFmtId="3" fontId="2" fillId="3" borderId="1" xfId="2" applyNumberFormat="1" applyAlignment="1">
      <alignment horizontal="center"/>
    </xf>
    <xf numFmtId="165" fontId="1" fillId="2" borderId="1" xfId="1" applyNumberFormat="1" applyAlignment="1">
      <alignment horizontal="center"/>
    </xf>
    <xf numFmtId="165" fontId="5" fillId="0" borderId="3" xfId="5" applyNumberFormat="1" applyAlignment="1">
      <alignment horizontal="center"/>
    </xf>
    <xf numFmtId="165" fontId="5" fillId="4" borderId="3" xfId="5" applyNumberFormat="1" applyFill="1" applyAlignment="1">
      <alignment horizontal="center"/>
    </xf>
    <xf numFmtId="8" fontId="2" fillId="3" borderId="1" xfId="2" applyNumberFormat="1" applyAlignment="1">
      <alignment horizontal="center"/>
    </xf>
    <xf numFmtId="164" fontId="1" fillId="2" borderId="1" xfId="1" applyNumberFormat="1" applyAlignment="1">
      <alignment horizontal="center"/>
    </xf>
    <xf numFmtId="8" fontId="5" fillId="0" borderId="3" xfId="5" applyNumberFormat="1" applyAlignment="1">
      <alignment horizontal="center"/>
    </xf>
    <xf numFmtId="8" fontId="5" fillId="4" borderId="3" xfId="5" applyNumberFormat="1" applyFill="1" applyAlignment="1">
      <alignment horizontal="center"/>
    </xf>
    <xf numFmtId="3" fontId="1" fillId="4" borderId="1" xfId="1" applyNumberFormat="1" applyFill="1" applyAlignment="1">
      <alignment horizontal="center"/>
    </xf>
    <xf numFmtId="3" fontId="2" fillId="4" borderId="1" xfId="2" applyNumberFormat="1" applyFill="1" applyAlignment="1">
      <alignment horizontal="center"/>
    </xf>
    <xf numFmtId="165" fontId="1" fillId="4" borderId="1" xfId="1" applyNumberFormat="1" applyFill="1" applyAlignment="1">
      <alignment horizontal="center"/>
    </xf>
    <xf numFmtId="8" fontId="2" fillId="4" borderId="1" xfId="2" applyNumberFormat="1" applyFill="1" applyAlignment="1">
      <alignment horizontal="center"/>
    </xf>
    <xf numFmtId="164" fontId="1" fillId="4" borderId="1" xfId="1" applyNumberFormat="1" applyFill="1" applyAlignment="1">
      <alignment horizontal="center"/>
    </xf>
    <xf numFmtId="0" fontId="4" fillId="0" borderId="0" xfId="4"/>
    <xf numFmtId="8" fontId="2" fillId="3" borderId="1" xfId="2" applyNumberFormat="1"/>
    <xf numFmtId="6" fontId="1" fillId="2" borderId="1" xfId="1" applyNumberFormat="1"/>
    <xf numFmtId="10" fontId="1" fillId="2" borderId="1" xfId="1" applyNumberFormat="1"/>
  </cellXfs>
  <cellStyles count="6">
    <cellStyle name="Calculation" xfId="2" builtinId="22"/>
    <cellStyle name="Input" xfId="1" builtinId="20"/>
    <cellStyle name="Linked Cell" xfId="3" builtinId="24"/>
    <cellStyle name="Normal" xfId="0" builtinId="0"/>
    <cellStyle name="Total" xfId="5" builtinId="25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EAC(N): What's the cost</a:t>
            </a:r>
            <a:r>
              <a:rPr lang="en-US" sz="2000" baseline="0"/>
              <a:t> per year if we replace them every N years?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Forklift!$G$2</c:f>
              <c:strCache>
                <c:ptCount val="1"/>
                <c:pt idx="0">
                  <c:v>EAC(N)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34925">
                <a:solidFill>
                  <a:schemeClr val="accent1"/>
                </a:solidFill>
              </a:ln>
              <a:effectLst/>
            </c:spPr>
          </c:marker>
          <c:xVal>
            <c:numRef>
              <c:f>Forklift!$A$3:$A$22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Forklift!$G$3:$G$22</c:f>
              <c:numCache>
                <c:formatCode>"$"#,##0.00_);[Red]\("$"#,##0.00\)</c:formatCode>
                <c:ptCount val="20"/>
                <c:pt idx="0">
                  <c:v>2500.0000000000018</c:v>
                </c:pt>
                <c:pt idx="1">
                  <c:v>2475.6097560975618</c:v>
                </c:pt>
                <c:pt idx="2">
                  <c:v>2456.3838223632056</c:v>
                </c:pt>
                <c:pt idx="3">
                  <c:v>2441.7940314956063</c:v>
                </c:pt>
                <c:pt idx="4">
                  <c:v>2431.3619145323901</c:v>
                </c:pt>
                <c:pt idx="5">
                  <c:v>2424.6539610801569</c:v>
                </c:pt>
                <c:pt idx="6">
                  <c:v>2421.2773420016556</c:v>
                </c:pt>
                <c:pt idx="7">
                  <c:v>2420.8760488494345</c:v>
                </c:pt>
                <c:pt idx="8">
                  <c:v>2423.1274088770097</c:v>
                </c:pt>
                <c:pt idx="9">
                  <c:v>2427.7389385477436</c:v>
                </c:pt>
                <c:pt idx="10">
                  <c:v>2434.4455021439749</c:v>
                </c:pt>
                <c:pt idx="11">
                  <c:v>2443.006745394508</c:v>
                </c:pt>
                <c:pt idx="12">
                  <c:v>2453.2047770243444</c:v>
                </c:pt>
                <c:pt idx="13">
                  <c:v>2464.8420738191139</c:v>
                </c:pt>
                <c:pt idx="14">
                  <c:v>2477.7395872178818</c:v>
                </c:pt>
                <c:pt idx="15">
                  <c:v>2491.7350316283073</c:v>
                </c:pt>
                <c:pt idx="16">
                  <c:v>2506.6813366217534</c:v>
                </c:pt>
                <c:pt idx="17">
                  <c:v>2522.4452469341954</c:v>
                </c:pt>
                <c:pt idx="18">
                  <c:v>2538.9060557914104</c:v>
                </c:pt>
                <c:pt idx="19">
                  <c:v>2555.9544585111821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F-704D-96EA-0E8872FE8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30768"/>
        <c:axId val="633885568"/>
      </c:scatterChart>
      <c:valAx>
        <c:axId val="63563076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Years we keep the forklift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85568"/>
        <c:crosses val="autoZero"/>
        <c:crossBetween val="midCat"/>
      </c:valAx>
      <c:valAx>
        <c:axId val="6338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Cost per year that works out to (EAC)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3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Defender EAC(N): What's the cost</a:t>
            </a:r>
            <a:r>
              <a:rPr lang="en-US" sz="2000" baseline="0"/>
              <a:t> per year if we keep it an </a:t>
            </a:r>
            <a:r>
              <a:rPr lang="en-US" sz="2000" i="1" baseline="0"/>
              <a:t>additional</a:t>
            </a:r>
            <a:r>
              <a:rPr lang="en-US" sz="2000" i="0" baseline="0"/>
              <a:t> N years?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year old lift'!$G$2</c:f>
              <c:strCache>
                <c:ptCount val="1"/>
                <c:pt idx="0">
                  <c:v>EAC(N)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34925">
                <a:solidFill>
                  <a:schemeClr val="accent1"/>
                </a:solidFill>
              </a:ln>
              <a:effectLst/>
            </c:spPr>
          </c:marker>
          <c:xVal>
            <c:numRef>
              <c:f>'2 year old lift'!$A$3:$A$22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'2 year old lift'!$G$3:$G$22</c:f>
              <c:numCache>
                <c:formatCode>"$"#,##0.00_);[Red]\("$"#,##0.00\)</c:formatCode>
                <c:ptCount val="20"/>
                <c:pt idx="0">
                  <c:v>2415.0000000000009</c:v>
                </c:pt>
                <c:pt idx="1">
                  <c:v>2404.5121951219517</c:v>
                </c:pt>
                <c:pt idx="2">
                  <c:v>2398.053132434577</c:v>
                </c:pt>
                <c:pt idx="3">
                  <c:v>2395.1951799541775</c:v>
                </c:pt>
                <c:pt idx="4">
                  <c:v>2395.5510343275264</c:v>
                </c:pt>
                <c:pt idx="5">
                  <c:v>2398.7698811836981</c:v>
                </c:pt>
                <c:pt idx="6">
                  <c:v>2404.5339299545267</c:v>
                </c:pt>
                <c:pt idx="7">
                  <c:v>2412.555286139891</c:v>
                </c:pt>
                <c:pt idx="8">
                  <c:v>2422.5731276731835</c:v>
                </c:pt>
                <c:pt idx="9">
                  <c:v>2434.3511553549365</c:v>
                </c:pt>
                <c:pt idx="10">
                  <c:v>2447.6752903056267</c:v>
                </c:pt>
                <c:pt idx="11">
                  <c:v>2462.3515940746329</c:v>
                </c:pt>
                <c:pt idx="12">
                  <c:v>2478.2043894611447</c:v>
                </c:pt>
                <c:pt idx="13">
                  <c:v>2495.0745622808581</c:v>
                </c:pt>
                <c:pt idx="14">
                  <c:v>2512.818026273791</c:v>
                </c:pt>
                <c:pt idx="15">
                  <c:v>2531.3043351148426</c:v>
                </c:pt>
                <c:pt idx="16">
                  <c:v>2550.415427079512</c:v>
                </c:pt>
                <c:pt idx="17">
                  <c:v>2570.0444893497042</c:v>
                </c:pt>
                <c:pt idx="18">
                  <c:v>2590.0949302347626</c:v>
                </c:pt>
                <c:pt idx="19">
                  <c:v>2610.4794487448034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0-824A-8D57-B6CA4613B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30768"/>
        <c:axId val="633885568"/>
      </c:scatterChart>
      <c:valAx>
        <c:axId val="63563076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Additional years we keep the forklift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85568"/>
        <c:crosses val="autoZero"/>
        <c:crossBetween val="midCat"/>
      </c:valAx>
      <c:valAx>
        <c:axId val="633885568"/>
        <c:scaling>
          <c:orientation val="minMax"/>
          <c:max val="24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Cost per year that works out to (EAC)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3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Defender EAC(N) for a 20-year-old forklift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 year old lift'!$G$2</c:f>
              <c:strCache>
                <c:ptCount val="1"/>
                <c:pt idx="0">
                  <c:v>EAC(N)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34925">
                <a:solidFill>
                  <a:schemeClr val="accent1"/>
                </a:solidFill>
              </a:ln>
              <a:effectLst/>
            </c:spPr>
          </c:marker>
          <c:xVal>
            <c:numRef>
              <c:f>'20 year old lift'!$A$3:$A$22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'20 year old lift'!$G$3:$G$22</c:f>
              <c:numCache>
                <c:formatCode>"$"#,##0.00_);[Red]\("$"#,##0.00\)</c:formatCode>
                <c:ptCount val="20"/>
                <c:pt idx="0">
                  <c:v>3182.3649818858557</c:v>
                </c:pt>
                <c:pt idx="1">
                  <c:v>3222.249616915813</c:v>
                </c:pt>
                <c:pt idx="2">
                  <c:v>3262.0485125261957</c:v>
                </c:pt>
                <c:pt idx="3">
                  <c:v>3301.6983044158942</c:v>
                </c:pt>
                <c:pt idx="4">
                  <c:v>3341.142007829766</c:v>
                </c:pt>
                <c:pt idx="5">
                  <c:v>3380.3284393044792</c:v>
                </c:pt>
                <c:pt idx="6">
                  <c:v>3419.2116940759011</c:v>
                </c:pt>
                <c:pt idx="7">
                  <c:v>3457.7506735991128</c:v>
                </c:pt>
                <c:pt idx="8">
                  <c:v>3495.9086581862275</c:v>
                </c:pt>
                <c:pt idx="9">
                  <c:v>3533.6529202659594</c:v>
                </c:pt>
                <c:pt idx="10">
                  <c:v>3570.9543742183469</c:v>
                </c:pt>
                <c:pt idx="11">
                  <c:v>3607.787259142659</c:v>
                </c:pt>
                <c:pt idx="12">
                  <c:v>3644.1288512811179</c:v>
                </c:pt>
                <c:pt idx="13">
                  <c:v>3679.9592031492766</c:v>
                </c:pt>
                <c:pt idx="14">
                  <c:v>3715.2609067197077</c:v>
                </c:pt>
                <c:pt idx="15">
                  <c:v>3750.0188782718733</c:v>
                </c:pt>
                <c:pt idx="16">
                  <c:v>3784.2201627610011</c:v>
                </c:pt>
                <c:pt idx="17">
                  <c:v>3817.8537557747186</c:v>
                </c:pt>
                <c:pt idx="18">
                  <c:v>3850.9104413408127</c:v>
                </c:pt>
                <c:pt idx="19">
                  <c:v>3883.3826440245934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4-3948-B510-B86F696B3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30768"/>
        <c:axId val="633885568"/>
      </c:scatterChart>
      <c:valAx>
        <c:axId val="63563076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Additional years we keep the forklift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85568"/>
        <c:crosses val="autoZero"/>
        <c:crossBetween val="midCat"/>
      </c:valAx>
      <c:valAx>
        <c:axId val="633885568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Cost per year that works out to (EAC)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3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EAC for an Isuzu N-Series diesel</a:t>
            </a:r>
            <a:r>
              <a:rPr lang="en-US" sz="2000" baseline="0"/>
              <a:t> truck (Taghipur &amp; Salari, 2015)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Isuzu!$C$15</c:f>
              <c:strCache>
                <c:ptCount val="1"/>
                <c:pt idx="0">
                  <c:v>EAC (Total)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53975">
                <a:solidFill>
                  <a:schemeClr val="accent1"/>
                </a:solidFill>
              </a:ln>
              <a:effectLst/>
            </c:spPr>
          </c:marker>
          <c:xVal>
            <c:numRef>
              <c:f>Isuzu!$B$16:$B$25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Isuzu!$C$16:$C$25</c:f>
              <c:numCache>
                <c:formatCode>"$"#,##0.00_);[Red]\("$"#,##0.00\)</c:formatCode>
                <c:ptCount val="10"/>
                <c:pt idx="0">
                  <c:v>28940.000000000007</c:v>
                </c:pt>
                <c:pt idx="1">
                  <c:v>23811.820202519139</c:v>
                </c:pt>
                <c:pt idx="2">
                  <c:v>22725.219268629899</c:v>
                </c:pt>
                <c:pt idx="3">
                  <c:v>22353.065843184864</c:v>
                </c:pt>
                <c:pt idx="4">
                  <c:v>22593.194544986702</c:v>
                </c:pt>
                <c:pt idx="5">
                  <c:v>23109.878889166332</c:v>
                </c:pt>
                <c:pt idx="6">
                  <c:v>22819.490107292702</c:v>
                </c:pt>
                <c:pt idx="7">
                  <c:v>23268.826299824144</c:v>
                </c:pt>
                <c:pt idx="8">
                  <c:v>23625.838521871661</c:v>
                </c:pt>
                <c:pt idx="9">
                  <c:v>24009.786674833787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95-D54F-86D4-BF5187BD992E}"/>
            </c:ext>
          </c:extLst>
        </c:ser>
        <c:ser>
          <c:idx val="1"/>
          <c:order val="1"/>
          <c:tx>
            <c:strRef>
              <c:f>Isuzu!$D$15</c:f>
              <c:strCache>
                <c:ptCount val="1"/>
                <c:pt idx="0">
                  <c:v>EAC(P-S)</c:v>
                </c:pt>
              </c:strCache>
            </c:strRef>
          </c:tx>
          <c:spPr>
            <a:ln w="539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Isuzu!$B$16:$B$25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Isuzu!$D$16:$D$25</c:f>
              <c:numCache>
                <c:formatCode>"$"#,##0.00_);[Red]\("$"#,##0.00\)</c:formatCode>
                <c:ptCount val="10"/>
                <c:pt idx="0">
                  <c:v>12980.000000000002</c:v>
                </c:pt>
                <c:pt idx="1">
                  <c:v>7401.3386021239794</c:v>
                </c:pt>
                <c:pt idx="2">
                  <c:v>5534.1780883691072</c:v>
                </c:pt>
                <c:pt idx="3">
                  <c:v>4835.9645822861803</c:v>
                </c:pt>
                <c:pt idx="4">
                  <c:v>4598.3057692392167</c:v>
                </c:pt>
                <c:pt idx="5">
                  <c:v>4585.1695082012784</c:v>
                </c:pt>
                <c:pt idx="6">
                  <c:v>4164.7002360830393</c:v>
                </c:pt>
                <c:pt idx="7">
                  <c:v>3846.7542307836093</c:v>
                </c:pt>
                <c:pt idx="8">
                  <c:v>3496.5285294627693</c:v>
                </c:pt>
                <c:pt idx="9">
                  <c:v>3216.5938863005154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95-D54F-86D4-BF5187BD992E}"/>
            </c:ext>
          </c:extLst>
        </c:ser>
        <c:ser>
          <c:idx val="2"/>
          <c:order val="2"/>
          <c:tx>
            <c:strRef>
              <c:f>Isuzu!$E$15</c:f>
              <c:strCache>
                <c:ptCount val="1"/>
                <c:pt idx="0">
                  <c:v>EAC(O&amp;M)</c:v>
                </c:pt>
              </c:strCache>
            </c:strRef>
          </c:tx>
          <c:spPr>
            <a:ln w="412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Isuzu!$B$16:$B$25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Isuzu!$E$16:$E$25</c:f>
              <c:numCache>
                <c:formatCode>"$"#,##0.00_);[Red]\("$"#,##0.00\)</c:formatCode>
                <c:ptCount val="10"/>
                <c:pt idx="0">
                  <c:v>15960.000000000005</c:v>
                </c:pt>
                <c:pt idx="1">
                  <c:v>16410.48160039516</c:v>
                </c:pt>
                <c:pt idx="2">
                  <c:v>17191.041180260792</c:v>
                </c:pt>
                <c:pt idx="3">
                  <c:v>17517.101260898682</c:v>
                </c:pt>
                <c:pt idx="4">
                  <c:v>17994.888775747484</c:v>
                </c:pt>
                <c:pt idx="5">
                  <c:v>18524.709380965054</c:v>
                </c:pt>
                <c:pt idx="6">
                  <c:v>18654.789871209661</c:v>
                </c:pt>
                <c:pt idx="7">
                  <c:v>19422.072069040536</c:v>
                </c:pt>
                <c:pt idx="8">
                  <c:v>20129.309992408893</c:v>
                </c:pt>
                <c:pt idx="9">
                  <c:v>20793.192788533273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95-D54F-86D4-BF5187BD9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926592"/>
        <c:axId val="176831776"/>
      </c:scatterChart>
      <c:valAx>
        <c:axId val="63692659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Years Since Purchase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1776"/>
        <c:crosses val="autoZero"/>
        <c:crossBetween val="midCat"/>
      </c:valAx>
      <c:valAx>
        <c:axId val="17683177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EAC ($)  for MARR=2.45%/year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2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421217</xdr:colOff>
      <xdr:row>11</xdr:row>
      <xdr:rowOff>63500</xdr:rowOff>
    </xdr:from>
    <xdr:to>
      <xdr:col>20</xdr:col>
      <xdr:colOff>124883</xdr:colOff>
      <xdr:row>42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03A1F-D746-B843-9D2F-42FBC1919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510117</xdr:colOff>
      <xdr:row>12</xdr:row>
      <xdr:rowOff>38100</xdr:rowOff>
    </xdr:from>
    <xdr:to>
      <xdr:col>20</xdr:col>
      <xdr:colOff>213783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AA55F-CB1F-004B-94B8-3ACEA3EA6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497417</xdr:colOff>
      <xdr:row>12</xdr:row>
      <xdr:rowOff>88900</xdr:rowOff>
    </xdr:from>
    <xdr:to>
      <xdr:col>20</xdr:col>
      <xdr:colOff>201083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0144A-B623-7B4F-834E-FD95D8685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901699</xdr:colOff>
      <xdr:row>15</xdr:row>
      <xdr:rowOff>139700</xdr:rowOff>
    </xdr:from>
    <xdr:to>
      <xdr:col>19</xdr:col>
      <xdr:colOff>197102</xdr:colOff>
      <xdr:row>43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7686C-5509-4347-8274-8211C1C3B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2E73-A4A2-3D47-8DAF-BFD42B9EE21B}">
  <dimension ref="A1:K22"/>
  <sheetViews>
    <sheetView tabSelected="1" workbookViewId="0">
      <selection activeCell="C33" sqref="C33"/>
    </sheetView>
  </sheetViews>
  <sheetFormatPr baseColWidth="10" defaultRowHeight="16" x14ac:dyDescent="0.2"/>
  <cols>
    <col min="2" max="2" width="14.83203125" bestFit="1" customWidth="1"/>
    <col min="3" max="3" width="14.83203125" customWidth="1"/>
    <col min="4" max="4" width="14.1640625" bestFit="1" customWidth="1"/>
    <col min="5" max="5" width="14.1640625" customWidth="1"/>
    <col min="6" max="6" width="22.6640625" bestFit="1" customWidth="1"/>
    <col min="7" max="7" width="22.6640625" customWidth="1"/>
  </cols>
  <sheetData>
    <row r="1" spans="1:11" x14ac:dyDescent="0.2">
      <c r="A1" s="5" t="s">
        <v>13</v>
      </c>
      <c r="B1" s="5" t="s">
        <v>14</v>
      </c>
      <c r="C1" s="3" t="s">
        <v>15</v>
      </c>
      <c r="D1" s="3"/>
      <c r="E1" s="3" t="s">
        <v>16</v>
      </c>
      <c r="F1" s="3"/>
    </row>
    <row r="2" spans="1:11" x14ac:dyDescent="0.2">
      <c r="A2" s="5" t="s">
        <v>0</v>
      </c>
      <c r="B2" s="6" t="s">
        <v>1</v>
      </c>
      <c r="C2" s="6" t="s">
        <v>17</v>
      </c>
      <c r="D2" s="6" t="s">
        <v>2</v>
      </c>
      <c r="E2" s="6" t="s">
        <v>18</v>
      </c>
      <c r="F2" s="6" t="s">
        <v>19</v>
      </c>
      <c r="G2" s="6" t="s">
        <v>12</v>
      </c>
      <c r="I2" s="2" t="s">
        <v>0</v>
      </c>
      <c r="J2" s="2" t="s">
        <v>21</v>
      </c>
      <c r="K2" t="s">
        <v>3</v>
      </c>
    </row>
    <row r="3" spans="1:11" x14ac:dyDescent="0.2">
      <c r="A3" s="5">
        <v>1</v>
      </c>
      <c r="B3" s="7">
        <f>PMT($J$3,A3,-$J$4)</f>
        <v>10499.999999999998</v>
      </c>
      <c r="C3" s="7">
        <f>J5</f>
        <v>1000</v>
      </c>
      <c r="D3" s="7">
        <f>$J$6*((1/$J$3)-(A3/((1+$J$3)^A3-1)))</f>
        <v>1.7763568394002505E-12</v>
      </c>
      <c r="E3" s="7">
        <f>(1-$J$7)^A3*$J$4</f>
        <v>9000</v>
      </c>
      <c r="F3" s="7">
        <f>PMT($J$3,A3,,-E3)</f>
        <v>8999.9999999999982</v>
      </c>
      <c r="G3" s="7">
        <f>B3+C3+D3-F3</f>
        <v>2500.0000000000018</v>
      </c>
      <c r="I3" s="2" t="s">
        <v>7</v>
      </c>
      <c r="J3" s="10">
        <v>0.05</v>
      </c>
      <c r="K3" t="s">
        <v>8</v>
      </c>
    </row>
    <row r="4" spans="1:11" x14ac:dyDescent="0.2">
      <c r="A4" s="5">
        <f>A3+1</f>
        <v>2</v>
      </c>
      <c r="B4" s="7">
        <f t="shared" ref="B4:B22" si="0">PMT($J$3,A4,-$J$4)</f>
        <v>5378.0487804878048</v>
      </c>
      <c r="C4" s="7">
        <f>C3</f>
        <v>1000</v>
      </c>
      <c r="D4" s="7">
        <f>$J$6*((1/$J$3)-(A4/((1+$J$3)^A4-1)))</f>
        <v>48.780487804878803</v>
      </c>
      <c r="E4" s="7">
        <f t="shared" ref="E4:E22" si="1">(1-$J$7)^A4*$J$4</f>
        <v>8100.0000000000009</v>
      </c>
      <c r="F4" s="7">
        <f t="shared" ref="F4:F22" si="2">PMT($J$3,A4,,-E4)</f>
        <v>3951.2195121951222</v>
      </c>
      <c r="G4" s="7">
        <f t="shared" ref="G4:G22" si="3">B4+C4+D4-F4</f>
        <v>2475.6097560975618</v>
      </c>
      <c r="I4" s="2" t="s">
        <v>4</v>
      </c>
      <c r="J4" s="11">
        <v>10000</v>
      </c>
      <c r="K4" t="s">
        <v>5</v>
      </c>
    </row>
    <row r="5" spans="1:11" x14ac:dyDescent="0.2">
      <c r="A5" s="5">
        <f t="shared" ref="A5:A22" si="4">A4+1</f>
        <v>3</v>
      </c>
      <c r="B5" s="7">
        <f t="shared" si="0"/>
        <v>3672.0856463124505</v>
      </c>
      <c r="C5" s="7">
        <f t="shared" ref="C5:C22" si="5">C4</f>
        <v>1000</v>
      </c>
      <c r="D5" s="7">
        <f>$J$6*((1/$J$3)-(A5/((1+$J$3)^A5-1)))</f>
        <v>96.748612212531171</v>
      </c>
      <c r="E5" s="7">
        <f t="shared" si="1"/>
        <v>7290.0000000000009</v>
      </c>
      <c r="F5" s="7">
        <f t="shared" si="2"/>
        <v>2312.4504361617765</v>
      </c>
      <c r="G5" s="7">
        <f t="shared" si="3"/>
        <v>2456.3838223632056</v>
      </c>
      <c r="I5" s="2" t="s">
        <v>17</v>
      </c>
      <c r="J5" s="11">
        <v>1000</v>
      </c>
      <c r="K5" t="s">
        <v>22</v>
      </c>
    </row>
    <row r="6" spans="1:11" x14ac:dyDescent="0.2">
      <c r="A6" s="5">
        <f t="shared" si="4"/>
        <v>4</v>
      </c>
      <c r="B6" s="7">
        <f t="shared" si="0"/>
        <v>2820.1183260346279</v>
      </c>
      <c r="C6" s="7">
        <f t="shared" si="5"/>
        <v>1000</v>
      </c>
      <c r="D6" s="7">
        <f>$J$6*((1/$J$3)-(A6/((1+$J$3)^A6-1)))</f>
        <v>143.90533917229789</v>
      </c>
      <c r="E6" s="7">
        <f t="shared" si="1"/>
        <v>6561.0000000000009</v>
      </c>
      <c r="F6" s="7">
        <f t="shared" si="2"/>
        <v>1522.2296337113194</v>
      </c>
      <c r="G6" s="7">
        <f t="shared" si="3"/>
        <v>2441.7940314956063</v>
      </c>
      <c r="I6" s="2" t="s">
        <v>6</v>
      </c>
      <c r="J6" s="11">
        <v>100</v>
      </c>
      <c r="K6" t="s">
        <v>9</v>
      </c>
    </row>
    <row r="7" spans="1:11" x14ac:dyDescent="0.2">
      <c r="A7" s="5">
        <f t="shared" si="4"/>
        <v>5</v>
      </c>
      <c r="B7" s="7">
        <f t="shared" si="0"/>
        <v>2309.7479812826814</v>
      </c>
      <c r="C7" s="7">
        <f t="shared" si="5"/>
        <v>1000</v>
      </c>
      <c r="D7" s="7">
        <f>$J$6*((1/$J$3)-(A7/((1+$J$3)^A7-1)))</f>
        <v>190.25201871731952</v>
      </c>
      <c r="E7" s="7">
        <f t="shared" si="1"/>
        <v>5904.9000000000015</v>
      </c>
      <c r="F7" s="7">
        <f t="shared" si="2"/>
        <v>1068.6380854676106</v>
      </c>
      <c r="G7" s="7">
        <f t="shared" si="3"/>
        <v>2431.3619145323901</v>
      </c>
      <c r="I7" s="2" t="s">
        <v>10</v>
      </c>
      <c r="J7" s="10">
        <v>0.1</v>
      </c>
      <c r="K7" t="s">
        <v>11</v>
      </c>
    </row>
    <row r="8" spans="1:11" x14ac:dyDescent="0.2">
      <c r="A8" s="5">
        <f t="shared" si="4"/>
        <v>6</v>
      </c>
      <c r="B8" s="7">
        <f t="shared" si="0"/>
        <v>1970.1746811018829</v>
      </c>
      <c r="C8" s="7">
        <f t="shared" si="5"/>
        <v>1000</v>
      </c>
      <c r="D8" s="7">
        <f>$J$6*((1/$J$3)-(A8/((1+$J$3)^A8-1)))</f>
        <v>235.79038267774024</v>
      </c>
      <c r="E8" s="7">
        <f t="shared" si="1"/>
        <v>5314.4100000000017</v>
      </c>
      <c r="F8" s="7">
        <f t="shared" si="2"/>
        <v>781.31110269946601</v>
      </c>
      <c r="G8" s="7">
        <f t="shared" si="3"/>
        <v>2424.6539610801569</v>
      </c>
    </row>
    <row r="9" spans="1:11" x14ac:dyDescent="0.2">
      <c r="A9" s="5">
        <f t="shared" si="4"/>
        <v>7</v>
      </c>
      <c r="B9" s="7">
        <f t="shared" si="0"/>
        <v>1728.1981844617073</v>
      </c>
      <c r="C9" s="7">
        <f t="shared" si="5"/>
        <v>1000</v>
      </c>
      <c r="D9" s="7">
        <f>$J$6*((1/$J$3)-(A9/((1+$J$3)^A9-1)))</f>
        <v>280.52254175361071</v>
      </c>
      <c r="E9" s="7">
        <f t="shared" si="1"/>
        <v>4782.969000000001</v>
      </c>
      <c r="F9" s="7">
        <f t="shared" si="2"/>
        <v>587.44338421366285</v>
      </c>
      <c r="G9" s="7">
        <f t="shared" si="3"/>
        <v>2421.2773420016556</v>
      </c>
    </row>
    <row r="10" spans="1:11" x14ac:dyDescent="0.2">
      <c r="A10" s="8">
        <f t="shared" si="4"/>
        <v>8</v>
      </c>
      <c r="B10" s="9">
        <f t="shared" si="0"/>
        <v>1547.2181362768115</v>
      </c>
      <c r="C10" s="9">
        <f t="shared" si="5"/>
        <v>1000</v>
      </c>
      <c r="D10" s="9">
        <f>$J$6*((1/$J$3)-(A10/((1+$J$3)^A10-1)))</f>
        <v>324.45098195710182</v>
      </c>
      <c r="E10" s="9">
        <f t="shared" si="1"/>
        <v>4304.6721000000016</v>
      </c>
      <c r="F10" s="9">
        <f t="shared" si="2"/>
        <v>450.79306938447894</v>
      </c>
      <c r="G10" s="9">
        <f t="shared" si="3"/>
        <v>2420.8760488494345</v>
      </c>
      <c r="I10" s="2" t="s">
        <v>20</v>
      </c>
      <c r="J10" s="4">
        <f>MIN(G3:G22)</f>
        <v>2420.8760488494345</v>
      </c>
    </row>
    <row r="11" spans="1:11" x14ac:dyDescent="0.2">
      <c r="A11" s="5">
        <f t="shared" si="4"/>
        <v>9</v>
      </c>
      <c r="B11" s="7">
        <f t="shared" si="0"/>
        <v>1406.9007997578783</v>
      </c>
      <c r="C11" s="7">
        <f t="shared" si="5"/>
        <v>1000</v>
      </c>
      <c r="D11" s="7">
        <f>$J$6*((1/$J$3)-(A11/((1+$J$3)^A11-1)))</f>
        <v>367.57856043581967</v>
      </c>
      <c r="E11" s="7">
        <f t="shared" si="1"/>
        <v>3874.2048900000013</v>
      </c>
      <c r="F11" s="7">
        <f t="shared" si="2"/>
        <v>351.35195131668837</v>
      </c>
      <c r="G11" s="7">
        <f t="shared" si="3"/>
        <v>2423.1274088770097</v>
      </c>
    </row>
    <row r="12" spans="1:11" x14ac:dyDescent="0.2">
      <c r="A12" s="5">
        <f t="shared" si="4"/>
        <v>10</v>
      </c>
      <c r="B12" s="7">
        <f t="shared" si="0"/>
        <v>1295.0457496545666</v>
      </c>
      <c r="C12" s="7">
        <f t="shared" si="5"/>
        <v>1000</v>
      </c>
      <c r="D12" s="7">
        <f>$J$6*((1/$J$3)-(A12/((1+$J$3)^A12-1)))</f>
        <v>409.90850069086645</v>
      </c>
      <c r="E12" s="7">
        <f t="shared" si="1"/>
        <v>3486.7844010000017</v>
      </c>
      <c r="F12" s="7">
        <f t="shared" si="2"/>
        <v>277.21531179768948</v>
      </c>
      <c r="G12" s="7">
        <f t="shared" si="3"/>
        <v>2427.7389385477436</v>
      </c>
    </row>
    <row r="13" spans="1:11" x14ac:dyDescent="0.2">
      <c r="A13" s="5">
        <f t="shared" si="4"/>
        <v>11</v>
      </c>
      <c r="B13" s="7">
        <f t="shared" si="0"/>
        <v>1203.8889149066806</v>
      </c>
      <c r="C13" s="7">
        <f t="shared" si="5"/>
        <v>1000</v>
      </c>
      <c r="D13" s="7">
        <f>$J$6*((1/$J$3)-(A13/((1+$J$3)^A13-1)))</f>
        <v>451.44438720530309</v>
      </c>
      <c r="E13" s="7">
        <f t="shared" si="1"/>
        <v>3138.1059609000017</v>
      </c>
      <c r="F13" s="7">
        <f t="shared" si="2"/>
        <v>220.88779996800878</v>
      </c>
      <c r="G13" s="7">
        <f t="shared" si="3"/>
        <v>2434.4455021439749</v>
      </c>
      <c r="I13" s="1"/>
    </row>
    <row r="14" spans="1:11" x14ac:dyDescent="0.2">
      <c r="A14" s="5">
        <f t="shared" si="4"/>
        <v>12</v>
      </c>
      <c r="B14" s="7">
        <f t="shared" si="0"/>
        <v>1128.2541002081541</v>
      </c>
      <c r="C14" s="7">
        <f t="shared" si="5"/>
        <v>1000</v>
      </c>
      <c r="D14" s="7">
        <f>$J$6*((1/$J$3)-(A14/((1+$J$3)^A14-1)))</f>
        <v>492.19015950043052</v>
      </c>
      <c r="E14" s="7">
        <f t="shared" si="1"/>
        <v>2824.2953648100015</v>
      </c>
      <c r="F14" s="7">
        <f t="shared" si="2"/>
        <v>177.43751431407679</v>
      </c>
      <c r="G14" s="7">
        <f t="shared" si="3"/>
        <v>2443.006745394508</v>
      </c>
    </row>
    <row r="15" spans="1:11" x14ac:dyDescent="0.2">
      <c r="A15" s="5">
        <f t="shared" si="4"/>
        <v>13</v>
      </c>
      <c r="B15" s="7">
        <f t="shared" si="0"/>
        <v>1064.5576516772765</v>
      </c>
      <c r="C15" s="7">
        <f t="shared" si="5"/>
        <v>1000</v>
      </c>
      <c r="D15" s="7">
        <f>$J$6*((1/$J$3)-(A15/((1+$J$3)^A15-1)))</f>
        <v>532.15010563908152</v>
      </c>
      <c r="E15" s="7">
        <f t="shared" si="1"/>
        <v>2541.8658283290019</v>
      </c>
      <c r="F15" s="7">
        <f t="shared" si="2"/>
        <v>143.50298029201366</v>
      </c>
      <c r="G15" s="7">
        <f t="shared" si="3"/>
        <v>2453.2047770243444</v>
      </c>
    </row>
    <row r="16" spans="1:11" x14ac:dyDescent="0.2">
      <c r="A16" s="5">
        <f t="shared" si="4"/>
        <v>14</v>
      </c>
      <c r="B16" s="7">
        <f t="shared" si="0"/>
        <v>1010.2396945726023</v>
      </c>
      <c r="C16" s="7">
        <f t="shared" si="5"/>
        <v>1000</v>
      </c>
      <c r="D16" s="7">
        <f>$J$6*((1/$J$3)-(A16/((1+$J$3)^A16-1)))</f>
        <v>571.32885519671288</v>
      </c>
      <c r="E16" s="7">
        <f t="shared" si="1"/>
        <v>2287.6792454961014</v>
      </c>
      <c r="F16" s="7">
        <f t="shared" si="2"/>
        <v>116.72647595020122</v>
      </c>
      <c r="G16" s="7">
        <f t="shared" si="3"/>
        <v>2464.8420738191139</v>
      </c>
    </row>
    <row r="17" spans="1:7" x14ac:dyDescent="0.2">
      <c r="A17" s="5">
        <f t="shared" si="4"/>
        <v>15</v>
      </c>
      <c r="B17" s="7">
        <f t="shared" si="0"/>
        <v>963.42287609244363</v>
      </c>
      <c r="C17" s="7">
        <f t="shared" si="5"/>
        <v>1000</v>
      </c>
      <c r="D17" s="7">
        <f>$J$6*((1/$J$3)-(A17/((1+$J$3)^A17-1)))</f>
        <v>609.73137172266934</v>
      </c>
      <c r="E17" s="7">
        <f t="shared" si="1"/>
        <v>2058.9113209464913</v>
      </c>
      <c r="F17" s="7">
        <f t="shared" si="2"/>
        <v>95.414660597231531</v>
      </c>
      <c r="G17" s="7">
        <f t="shared" si="3"/>
        <v>2477.7395872178818</v>
      </c>
    </row>
    <row r="18" spans="1:7" x14ac:dyDescent="0.2">
      <c r="A18" s="5">
        <f t="shared" si="4"/>
        <v>16</v>
      </c>
      <c r="B18" s="7">
        <f t="shared" si="0"/>
        <v>922.69907977645732</v>
      </c>
      <c r="C18" s="7">
        <f t="shared" si="5"/>
        <v>1000</v>
      </c>
      <c r="D18" s="7">
        <f>$J$6*((1/$J$3)-(A18/((1+$J$3)^A18-1)))</f>
        <v>647.36294471533688</v>
      </c>
      <c r="E18" s="7">
        <f t="shared" si="1"/>
        <v>1853.0201888518425</v>
      </c>
      <c r="F18" s="7">
        <f t="shared" si="2"/>
        <v>78.326992863487106</v>
      </c>
      <c r="G18" s="7">
        <f t="shared" si="3"/>
        <v>2491.7350316283073</v>
      </c>
    </row>
    <row r="19" spans="1:7" x14ac:dyDescent="0.2">
      <c r="A19" s="5">
        <f t="shared" si="4"/>
        <v>17</v>
      </c>
      <c r="B19" s="7">
        <f t="shared" si="0"/>
        <v>886.9914173128609</v>
      </c>
      <c r="C19" s="7">
        <f t="shared" si="5"/>
        <v>1000</v>
      </c>
      <c r="D19" s="7">
        <f>$J$6*((1/$J$3)-(A19/((1+$J$3)^A19-1)))</f>
        <v>684.22918113627327</v>
      </c>
      <c r="E19" s="7">
        <f t="shared" si="1"/>
        <v>1667.7181699666583</v>
      </c>
      <c r="F19" s="7">
        <f t="shared" si="2"/>
        <v>64.53926182738077</v>
      </c>
      <c r="G19" s="7">
        <f t="shared" si="3"/>
        <v>2506.6813366217534</v>
      </c>
    </row>
    <row r="20" spans="1:7" x14ac:dyDescent="0.2">
      <c r="A20" s="5">
        <f t="shared" si="4"/>
        <v>18</v>
      </c>
      <c r="B20" s="7">
        <f t="shared" si="0"/>
        <v>855.46222319736034</v>
      </c>
      <c r="C20" s="7">
        <f t="shared" si="5"/>
        <v>1000</v>
      </c>
      <c r="D20" s="7">
        <f>$J$6*((1/$J$3)-(A20/((1+$J$3)^A20-1)))</f>
        <v>720.3359964895036</v>
      </c>
      <c r="E20" s="7">
        <f t="shared" si="1"/>
        <v>1500.9463529699924</v>
      </c>
      <c r="F20" s="7">
        <f t="shared" si="2"/>
        <v>53.352972752668329</v>
      </c>
      <c r="G20" s="7">
        <f t="shared" si="3"/>
        <v>2522.4452469341954</v>
      </c>
    </row>
    <row r="21" spans="1:7" x14ac:dyDescent="0.2">
      <c r="A21" s="5">
        <f t="shared" si="4"/>
        <v>19</v>
      </c>
      <c r="B21" s="7">
        <f t="shared" si="0"/>
        <v>827.45010381756242</v>
      </c>
      <c r="C21" s="7">
        <f t="shared" si="5"/>
        <v>1000</v>
      </c>
      <c r="D21" s="7">
        <f>$J$6*((1/$J$3)-(A21/((1+$J$3)^A21-1)))</f>
        <v>755.68960549326323</v>
      </c>
      <c r="E21" s="7">
        <f t="shared" si="1"/>
        <v>1350.8517176729933</v>
      </c>
      <c r="F21" s="7">
        <f t="shared" si="2"/>
        <v>44.233653519415412</v>
      </c>
      <c r="G21" s="7">
        <f t="shared" si="3"/>
        <v>2538.9060557914104</v>
      </c>
    </row>
    <row r="22" spans="1:7" x14ac:dyDescent="0.2">
      <c r="A22" s="5">
        <f t="shared" si="4"/>
        <v>20</v>
      </c>
      <c r="B22" s="7">
        <f t="shared" si="0"/>
        <v>802.42587190691313</v>
      </c>
      <c r="C22" s="7">
        <f t="shared" si="5"/>
        <v>1000</v>
      </c>
      <c r="D22" s="7">
        <f>$J$6*((1/$J$3)-(A22/((1+$J$3)^A22-1)))</f>
        <v>790.29651237234759</v>
      </c>
      <c r="E22" s="7">
        <f t="shared" si="1"/>
        <v>1215.7665459056941</v>
      </c>
      <c r="F22" s="7">
        <f t="shared" si="2"/>
        <v>36.76792576807857</v>
      </c>
      <c r="G22" s="7">
        <f t="shared" si="3"/>
        <v>2555.9544585111821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29990-CB9B-644B-BDB8-13E14B3A9657}">
  <dimension ref="A1:K22"/>
  <sheetViews>
    <sheetView workbookViewId="0">
      <selection activeCell="D47" sqref="D47"/>
    </sheetView>
  </sheetViews>
  <sheetFormatPr baseColWidth="10" defaultRowHeight="16" x14ac:dyDescent="0.2"/>
  <cols>
    <col min="2" max="2" width="14.83203125" bestFit="1" customWidth="1"/>
    <col min="3" max="3" width="14.83203125" customWidth="1"/>
    <col min="4" max="4" width="14.1640625" bestFit="1" customWidth="1"/>
    <col min="5" max="5" width="14.1640625" customWidth="1"/>
    <col min="6" max="6" width="22.6640625" bestFit="1" customWidth="1"/>
    <col min="7" max="7" width="22.6640625" customWidth="1"/>
  </cols>
  <sheetData>
    <row r="1" spans="1:11" x14ac:dyDescent="0.2">
      <c r="A1" s="5" t="s">
        <v>13</v>
      </c>
      <c r="B1" s="5" t="s">
        <v>14</v>
      </c>
      <c r="C1" s="3" t="s">
        <v>15</v>
      </c>
      <c r="D1" s="3"/>
      <c r="E1" s="3" t="s">
        <v>16</v>
      </c>
      <c r="F1" s="3"/>
    </row>
    <row r="2" spans="1:11" x14ac:dyDescent="0.2">
      <c r="A2" s="5" t="s">
        <v>0</v>
      </c>
      <c r="B2" s="6" t="s">
        <v>1</v>
      </c>
      <c r="C2" s="6" t="s">
        <v>17</v>
      </c>
      <c r="D2" s="6" t="s">
        <v>2</v>
      </c>
      <c r="E2" s="6" t="s">
        <v>18</v>
      </c>
      <c r="F2" s="6" t="s">
        <v>19</v>
      </c>
      <c r="G2" s="6" t="s">
        <v>12</v>
      </c>
      <c r="I2" s="2" t="s">
        <v>0</v>
      </c>
      <c r="J2" s="2" t="s">
        <v>21</v>
      </c>
      <c r="K2" t="s">
        <v>24</v>
      </c>
    </row>
    <row r="3" spans="1:11" x14ac:dyDescent="0.2">
      <c r="A3" s="5">
        <v>1</v>
      </c>
      <c r="B3" s="7">
        <f>PMT($J$3,A3,-$J$4)</f>
        <v>8504.9999999999982</v>
      </c>
      <c r="C3" s="7">
        <f>J5</f>
        <v>1200</v>
      </c>
      <c r="D3" s="7">
        <f>$J$6*((1/$J$3)-(A3/((1+$J$3)^A3-1)))</f>
        <v>1.7763568394002505E-12</v>
      </c>
      <c r="E3" s="7">
        <f>(1-$J$7)^A3*$J$4</f>
        <v>7290.0000000000009</v>
      </c>
      <c r="F3" s="7">
        <f>PMT($J$3,A3,,-E3)</f>
        <v>7289.9999999999991</v>
      </c>
      <c r="G3" s="7">
        <f>B3+C3+D3-F3</f>
        <v>2415.0000000000009</v>
      </c>
      <c r="I3" s="2" t="s">
        <v>7</v>
      </c>
      <c r="J3" s="10">
        <v>0.05</v>
      </c>
      <c r="K3" t="s">
        <v>8</v>
      </c>
    </row>
    <row r="4" spans="1:11" ht="17" thickBot="1" x14ac:dyDescent="0.25">
      <c r="A4" s="5">
        <f>A3+1</f>
        <v>2</v>
      </c>
      <c r="B4" s="7">
        <f t="shared" ref="B4:B22" si="0">PMT($J$3,A4,-$J$4)</f>
        <v>4356.2195121951218</v>
      </c>
      <c r="C4" s="7">
        <f>C3</f>
        <v>1200</v>
      </c>
      <c r="D4" s="7">
        <f>$J$6*((1/$J$3)-(A4/((1+$J$3)^A4-1)))</f>
        <v>48.780487804878803</v>
      </c>
      <c r="E4" s="7">
        <f t="shared" ref="E4:E22" si="1">(1-$J$7)^A4*$J$4</f>
        <v>6561.0000000000009</v>
      </c>
      <c r="F4" s="7">
        <f t="shared" ref="F4:F22" si="2">PMT($J$3,A4,,-E4)</f>
        <v>3200.4878048780492</v>
      </c>
      <c r="G4" s="7">
        <f t="shared" ref="G4:G22" si="3">B4+C4+D4-F4</f>
        <v>2404.5121951219517</v>
      </c>
      <c r="I4" s="2" t="s">
        <v>4</v>
      </c>
      <c r="J4" s="12">
        <f>Forklift!$E$4</f>
        <v>8100.0000000000009</v>
      </c>
      <c r="K4" t="s">
        <v>23</v>
      </c>
    </row>
    <row r="5" spans="1:11" ht="17" thickTop="1" x14ac:dyDescent="0.2">
      <c r="A5" s="5">
        <f t="shared" ref="A5:A22" si="4">A4+1</f>
        <v>3</v>
      </c>
      <c r="B5" s="7">
        <f t="shared" si="0"/>
        <v>2974.389373513085</v>
      </c>
      <c r="C5" s="7">
        <f t="shared" ref="C5:C22" si="5">C4</f>
        <v>1200</v>
      </c>
      <c r="D5" s="7">
        <f>$J$6*((1/$J$3)-(A5/((1+$J$3)^A5-1)))</f>
        <v>96.748612212531171</v>
      </c>
      <c r="E5" s="7">
        <f t="shared" si="1"/>
        <v>5904.9000000000015</v>
      </c>
      <c r="F5" s="7">
        <f t="shared" si="2"/>
        <v>1873.0848532910391</v>
      </c>
      <c r="G5" s="7">
        <f t="shared" si="3"/>
        <v>2398.053132434577</v>
      </c>
      <c r="I5" s="2" t="s">
        <v>17</v>
      </c>
      <c r="J5" s="13">
        <f>Forklift!$C$4+2*J6</f>
        <v>1200</v>
      </c>
      <c r="K5" t="s">
        <v>26</v>
      </c>
    </row>
    <row r="6" spans="1:11" x14ac:dyDescent="0.2">
      <c r="A6" s="8">
        <f t="shared" si="4"/>
        <v>4</v>
      </c>
      <c r="B6" s="9">
        <f t="shared" si="0"/>
        <v>2284.2958440880484</v>
      </c>
      <c r="C6" s="9">
        <f t="shared" si="5"/>
        <v>1200</v>
      </c>
      <c r="D6" s="9">
        <f>$J$6*((1/$J$3)-(A6/((1+$J$3)^A6-1)))</f>
        <v>143.90533917229789</v>
      </c>
      <c r="E6" s="9">
        <f t="shared" si="1"/>
        <v>5314.4100000000017</v>
      </c>
      <c r="F6" s="9">
        <f t="shared" si="2"/>
        <v>1233.0060033061689</v>
      </c>
      <c r="G6" s="9">
        <f t="shared" si="3"/>
        <v>2395.1951799541775</v>
      </c>
      <c r="I6" s="2" t="s">
        <v>6</v>
      </c>
      <c r="J6" s="11">
        <v>100</v>
      </c>
      <c r="K6" t="s">
        <v>25</v>
      </c>
    </row>
    <row r="7" spans="1:11" x14ac:dyDescent="0.2">
      <c r="A7" s="5">
        <f t="shared" si="4"/>
        <v>5</v>
      </c>
      <c r="B7" s="7">
        <f t="shared" si="0"/>
        <v>1870.8958648389719</v>
      </c>
      <c r="C7" s="7">
        <f t="shared" si="5"/>
        <v>1200</v>
      </c>
      <c r="D7" s="7">
        <f>$J$6*((1/$J$3)-(A7/((1+$J$3)^A7-1)))</f>
        <v>190.25201871731952</v>
      </c>
      <c r="E7" s="7">
        <f t="shared" si="1"/>
        <v>4782.9690000000019</v>
      </c>
      <c r="F7" s="7">
        <f t="shared" si="2"/>
        <v>865.59684922876477</v>
      </c>
      <c r="G7" s="7">
        <f t="shared" si="3"/>
        <v>2395.5510343275264</v>
      </c>
      <c r="I7" s="2" t="s">
        <v>10</v>
      </c>
      <c r="J7" s="10">
        <v>0.1</v>
      </c>
      <c r="K7" t="s">
        <v>11</v>
      </c>
    </row>
    <row r="8" spans="1:11" x14ac:dyDescent="0.2">
      <c r="A8" s="5">
        <f t="shared" si="4"/>
        <v>6</v>
      </c>
      <c r="B8" s="7">
        <f t="shared" si="0"/>
        <v>1595.8414916925253</v>
      </c>
      <c r="C8" s="7">
        <f t="shared" si="5"/>
        <v>1200</v>
      </c>
      <c r="D8" s="7">
        <f>$J$6*((1/$J$3)-(A8/((1+$J$3)^A8-1)))</f>
        <v>235.79038267774024</v>
      </c>
      <c r="E8" s="7">
        <f t="shared" si="1"/>
        <v>4304.6721000000016</v>
      </c>
      <c r="F8" s="7">
        <f t="shared" si="2"/>
        <v>632.86199318656736</v>
      </c>
      <c r="G8" s="7">
        <f t="shared" si="3"/>
        <v>2398.7698811836981</v>
      </c>
    </row>
    <row r="9" spans="1:11" x14ac:dyDescent="0.2">
      <c r="A9" s="5">
        <f t="shared" si="4"/>
        <v>7</v>
      </c>
      <c r="B9" s="7">
        <f t="shared" si="0"/>
        <v>1399.8405294139829</v>
      </c>
      <c r="C9" s="7">
        <f t="shared" si="5"/>
        <v>1200</v>
      </c>
      <c r="D9" s="7">
        <f>$J$6*((1/$J$3)-(A9/((1+$J$3)^A9-1)))</f>
        <v>280.52254175361071</v>
      </c>
      <c r="E9" s="7">
        <f t="shared" si="1"/>
        <v>3874.2048900000013</v>
      </c>
      <c r="F9" s="7">
        <f t="shared" si="2"/>
        <v>475.82914121306698</v>
      </c>
      <c r="G9" s="7">
        <f t="shared" si="3"/>
        <v>2404.5339299545267</v>
      </c>
    </row>
    <row r="10" spans="1:11" x14ac:dyDescent="0.2">
      <c r="A10" s="14">
        <f t="shared" si="4"/>
        <v>8</v>
      </c>
      <c r="B10" s="15">
        <f t="shared" si="0"/>
        <v>1253.2466903842173</v>
      </c>
      <c r="C10" s="7">
        <f t="shared" si="5"/>
        <v>1200</v>
      </c>
      <c r="D10" s="15">
        <f>$J$6*((1/$J$3)-(A10/((1+$J$3)^A10-1)))</f>
        <v>324.45098195710182</v>
      </c>
      <c r="E10" s="15">
        <f t="shared" si="1"/>
        <v>3486.7844010000017</v>
      </c>
      <c r="F10" s="15">
        <f t="shared" si="2"/>
        <v>365.14238620142805</v>
      </c>
      <c r="G10" s="15">
        <f t="shared" si="3"/>
        <v>2412.555286139891</v>
      </c>
      <c r="I10" s="2" t="s">
        <v>20</v>
      </c>
      <c r="J10" s="4">
        <f>MIN(G3:G22)</f>
        <v>2395.1951799541775</v>
      </c>
    </row>
    <row r="11" spans="1:11" x14ac:dyDescent="0.2">
      <c r="A11" s="5">
        <f t="shared" si="4"/>
        <v>9</v>
      </c>
      <c r="B11" s="7">
        <f t="shared" si="0"/>
        <v>1139.5896478038815</v>
      </c>
      <c r="C11" s="7">
        <f t="shared" si="5"/>
        <v>1200</v>
      </c>
      <c r="D11" s="7">
        <f>$J$6*((1/$J$3)-(A11/((1+$J$3)^A11-1)))</f>
        <v>367.57856043581967</v>
      </c>
      <c r="E11" s="7">
        <f t="shared" si="1"/>
        <v>3138.1059609000017</v>
      </c>
      <c r="F11" s="7">
        <f t="shared" si="2"/>
        <v>284.59508056651759</v>
      </c>
      <c r="G11" s="7">
        <f t="shared" si="3"/>
        <v>2422.5731276731835</v>
      </c>
    </row>
    <row r="12" spans="1:11" x14ac:dyDescent="0.2">
      <c r="A12" s="5">
        <f t="shared" si="4"/>
        <v>10</v>
      </c>
      <c r="B12" s="7">
        <f t="shared" si="0"/>
        <v>1048.9870572201992</v>
      </c>
      <c r="C12" s="7">
        <f t="shared" si="5"/>
        <v>1200</v>
      </c>
      <c r="D12" s="7">
        <f>$J$6*((1/$J$3)-(A12/((1+$J$3)^A12-1)))</f>
        <v>409.90850069086645</v>
      </c>
      <c r="E12" s="7">
        <f t="shared" si="1"/>
        <v>2824.2953648100015</v>
      </c>
      <c r="F12" s="7">
        <f t="shared" si="2"/>
        <v>224.54440255612855</v>
      </c>
      <c r="G12" s="7">
        <f t="shared" si="3"/>
        <v>2434.3511553549365</v>
      </c>
    </row>
    <row r="13" spans="1:11" x14ac:dyDescent="0.2">
      <c r="A13" s="5">
        <f t="shared" si="4"/>
        <v>11</v>
      </c>
      <c r="B13" s="7">
        <f t="shared" si="0"/>
        <v>975.15002107441126</v>
      </c>
      <c r="C13" s="7">
        <f t="shared" si="5"/>
        <v>1200</v>
      </c>
      <c r="D13" s="7">
        <f>$J$6*((1/$J$3)-(A13/((1+$J$3)^A13-1)))</f>
        <v>451.44438720530309</v>
      </c>
      <c r="E13" s="7">
        <f t="shared" si="1"/>
        <v>2541.8658283290015</v>
      </c>
      <c r="F13" s="7">
        <f t="shared" si="2"/>
        <v>178.91911797408716</v>
      </c>
      <c r="G13" s="7">
        <f t="shared" si="3"/>
        <v>2447.6752903056267</v>
      </c>
      <c r="I13" s="1"/>
    </row>
    <row r="14" spans="1:11" x14ac:dyDescent="0.2">
      <c r="A14" s="5">
        <f t="shared" si="4"/>
        <v>12</v>
      </c>
      <c r="B14" s="7">
        <f t="shared" si="0"/>
        <v>913.88582116860493</v>
      </c>
      <c r="C14" s="7">
        <f t="shared" si="5"/>
        <v>1200</v>
      </c>
      <c r="D14" s="7">
        <f>$J$6*((1/$J$3)-(A14/((1+$J$3)^A14-1)))</f>
        <v>492.19015950043052</v>
      </c>
      <c r="E14" s="7">
        <f t="shared" si="1"/>
        <v>2287.6792454961014</v>
      </c>
      <c r="F14" s="7">
        <f t="shared" si="2"/>
        <v>143.72438659440218</v>
      </c>
      <c r="G14" s="7">
        <f t="shared" si="3"/>
        <v>2462.3515940746329</v>
      </c>
    </row>
    <row r="15" spans="1:11" x14ac:dyDescent="0.2">
      <c r="A15" s="5">
        <f t="shared" si="4"/>
        <v>13</v>
      </c>
      <c r="B15" s="7">
        <f t="shared" si="0"/>
        <v>862.29169785859403</v>
      </c>
      <c r="C15" s="7">
        <f t="shared" si="5"/>
        <v>1200</v>
      </c>
      <c r="D15" s="7">
        <f>$J$6*((1/$J$3)-(A15/((1+$J$3)^A15-1)))</f>
        <v>532.15010563908152</v>
      </c>
      <c r="E15" s="7">
        <f t="shared" si="1"/>
        <v>2058.9113209464917</v>
      </c>
      <c r="F15" s="7">
        <f t="shared" si="2"/>
        <v>116.23741403653105</v>
      </c>
      <c r="G15" s="7">
        <f t="shared" si="3"/>
        <v>2478.2043894611447</v>
      </c>
    </row>
    <row r="16" spans="1:11" x14ac:dyDescent="0.2">
      <c r="A16" s="5">
        <f t="shared" si="4"/>
        <v>14</v>
      </c>
      <c r="B16" s="7">
        <f t="shared" si="0"/>
        <v>818.29415260380802</v>
      </c>
      <c r="C16" s="7">
        <f t="shared" si="5"/>
        <v>1200</v>
      </c>
      <c r="D16" s="7">
        <f>$J$6*((1/$J$3)-(A16/((1+$J$3)^A16-1)))</f>
        <v>571.32885519671288</v>
      </c>
      <c r="E16" s="7">
        <f t="shared" si="1"/>
        <v>1853.0201888518425</v>
      </c>
      <c r="F16" s="7">
        <f t="shared" si="2"/>
        <v>94.548445519663019</v>
      </c>
      <c r="G16" s="7">
        <f t="shared" si="3"/>
        <v>2495.0745622808581</v>
      </c>
    </row>
    <row r="17" spans="1:7" x14ac:dyDescent="0.2">
      <c r="A17" s="5">
        <f t="shared" si="4"/>
        <v>15</v>
      </c>
      <c r="B17" s="7">
        <f t="shared" si="0"/>
        <v>780.37252963487947</v>
      </c>
      <c r="C17" s="7">
        <f t="shared" si="5"/>
        <v>1200</v>
      </c>
      <c r="D17" s="7">
        <f>$J$6*((1/$J$3)-(A17/((1+$J$3)^A17-1)))</f>
        <v>609.73137172266934</v>
      </c>
      <c r="E17" s="7">
        <f t="shared" si="1"/>
        <v>1667.718169966658</v>
      </c>
      <c r="F17" s="7">
        <f t="shared" si="2"/>
        <v>77.285875083757546</v>
      </c>
      <c r="G17" s="7">
        <f t="shared" si="3"/>
        <v>2512.818026273791</v>
      </c>
    </row>
    <row r="18" spans="1:7" x14ac:dyDescent="0.2">
      <c r="A18" s="5">
        <f t="shared" si="4"/>
        <v>16</v>
      </c>
      <c r="B18" s="7">
        <f t="shared" si="0"/>
        <v>747.38625461893059</v>
      </c>
      <c r="C18" s="7">
        <f t="shared" si="5"/>
        <v>1200</v>
      </c>
      <c r="D18" s="7">
        <f>$J$6*((1/$J$3)-(A18/((1+$J$3)^A18-1)))</f>
        <v>647.36294471533688</v>
      </c>
      <c r="E18" s="7">
        <f t="shared" si="1"/>
        <v>1500.9463529699926</v>
      </c>
      <c r="F18" s="7">
        <f t="shared" si="2"/>
        <v>63.444864219424552</v>
      </c>
      <c r="G18" s="7">
        <f t="shared" si="3"/>
        <v>2531.3043351148426</v>
      </c>
    </row>
    <row r="19" spans="1:7" x14ac:dyDescent="0.2">
      <c r="A19" s="5">
        <f t="shared" si="4"/>
        <v>17</v>
      </c>
      <c r="B19" s="7">
        <f t="shared" si="0"/>
        <v>718.4630480234174</v>
      </c>
      <c r="C19" s="7">
        <f t="shared" si="5"/>
        <v>1200</v>
      </c>
      <c r="D19" s="7">
        <f>$J$6*((1/$J$3)-(A19/((1+$J$3)^A19-1)))</f>
        <v>684.22918113627327</v>
      </c>
      <c r="E19" s="7">
        <f t="shared" si="1"/>
        <v>1350.8517176729933</v>
      </c>
      <c r="F19" s="7">
        <f t="shared" si="2"/>
        <v>52.276802080178442</v>
      </c>
      <c r="G19" s="7">
        <f t="shared" si="3"/>
        <v>2550.415427079512</v>
      </c>
    </row>
    <row r="20" spans="1:7" x14ac:dyDescent="0.2">
      <c r="A20" s="5">
        <f t="shared" si="4"/>
        <v>18</v>
      </c>
      <c r="B20" s="7">
        <f t="shared" si="0"/>
        <v>692.92440078986192</v>
      </c>
      <c r="C20" s="7">
        <f t="shared" si="5"/>
        <v>1200</v>
      </c>
      <c r="D20" s="7">
        <f>$J$6*((1/$J$3)-(A20/((1+$J$3)^A20-1)))</f>
        <v>720.3359964895036</v>
      </c>
      <c r="E20" s="7">
        <f t="shared" si="1"/>
        <v>1215.7665459056939</v>
      </c>
      <c r="F20" s="7">
        <f t="shared" si="2"/>
        <v>43.215907929661356</v>
      </c>
      <c r="G20" s="7">
        <f t="shared" si="3"/>
        <v>2570.0444893497042</v>
      </c>
    </row>
    <row r="21" spans="1:7" x14ac:dyDescent="0.2">
      <c r="A21" s="5">
        <f t="shared" si="4"/>
        <v>19</v>
      </c>
      <c r="B21" s="7">
        <f t="shared" si="0"/>
        <v>670.23458409222576</v>
      </c>
      <c r="C21" s="7">
        <f t="shared" si="5"/>
        <v>1200</v>
      </c>
      <c r="D21" s="7">
        <f>$J$6*((1/$J$3)-(A21/((1+$J$3)^A21-1)))</f>
        <v>755.68960549326323</v>
      </c>
      <c r="E21" s="7">
        <f t="shared" si="1"/>
        <v>1094.1898913151247</v>
      </c>
      <c r="F21" s="7">
        <f t="shared" si="2"/>
        <v>35.829259350726488</v>
      </c>
      <c r="G21" s="7">
        <f t="shared" si="3"/>
        <v>2590.0949302347626</v>
      </c>
    </row>
    <row r="22" spans="1:7" x14ac:dyDescent="0.2">
      <c r="A22" s="5">
        <f t="shared" si="4"/>
        <v>20</v>
      </c>
      <c r="B22" s="7">
        <f t="shared" si="0"/>
        <v>649.96495624459976</v>
      </c>
      <c r="C22" s="7">
        <f t="shared" si="5"/>
        <v>1200</v>
      </c>
      <c r="D22" s="7">
        <f>$J$6*((1/$J$3)-(A22/((1+$J$3)^A22-1)))</f>
        <v>790.29651237234759</v>
      </c>
      <c r="E22" s="7">
        <f t="shared" si="1"/>
        <v>984.77090218361229</v>
      </c>
      <c r="F22" s="7">
        <f t="shared" si="2"/>
        <v>29.782019872143639</v>
      </c>
      <c r="G22" s="7">
        <f t="shared" si="3"/>
        <v>2610.4794487448034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E0809-D8E8-754B-9FFB-12B41E48A815}">
  <dimension ref="A1:K22"/>
  <sheetViews>
    <sheetView workbookViewId="0">
      <selection activeCell="A22" sqref="A22:G335"/>
    </sheetView>
  </sheetViews>
  <sheetFormatPr baseColWidth="10" defaultRowHeight="16" x14ac:dyDescent="0.2"/>
  <cols>
    <col min="2" max="2" width="14.83203125" bestFit="1" customWidth="1"/>
    <col min="3" max="3" width="14.83203125" customWidth="1"/>
    <col min="4" max="4" width="14.1640625" bestFit="1" customWidth="1"/>
    <col min="5" max="5" width="14.1640625" customWidth="1"/>
    <col min="6" max="6" width="22.6640625" bestFit="1" customWidth="1"/>
    <col min="7" max="7" width="22.6640625" customWidth="1"/>
  </cols>
  <sheetData>
    <row r="1" spans="1:11" x14ac:dyDescent="0.2">
      <c r="A1" s="5" t="s">
        <v>13</v>
      </c>
      <c r="B1" s="5" t="s">
        <v>14</v>
      </c>
      <c r="C1" s="3" t="s">
        <v>15</v>
      </c>
      <c r="D1" s="3"/>
      <c r="E1" s="3" t="s">
        <v>16</v>
      </c>
      <c r="F1" s="3"/>
    </row>
    <row r="2" spans="1:11" x14ac:dyDescent="0.2">
      <c r="A2" s="5" t="s">
        <v>0</v>
      </c>
      <c r="B2" s="6" t="s">
        <v>1</v>
      </c>
      <c r="C2" s="6" t="s">
        <v>17</v>
      </c>
      <c r="D2" s="6" t="s">
        <v>2</v>
      </c>
      <c r="E2" s="6" t="s">
        <v>18</v>
      </c>
      <c r="F2" s="6" t="s">
        <v>19</v>
      </c>
      <c r="G2" s="6" t="s">
        <v>12</v>
      </c>
      <c r="I2" s="2" t="s">
        <v>0</v>
      </c>
      <c r="J2" s="2" t="s">
        <v>21</v>
      </c>
      <c r="K2" t="s">
        <v>27</v>
      </c>
    </row>
    <row r="3" spans="1:11" x14ac:dyDescent="0.2">
      <c r="A3" s="5">
        <v>1</v>
      </c>
      <c r="B3" s="7">
        <f>PMT($J$3,A3,-$J$4)</f>
        <v>1276.5548732009786</v>
      </c>
      <c r="C3" s="7">
        <f>J5</f>
        <v>3000</v>
      </c>
      <c r="D3" s="7">
        <f>$J$6*((1/$J$3)-(A3/((1+$J$3)^A3-1)))</f>
        <v>1.7763568394002505E-12</v>
      </c>
      <c r="E3" s="7">
        <f>(1-$J$7)^A3*$J$4</f>
        <v>1094.1898913151247</v>
      </c>
      <c r="F3" s="7">
        <f>PMT($J$3,A3,,-E3)</f>
        <v>1094.1898913151244</v>
      </c>
      <c r="G3" s="7">
        <f>B3+C3+D3-F3</f>
        <v>3182.3649818858557</v>
      </c>
      <c r="I3" s="2" t="s">
        <v>7</v>
      </c>
      <c r="J3" s="10">
        <v>0.05</v>
      </c>
      <c r="K3" t="s">
        <v>8</v>
      </c>
    </row>
    <row r="4" spans="1:11" ht="17" thickBot="1" x14ac:dyDescent="0.25">
      <c r="A4" s="5">
        <f>A3+1</f>
        <v>2</v>
      </c>
      <c r="B4" s="7">
        <f t="shared" ref="B4:B67" si="0">PMT($J$3,A4,-$J$4)</f>
        <v>653.84517895659883</v>
      </c>
      <c r="C4" s="7">
        <f>C3</f>
        <v>3000</v>
      </c>
      <c r="D4" s="7">
        <f>$J$6*((1/$J$3)-(A4/((1+$J$3)^A4-1)))</f>
        <v>48.780487804878803</v>
      </c>
      <c r="E4" s="7">
        <f t="shared" ref="E4:E22" si="1">(1-$J$7)^A4*$J$4</f>
        <v>984.77090218361229</v>
      </c>
      <c r="F4" s="7">
        <f t="shared" ref="F4:F22" si="2">PMT($J$3,A4,,-E4)</f>
        <v>480.37604984566445</v>
      </c>
      <c r="G4" s="7">
        <f t="shared" ref="G4:G22" si="3">B4+C4+D4-F4</f>
        <v>3222.249616915813</v>
      </c>
      <c r="I4" s="2" t="s">
        <v>4</v>
      </c>
      <c r="J4" s="12">
        <f>Forklift!J4*(1-Forklift!J7)^20</f>
        <v>1215.7665459056941</v>
      </c>
      <c r="K4" t="s">
        <v>28</v>
      </c>
    </row>
    <row r="5" spans="1:11" ht="17" thickTop="1" x14ac:dyDescent="0.2">
      <c r="A5" s="5">
        <f t="shared" ref="A5:A22" si="4">A4+1</f>
        <v>3</v>
      </c>
      <c r="B5" s="7">
        <f t="shared" si="0"/>
        <v>446.43988824871661</v>
      </c>
      <c r="C5" s="7">
        <f t="shared" ref="C5:C22" si="5">C4</f>
        <v>3000</v>
      </c>
      <c r="D5" s="7">
        <f>$J$6*((1/$J$3)-(A5/((1+$J$3)^A5-1)))</f>
        <v>96.748612212531171</v>
      </c>
      <c r="E5" s="7">
        <f t="shared" si="1"/>
        <v>886.29381196525117</v>
      </c>
      <c r="F5" s="7">
        <f t="shared" si="2"/>
        <v>281.13998793505192</v>
      </c>
      <c r="G5" s="7">
        <f t="shared" si="3"/>
        <v>3262.0485125261957</v>
      </c>
      <c r="I5" s="2" t="s">
        <v>17</v>
      </c>
      <c r="J5" s="13">
        <f>Forklift!$C$4+20*J6</f>
        <v>3000</v>
      </c>
      <c r="K5" t="s">
        <v>29</v>
      </c>
    </row>
    <row r="6" spans="1:11" x14ac:dyDescent="0.2">
      <c r="A6" s="8">
        <f t="shared" si="4"/>
        <v>4</v>
      </c>
      <c r="B6" s="9">
        <f t="shared" si="0"/>
        <v>342.86055162884674</v>
      </c>
      <c r="C6" s="9">
        <f t="shared" si="5"/>
        <v>3000</v>
      </c>
      <c r="D6" s="9">
        <f>$J$6*((1/$J$3)-(A6/((1+$J$3)^A6-1)))</f>
        <v>143.90533917229789</v>
      </c>
      <c r="E6" s="9">
        <f t="shared" si="1"/>
        <v>797.66443076872611</v>
      </c>
      <c r="F6" s="9">
        <f t="shared" si="2"/>
        <v>185.06758638525011</v>
      </c>
      <c r="G6" s="9">
        <f t="shared" si="3"/>
        <v>3301.6983044158942</v>
      </c>
      <c r="I6" s="2" t="s">
        <v>6</v>
      </c>
      <c r="J6" s="11">
        <v>100</v>
      </c>
      <c r="K6" t="s">
        <v>25</v>
      </c>
    </row>
    <row r="7" spans="1:11" x14ac:dyDescent="0.2">
      <c r="A7" s="5">
        <f t="shared" si="4"/>
        <v>5</v>
      </c>
      <c r="B7" s="7">
        <f t="shared" si="0"/>
        <v>280.81143251166952</v>
      </c>
      <c r="C7" s="7">
        <f t="shared" si="5"/>
        <v>3000</v>
      </c>
      <c r="D7" s="7">
        <f>$J$6*((1/$J$3)-(A7/((1+$J$3)^A7-1)))</f>
        <v>190.25201871731952</v>
      </c>
      <c r="E7" s="7">
        <f t="shared" si="1"/>
        <v>717.89798769185359</v>
      </c>
      <c r="F7" s="7">
        <f t="shared" si="2"/>
        <v>129.92144339922311</v>
      </c>
      <c r="G7" s="7">
        <f t="shared" si="3"/>
        <v>3341.142007829766</v>
      </c>
      <c r="I7" s="2" t="s">
        <v>10</v>
      </c>
      <c r="J7" s="10">
        <v>0.1</v>
      </c>
      <c r="K7" t="s">
        <v>11</v>
      </c>
    </row>
    <row r="8" spans="1:11" x14ac:dyDescent="0.2">
      <c r="A8" s="5">
        <f t="shared" si="4"/>
        <v>6</v>
      </c>
      <c r="B8" s="7">
        <f t="shared" si="0"/>
        <v>239.52724668740885</v>
      </c>
      <c r="C8" s="7">
        <f t="shared" si="5"/>
        <v>3000</v>
      </c>
      <c r="D8" s="7">
        <f>$J$6*((1/$J$3)-(A8/((1+$J$3)^A8-1)))</f>
        <v>235.79038267774024</v>
      </c>
      <c r="E8" s="7">
        <f t="shared" si="1"/>
        <v>646.10818892266821</v>
      </c>
      <c r="F8" s="7">
        <f t="shared" si="2"/>
        <v>94.989190060669898</v>
      </c>
      <c r="G8" s="7">
        <f t="shared" si="3"/>
        <v>3380.3284393044792</v>
      </c>
    </row>
    <row r="9" spans="1:11" x14ac:dyDescent="0.2">
      <c r="A9" s="5">
        <f t="shared" si="4"/>
        <v>7</v>
      </c>
      <c r="B9" s="7">
        <f t="shared" si="0"/>
        <v>210.10855373635013</v>
      </c>
      <c r="C9" s="7">
        <f t="shared" si="5"/>
        <v>3000</v>
      </c>
      <c r="D9" s="7">
        <f>$J$6*((1/$J$3)-(A9/((1+$J$3)^A9-1)))</f>
        <v>280.52254175361071</v>
      </c>
      <c r="E9" s="7">
        <f t="shared" si="1"/>
        <v>581.49737003040138</v>
      </c>
      <c r="F9" s="7">
        <f t="shared" si="2"/>
        <v>71.419401414059649</v>
      </c>
      <c r="G9" s="7">
        <f t="shared" si="3"/>
        <v>3419.2116940759011</v>
      </c>
    </row>
    <row r="10" spans="1:11" x14ac:dyDescent="0.2">
      <c r="A10" s="14">
        <f t="shared" si="4"/>
        <v>8</v>
      </c>
      <c r="B10" s="15">
        <f t="shared" si="0"/>
        <v>188.10560493039046</v>
      </c>
      <c r="C10" s="7">
        <f t="shared" si="5"/>
        <v>3000</v>
      </c>
      <c r="D10" s="15">
        <f>$J$6*((1/$J$3)-(A10/((1+$J$3)^A10-1)))</f>
        <v>324.45098195710182</v>
      </c>
      <c r="E10" s="15">
        <f t="shared" si="1"/>
        <v>523.34763302736121</v>
      </c>
      <c r="F10" s="15">
        <f t="shared" si="2"/>
        <v>54.805913288379386</v>
      </c>
      <c r="G10" s="15">
        <f t="shared" si="3"/>
        <v>3457.7506735991128</v>
      </c>
      <c r="I10" s="2" t="s">
        <v>20</v>
      </c>
      <c r="J10" s="4">
        <f>MIN(G3:G22)</f>
        <v>3182.3649818858557</v>
      </c>
    </row>
    <row r="11" spans="1:11" x14ac:dyDescent="0.2">
      <c r="A11" s="5">
        <f t="shared" si="4"/>
        <v>9</v>
      </c>
      <c r="B11" s="7">
        <f t="shared" si="0"/>
        <v>171.04629257535942</v>
      </c>
      <c r="C11" s="7">
        <f t="shared" si="5"/>
        <v>3000</v>
      </c>
      <c r="D11" s="7">
        <f>$J$6*((1/$J$3)-(A11/((1+$J$3)^A11-1)))</f>
        <v>367.57856043581967</v>
      </c>
      <c r="E11" s="7">
        <f t="shared" si="1"/>
        <v>471.01286972462515</v>
      </c>
      <c r="F11" s="7">
        <f t="shared" si="2"/>
        <v>42.716194824951579</v>
      </c>
      <c r="G11" s="7">
        <f t="shared" si="3"/>
        <v>3495.9086581862275</v>
      </c>
    </row>
    <row r="12" spans="1:11" x14ac:dyDescent="0.2">
      <c r="A12" s="5">
        <f t="shared" si="4"/>
        <v>10</v>
      </c>
      <c r="B12" s="7">
        <f t="shared" si="0"/>
        <v>157.44732978473826</v>
      </c>
      <c r="C12" s="7">
        <f t="shared" si="5"/>
        <v>3000</v>
      </c>
      <c r="D12" s="7">
        <f>$J$6*((1/$J$3)-(A12/((1+$J$3)^A12-1)))</f>
        <v>409.90850069086645</v>
      </c>
      <c r="E12" s="7">
        <f t="shared" si="1"/>
        <v>423.91158275216264</v>
      </c>
      <c r="F12" s="7">
        <f t="shared" si="2"/>
        <v>33.702910209644692</v>
      </c>
      <c r="G12" s="7">
        <f t="shared" si="3"/>
        <v>3533.6529202659594</v>
      </c>
    </row>
    <row r="13" spans="1:11" x14ac:dyDescent="0.2">
      <c r="A13" s="5">
        <f t="shared" si="4"/>
        <v>11</v>
      </c>
      <c r="B13" s="7">
        <f t="shared" si="0"/>
        <v>146.36478677302489</v>
      </c>
      <c r="C13" s="7">
        <f t="shared" si="5"/>
        <v>3000</v>
      </c>
      <c r="D13" s="7">
        <f>$J$6*((1/$J$3)-(A13/((1+$J$3)^A13-1)))</f>
        <v>451.44438720530309</v>
      </c>
      <c r="E13" s="7">
        <f t="shared" si="1"/>
        <v>381.5204244769464</v>
      </c>
      <c r="F13" s="7">
        <f t="shared" si="2"/>
        <v>26.854799759981393</v>
      </c>
      <c r="G13" s="7">
        <f t="shared" si="3"/>
        <v>3570.9543742183469</v>
      </c>
      <c r="I13" s="1"/>
    </row>
    <row r="14" spans="1:11" x14ac:dyDescent="0.2">
      <c r="A14" s="5">
        <f t="shared" si="4"/>
        <v>12</v>
      </c>
      <c r="B14" s="7">
        <f t="shared" si="0"/>
        <v>137.16935903140043</v>
      </c>
      <c r="C14" s="7">
        <f t="shared" si="5"/>
        <v>3000</v>
      </c>
      <c r="D14" s="7">
        <f>$J$6*((1/$J$3)-(A14/((1+$J$3)^A14-1)))</f>
        <v>492.19015950043052</v>
      </c>
      <c r="E14" s="7">
        <f t="shared" si="1"/>
        <v>343.36838202925179</v>
      </c>
      <c r="F14" s="7">
        <f t="shared" si="2"/>
        <v>21.572259389171727</v>
      </c>
      <c r="G14" s="7">
        <f t="shared" si="3"/>
        <v>3607.787259142659</v>
      </c>
    </row>
    <row r="15" spans="1:11" x14ac:dyDescent="0.2">
      <c r="A15" s="5">
        <f t="shared" si="4"/>
        <v>13</v>
      </c>
      <c r="B15" s="7">
        <f t="shared" si="0"/>
        <v>129.42535790971596</v>
      </c>
      <c r="C15" s="7">
        <f t="shared" si="5"/>
        <v>3000</v>
      </c>
      <c r="D15" s="7">
        <f>$J$6*((1/$J$3)-(A15/((1+$J$3)^A15-1)))</f>
        <v>532.15010563908152</v>
      </c>
      <c r="E15" s="7">
        <f t="shared" si="1"/>
        <v>309.03154382632664</v>
      </c>
      <c r="F15" s="7">
        <f t="shared" si="2"/>
        <v>17.446612267679431</v>
      </c>
      <c r="G15" s="7">
        <f t="shared" si="3"/>
        <v>3644.1288512811179</v>
      </c>
    </row>
    <row r="16" spans="1:11" x14ac:dyDescent="0.2">
      <c r="A16" s="5">
        <f t="shared" si="4"/>
        <v>14</v>
      </c>
      <c r="B16" s="7">
        <f t="shared" si="0"/>
        <v>122.82156240073562</v>
      </c>
      <c r="C16" s="7">
        <f t="shared" si="5"/>
        <v>3000</v>
      </c>
      <c r="D16" s="7">
        <f>$J$6*((1/$J$3)-(A16/((1+$J$3)^A16-1)))</f>
        <v>571.32885519671288</v>
      </c>
      <c r="E16" s="7">
        <f t="shared" si="1"/>
        <v>278.12838944369395</v>
      </c>
      <c r="F16" s="7">
        <f t="shared" si="2"/>
        <v>14.191214448172023</v>
      </c>
      <c r="G16" s="7">
        <f t="shared" si="3"/>
        <v>3679.9592031492766</v>
      </c>
    </row>
    <row r="17" spans="1:7" x14ac:dyDescent="0.2">
      <c r="A17" s="5">
        <f t="shared" si="4"/>
        <v>15</v>
      </c>
      <c r="B17" s="7">
        <f t="shared" si="0"/>
        <v>117.12973023134398</v>
      </c>
      <c r="C17" s="7">
        <f t="shared" si="5"/>
        <v>3000</v>
      </c>
      <c r="D17" s="7">
        <f>$J$6*((1/$J$3)-(A17/((1+$J$3)^A17-1)))</f>
        <v>609.73137172266934</v>
      </c>
      <c r="E17" s="7">
        <f t="shared" si="1"/>
        <v>250.31555049932456</v>
      </c>
      <c r="F17" s="7">
        <f t="shared" si="2"/>
        <v>11.600195234306032</v>
      </c>
      <c r="G17" s="7">
        <f t="shared" si="3"/>
        <v>3715.2609067197077</v>
      </c>
    </row>
    <row r="18" spans="1:7" x14ac:dyDescent="0.2">
      <c r="A18" s="5">
        <f t="shared" si="4"/>
        <v>16</v>
      </c>
      <c r="B18" s="7">
        <f t="shared" si="0"/>
        <v>112.17866731301861</v>
      </c>
      <c r="C18" s="7">
        <f t="shared" si="5"/>
        <v>3000</v>
      </c>
      <c r="D18" s="7">
        <f>$J$6*((1/$J$3)-(A18/((1+$J$3)^A18-1)))</f>
        <v>647.36294471533688</v>
      </c>
      <c r="E18" s="7">
        <f t="shared" si="1"/>
        <v>225.28399544939214</v>
      </c>
      <c r="F18" s="7">
        <f t="shared" si="2"/>
        <v>9.5227337564821664</v>
      </c>
      <c r="G18" s="7">
        <f t="shared" si="3"/>
        <v>3750.0188782718733</v>
      </c>
    </row>
    <row r="19" spans="1:7" x14ac:dyDescent="0.2">
      <c r="A19" s="5">
        <f t="shared" si="4"/>
        <v>17</v>
      </c>
      <c r="B19" s="7">
        <f t="shared" si="0"/>
        <v>107.8374491674453</v>
      </c>
      <c r="C19" s="7">
        <f t="shared" si="5"/>
        <v>3000</v>
      </c>
      <c r="D19" s="7">
        <f>$J$6*((1/$J$3)-(A19/((1+$J$3)^A19-1)))</f>
        <v>684.22918113627327</v>
      </c>
      <c r="E19" s="7">
        <f t="shared" si="1"/>
        <v>202.75559590445295</v>
      </c>
      <c r="F19" s="7">
        <f t="shared" si="2"/>
        <v>7.8464675427177957</v>
      </c>
      <c r="G19" s="7">
        <f t="shared" si="3"/>
        <v>3784.2201627610011</v>
      </c>
    </row>
    <row r="20" spans="1:7" x14ac:dyDescent="0.2">
      <c r="A20" s="5">
        <f t="shared" si="4"/>
        <v>18</v>
      </c>
      <c r="B20" s="7">
        <f t="shared" si="0"/>
        <v>104.00423522494607</v>
      </c>
      <c r="C20" s="7">
        <f t="shared" si="5"/>
        <v>3000</v>
      </c>
      <c r="D20" s="7">
        <f>$J$6*((1/$J$3)-(A20/((1+$J$3)^A20-1)))</f>
        <v>720.3359964895036</v>
      </c>
      <c r="E20" s="7">
        <f t="shared" si="1"/>
        <v>182.48003631400763</v>
      </c>
      <c r="F20" s="7">
        <f t="shared" si="2"/>
        <v>6.4864759397312186</v>
      </c>
      <c r="G20" s="7">
        <f t="shared" si="3"/>
        <v>3817.8537557747186</v>
      </c>
    </row>
    <row r="21" spans="1:7" x14ac:dyDescent="0.2">
      <c r="A21" s="5">
        <f t="shared" si="4"/>
        <v>19</v>
      </c>
      <c r="B21" s="7">
        <f t="shared" si="0"/>
        <v>100.59861546275859</v>
      </c>
      <c r="C21" s="7">
        <f t="shared" si="5"/>
        <v>3000</v>
      </c>
      <c r="D21" s="7">
        <f>$J$6*((1/$J$3)-(A21/((1+$J$3)^A21-1)))</f>
        <v>755.68960549326323</v>
      </c>
      <c r="E21" s="7">
        <f t="shared" si="1"/>
        <v>164.2320326826069</v>
      </c>
      <c r="F21" s="7">
        <f t="shared" si="2"/>
        <v>5.377779615208893</v>
      </c>
      <c r="G21" s="7">
        <f t="shared" si="3"/>
        <v>3850.9104413408127</v>
      </c>
    </row>
    <row r="22" spans="1:7" x14ac:dyDescent="0.2">
      <c r="A22" s="5">
        <f t="shared" si="4"/>
        <v>20</v>
      </c>
      <c r="B22" s="7">
        <f t="shared" si="0"/>
        <v>97.556253063363272</v>
      </c>
      <c r="C22" s="7">
        <f t="shared" si="5"/>
        <v>3000</v>
      </c>
      <c r="D22" s="7">
        <f>$J$6*((1/$J$3)-(A22/((1+$J$3)^A22-1)))</f>
        <v>790.29651237234759</v>
      </c>
      <c r="E22" s="7">
        <f t="shared" si="1"/>
        <v>147.80882941434621</v>
      </c>
      <c r="F22" s="7">
        <f t="shared" si="2"/>
        <v>4.4701214111173844</v>
      </c>
      <c r="G22" s="7">
        <f t="shared" si="3"/>
        <v>3883.3826440245934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C96B-B86D-F648-82BE-5A208E9F21F7}">
  <dimension ref="B1:U26"/>
  <sheetViews>
    <sheetView workbookViewId="0">
      <selection activeCell="I2" sqref="I2"/>
    </sheetView>
  </sheetViews>
  <sheetFormatPr baseColWidth="10" defaultRowHeight="16" x14ac:dyDescent="0.2"/>
  <cols>
    <col min="4" max="4" width="11.5" bestFit="1" customWidth="1"/>
    <col min="6" max="6" width="11.83203125" bestFit="1" customWidth="1"/>
    <col min="7" max="7" width="10.33203125" bestFit="1" customWidth="1"/>
    <col min="8" max="9" width="10.33203125" customWidth="1"/>
    <col min="11" max="11" width="13" bestFit="1" customWidth="1"/>
    <col min="14" max="14" width="11.83203125" bestFit="1" customWidth="1"/>
  </cols>
  <sheetData>
    <row r="1" spans="2:21" x14ac:dyDescent="0.2">
      <c r="B1" s="16"/>
      <c r="C1" s="3" t="s">
        <v>30</v>
      </c>
      <c r="D1" s="3"/>
      <c r="E1" s="3"/>
      <c r="F1" s="17" t="s">
        <v>43</v>
      </c>
      <c r="G1" s="18"/>
      <c r="H1" s="19"/>
      <c r="I1" s="3" t="s">
        <v>52</v>
      </c>
      <c r="J1" s="3"/>
      <c r="K1" s="3"/>
      <c r="L1" s="3" t="s">
        <v>38</v>
      </c>
      <c r="M1" s="3"/>
      <c r="N1" s="3" t="s">
        <v>41</v>
      </c>
      <c r="O1" s="3"/>
    </row>
    <row r="2" spans="2:21" x14ac:dyDescent="0.2">
      <c r="B2" s="5" t="s">
        <v>0</v>
      </c>
      <c r="C2" s="5" t="s">
        <v>32</v>
      </c>
      <c r="D2" s="5" t="s">
        <v>31</v>
      </c>
      <c r="E2" s="5" t="s">
        <v>33</v>
      </c>
      <c r="F2" s="5" t="s">
        <v>42</v>
      </c>
      <c r="G2" s="5" t="s">
        <v>44</v>
      </c>
      <c r="H2" s="5" t="s">
        <v>45</v>
      </c>
      <c r="I2" s="5" t="s">
        <v>41</v>
      </c>
      <c r="J2" s="5" t="s">
        <v>34</v>
      </c>
      <c r="K2" s="5" t="s">
        <v>35</v>
      </c>
      <c r="L2" s="5" t="s">
        <v>36</v>
      </c>
      <c r="M2" s="5" t="s">
        <v>37</v>
      </c>
      <c r="N2" s="5" t="s">
        <v>39</v>
      </c>
      <c r="O2" s="5" t="s">
        <v>40</v>
      </c>
      <c r="R2" s="2" t="s">
        <v>7</v>
      </c>
      <c r="S2" s="37">
        <v>2.4500000000000001E-2</v>
      </c>
      <c r="T2" t="s">
        <v>8</v>
      </c>
      <c r="U2" s="34" t="s">
        <v>50</v>
      </c>
    </row>
    <row r="3" spans="2:21" ht="17" thickBot="1" x14ac:dyDescent="0.25">
      <c r="B3" s="5">
        <v>1</v>
      </c>
      <c r="C3" s="20">
        <v>28000</v>
      </c>
      <c r="D3" s="20">
        <v>48000</v>
      </c>
      <c r="E3" s="21">
        <f>AVERAGE(C3:D3)</f>
        <v>38000</v>
      </c>
      <c r="F3" s="22">
        <v>0.2</v>
      </c>
      <c r="G3" s="22">
        <v>0.13</v>
      </c>
      <c r="H3" s="22">
        <v>0.09</v>
      </c>
      <c r="I3" s="23">
        <f>(H3+G3+F3)*E3</f>
        <v>15960.000000000002</v>
      </c>
      <c r="J3" s="25">
        <f>PV($S$2,B3,,-I3)</f>
        <v>15578.330893118597</v>
      </c>
      <c r="K3" s="25">
        <f>J3</f>
        <v>15578.330893118597</v>
      </c>
      <c r="L3" s="26">
        <v>28000</v>
      </c>
      <c r="M3" s="25">
        <f>PV($S$2,B3,,-L3)</f>
        <v>27330.405075646657</v>
      </c>
      <c r="N3" s="27">
        <f>$S$3+K3-M3</f>
        <v>28247.92581747194</v>
      </c>
      <c r="O3" s="25">
        <f>PMT($S$2,B3,-N3)</f>
        <v>28940.000000000007</v>
      </c>
      <c r="R3" s="2" t="s">
        <v>4</v>
      </c>
      <c r="S3" s="36">
        <v>40000</v>
      </c>
      <c r="T3" t="s">
        <v>51</v>
      </c>
    </row>
    <row r="4" spans="2:21" ht="18" thickTop="1" thickBot="1" x14ac:dyDescent="0.25">
      <c r="B4" s="5">
        <v>2</v>
      </c>
      <c r="C4" s="20">
        <v>25900</v>
      </c>
      <c r="D4" s="20">
        <v>44400</v>
      </c>
      <c r="E4" s="21">
        <f t="shared" ref="E4:E12" si="0">AVERAGE(C4:D4)</f>
        <v>35150</v>
      </c>
      <c r="F4" s="22">
        <v>0.24</v>
      </c>
      <c r="G4" s="22">
        <v>0.14000000000000001</v>
      </c>
      <c r="H4" s="22">
        <v>0.1</v>
      </c>
      <c r="I4" s="23">
        <f t="shared" ref="I4:I12" si="1">(H4+G4+F4)*E4</f>
        <v>16872</v>
      </c>
      <c r="J4" s="25">
        <f t="shared" ref="J4:J12" si="2">PV($S$2,B4,,-I4)</f>
        <v>16074.691293185193</v>
      </c>
      <c r="K4" s="25">
        <f>J4+K3</f>
        <v>31653.022186303788</v>
      </c>
      <c r="L4" s="26">
        <v>27000</v>
      </c>
      <c r="M4" s="25">
        <f>PV($S$2,B4,,-L4)</f>
        <v>25724.079238738752</v>
      </c>
      <c r="N4" s="27">
        <f t="shared" ref="N4:N12" si="3">$S$3+K4-M4</f>
        <v>45928.94294756504</v>
      </c>
      <c r="O4" s="25">
        <f>PMT($S$2,B4,-N4)</f>
        <v>23811.820202519142</v>
      </c>
    </row>
    <row r="5" spans="2:21" ht="18" thickTop="1" thickBot="1" x14ac:dyDescent="0.25">
      <c r="B5" s="5">
        <v>3</v>
      </c>
      <c r="C5" s="20">
        <v>25200</v>
      </c>
      <c r="D5" s="20">
        <v>43200</v>
      </c>
      <c r="E5" s="21">
        <f t="shared" si="0"/>
        <v>34200</v>
      </c>
      <c r="F5" s="22">
        <v>0.28000000000000003</v>
      </c>
      <c r="G5" s="22">
        <v>0.16</v>
      </c>
      <c r="H5" s="22">
        <v>0.11</v>
      </c>
      <c r="I5" s="23">
        <f t="shared" si="1"/>
        <v>18810</v>
      </c>
      <c r="J5" s="25">
        <f t="shared" si="2"/>
        <v>17492.541275081825</v>
      </c>
      <c r="K5" s="25">
        <f t="shared" ref="K5:K12" si="4">J5+K4</f>
        <v>49145.563461385609</v>
      </c>
      <c r="L5" s="26">
        <v>26000</v>
      </c>
      <c r="M5" s="25">
        <f>PV($S$2,B5,,-L5)</f>
        <v>24178.951257423047</v>
      </c>
      <c r="N5" s="27">
        <f t="shared" si="3"/>
        <v>64966.612203962562</v>
      </c>
      <c r="O5" s="25">
        <f>PMT($S$2,B5,-N5)</f>
        <v>22725.219268629902</v>
      </c>
      <c r="R5" s="2" t="s">
        <v>20</v>
      </c>
      <c r="S5" s="35">
        <f>MIN(O3:O12)</f>
        <v>22353.065843184861</v>
      </c>
    </row>
    <row r="6" spans="2:21" ht="18" thickTop="1" thickBot="1" x14ac:dyDescent="0.25">
      <c r="B6" s="8">
        <v>4</v>
      </c>
      <c r="C6" s="29">
        <v>22400</v>
      </c>
      <c r="D6" s="29">
        <v>38400</v>
      </c>
      <c r="E6" s="30">
        <f t="shared" si="0"/>
        <v>30400</v>
      </c>
      <c r="F6" s="31">
        <v>0.32</v>
      </c>
      <c r="G6" s="31">
        <v>0.17</v>
      </c>
      <c r="H6" s="31">
        <v>0.12</v>
      </c>
      <c r="I6" s="24">
        <f t="shared" si="1"/>
        <v>18544.000000000004</v>
      </c>
      <c r="J6" s="32">
        <f t="shared" si="2"/>
        <v>16832.769160102602</v>
      </c>
      <c r="K6" s="32">
        <f t="shared" si="4"/>
        <v>65978.332621488211</v>
      </c>
      <c r="L6" s="33">
        <v>24000</v>
      </c>
      <c r="M6" s="32">
        <f>PV($S$2,B6,,-L6)</f>
        <v>21785.29226933037</v>
      </c>
      <c r="N6" s="28">
        <f t="shared" si="3"/>
        <v>84193.040352157841</v>
      </c>
      <c r="O6" s="32">
        <f>PMT($S$2,B6,-N6)</f>
        <v>22353.065843184861</v>
      </c>
    </row>
    <row r="7" spans="2:21" ht="18" thickTop="1" thickBot="1" x14ac:dyDescent="0.25">
      <c r="B7" s="5">
        <v>5</v>
      </c>
      <c r="C7" s="20">
        <v>21700</v>
      </c>
      <c r="D7" s="20">
        <v>37200</v>
      </c>
      <c r="E7" s="21">
        <f t="shared" si="0"/>
        <v>29450</v>
      </c>
      <c r="F7" s="22">
        <v>0.36</v>
      </c>
      <c r="G7" s="22">
        <v>0.19</v>
      </c>
      <c r="H7" s="22">
        <v>0.13</v>
      </c>
      <c r="I7" s="23">
        <f t="shared" si="1"/>
        <v>20025.999999999996</v>
      </c>
      <c r="J7" s="25">
        <f t="shared" si="2"/>
        <v>17743.300105157392</v>
      </c>
      <c r="K7" s="25">
        <f t="shared" si="4"/>
        <v>83721.632726645606</v>
      </c>
      <c r="L7" s="26">
        <v>21000</v>
      </c>
      <c r="M7" s="25">
        <f>PV($S$2,B7,,-L7)</f>
        <v>18606.276950379772</v>
      </c>
      <c r="N7" s="27">
        <f t="shared" si="3"/>
        <v>105115.35577626583</v>
      </c>
      <c r="O7" s="25">
        <f>PMT($S$2,B7,-N7)</f>
        <v>22593.194544986698</v>
      </c>
    </row>
    <row r="8" spans="2:21" ht="18" thickTop="1" thickBot="1" x14ac:dyDescent="0.25">
      <c r="B8" s="5">
        <v>6</v>
      </c>
      <c r="C8" s="20">
        <v>21000</v>
      </c>
      <c r="D8" s="20">
        <v>36000</v>
      </c>
      <c r="E8" s="21">
        <f t="shared" si="0"/>
        <v>28500</v>
      </c>
      <c r="F8" s="22">
        <v>0.4</v>
      </c>
      <c r="G8" s="22">
        <v>0.21</v>
      </c>
      <c r="H8" s="22">
        <v>0.14000000000000001</v>
      </c>
      <c r="I8" s="23">
        <f t="shared" si="1"/>
        <v>21375</v>
      </c>
      <c r="J8" s="25">
        <f t="shared" si="2"/>
        <v>18485.633866200362</v>
      </c>
      <c r="K8" s="25">
        <f t="shared" si="4"/>
        <v>102207.26659284596</v>
      </c>
      <c r="L8" s="26">
        <v>17000</v>
      </c>
      <c r="M8" s="25">
        <f>PV($S$2,B8,,-L8)</f>
        <v>14702.024595340637</v>
      </c>
      <c r="N8" s="27">
        <f t="shared" si="3"/>
        <v>127505.24199750532</v>
      </c>
      <c r="O8" s="25">
        <f>PMT($S$2,B8,-N8)</f>
        <v>23109.878889166328</v>
      </c>
      <c r="R8" t="s">
        <v>49</v>
      </c>
    </row>
    <row r="9" spans="2:21" ht="18" thickTop="1" thickBot="1" x14ac:dyDescent="0.25">
      <c r="B9" s="5">
        <v>7</v>
      </c>
      <c r="C9" s="20">
        <v>21000</v>
      </c>
      <c r="D9" s="20">
        <v>26000</v>
      </c>
      <c r="E9" s="21">
        <f t="shared" si="0"/>
        <v>23500</v>
      </c>
      <c r="F9" s="22">
        <v>0.44</v>
      </c>
      <c r="G9" s="22">
        <v>0.23</v>
      </c>
      <c r="H9" s="22">
        <v>0.16</v>
      </c>
      <c r="I9" s="23">
        <f t="shared" si="1"/>
        <v>19505</v>
      </c>
      <c r="J9" s="25">
        <f t="shared" si="2"/>
        <v>16465.018214458654</v>
      </c>
      <c r="K9" s="25">
        <f t="shared" si="4"/>
        <v>118672.28480730462</v>
      </c>
      <c r="L9" s="26">
        <v>16000</v>
      </c>
      <c r="M9" s="25">
        <f>PV($S$2,B9,,-L9)</f>
        <v>13506.295382278311</v>
      </c>
      <c r="N9" s="27">
        <f t="shared" si="3"/>
        <v>145165.98942502632</v>
      </c>
      <c r="O9" s="25">
        <f>PMT($S$2,B9,-N9)</f>
        <v>22819.490107292702</v>
      </c>
    </row>
    <row r="10" spans="2:21" ht="18" thickTop="1" thickBot="1" x14ac:dyDescent="0.25">
      <c r="B10" s="5">
        <v>8</v>
      </c>
      <c r="C10" s="20">
        <v>20300</v>
      </c>
      <c r="D10" s="20">
        <v>34800</v>
      </c>
      <c r="E10" s="21">
        <f t="shared" si="0"/>
        <v>27550</v>
      </c>
      <c r="F10" s="22">
        <v>0.48</v>
      </c>
      <c r="G10" s="22">
        <v>0.26</v>
      </c>
      <c r="H10" s="22">
        <v>0.18</v>
      </c>
      <c r="I10" s="23">
        <f t="shared" si="1"/>
        <v>25345.999999999996</v>
      </c>
      <c r="J10" s="25">
        <f t="shared" si="2"/>
        <v>20884.00212049939</v>
      </c>
      <c r="K10" s="25">
        <f t="shared" si="4"/>
        <v>139556.286927804</v>
      </c>
      <c r="L10" s="26">
        <v>15000</v>
      </c>
      <c r="M10" s="25">
        <f>PV($S$2,B10,,-L10)</f>
        <v>12359.347897399626</v>
      </c>
      <c r="N10" s="27">
        <f t="shared" si="3"/>
        <v>167196.93903040438</v>
      </c>
      <c r="O10" s="25">
        <f>PMT($S$2,B10,-N10)</f>
        <v>23268.826299824144</v>
      </c>
    </row>
    <row r="11" spans="2:21" ht="18" thickTop="1" thickBot="1" x14ac:dyDescent="0.25">
      <c r="B11" s="5">
        <v>9</v>
      </c>
      <c r="C11" s="20">
        <v>20300</v>
      </c>
      <c r="D11" s="20">
        <v>34800</v>
      </c>
      <c r="E11" s="21">
        <f t="shared" si="0"/>
        <v>27550</v>
      </c>
      <c r="F11" s="22">
        <v>0.52</v>
      </c>
      <c r="G11" s="22">
        <v>0.26</v>
      </c>
      <c r="H11" s="22">
        <v>0.18</v>
      </c>
      <c r="I11" s="23">
        <f t="shared" si="1"/>
        <v>26448</v>
      </c>
      <c r="J11" s="25">
        <f t="shared" si="2"/>
        <v>21270.865995797969</v>
      </c>
      <c r="K11" s="25">
        <f t="shared" si="4"/>
        <v>160827.15292360197</v>
      </c>
      <c r="L11" s="26">
        <v>15000</v>
      </c>
      <c r="M11" s="25">
        <f>PV($S$2,B11,,-L11)</f>
        <v>12063.785160956199</v>
      </c>
      <c r="N11" s="27">
        <f t="shared" si="3"/>
        <v>188763.36776264576</v>
      </c>
      <c r="O11" s="25">
        <f>PMT($S$2,B11,-N11)</f>
        <v>23625.838521871661</v>
      </c>
    </row>
    <row r="12" spans="2:21" ht="18" thickTop="1" thickBot="1" x14ac:dyDescent="0.25">
      <c r="B12" s="5">
        <v>10</v>
      </c>
      <c r="C12" s="20">
        <v>20300</v>
      </c>
      <c r="D12" s="20">
        <v>34800</v>
      </c>
      <c r="E12" s="21">
        <f t="shared" si="0"/>
        <v>27550</v>
      </c>
      <c r="F12" s="22">
        <v>0.56000000000000005</v>
      </c>
      <c r="G12" s="22">
        <v>0.26</v>
      </c>
      <c r="H12" s="22">
        <v>0.18</v>
      </c>
      <c r="I12" s="23">
        <f t="shared" si="1"/>
        <v>27550</v>
      </c>
      <c r="J12" s="25">
        <f t="shared" si="2"/>
        <v>21627.283630020716</v>
      </c>
      <c r="K12" s="25">
        <f t="shared" si="4"/>
        <v>182454.43655362268</v>
      </c>
      <c r="L12" s="26">
        <v>15000</v>
      </c>
      <c r="M12" s="25">
        <f>PV($S$2,B12,,-L12)</f>
        <v>11775.290542661007</v>
      </c>
      <c r="N12" s="27">
        <f t="shared" si="3"/>
        <v>210679.14601096167</v>
      </c>
      <c r="O12" s="25">
        <f>PMT($S$2,B12,-N12)</f>
        <v>24009.786674833791</v>
      </c>
    </row>
    <row r="13" spans="2:21" ht="17" thickTop="1" x14ac:dyDescent="0.2"/>
    <row r="15" spans="2:21" x14ac:dyDescent="0.2">
      <c r="B15" s="5" t="s">
        <v>0</v>
      </c>
      <c r="C15" s="5" t="s">
        <v>46</v>
      </c>
      <c r="D15" s="5" t="s">
        <v>47</v>
      </c>
      <c r="E15" s="5" t="s">
        <v>48</v>
      </c>
    </row>
    <row r="16" spans="2:21" ht="17" thickBot="1" x14ac:dyDescent="0.25">
      <c r="B16" s="5">
        <v>1</v>
      </c>
      <c r="C16" s="27">
        <f>D16+E16</f>
        <v>28940.000000000007</v>
      </c>
      <c r="D16" s="25">
        <f>PMT($S$2,B16,-($S$3-M3))</f>
        <v>12980.000000000002</v>
      </c>
      <c r="E16" s="25">
        <f>PMT($S$2,B16,-K3)</f>
        <v>15960.000000000005</v>
      </c>
      <c r="F16" s="1"/>
    </row>
    <row r="17" spans="2:5" ht="18" thickTop="1" thickBot="1" x14ac:dyDescent="0.25">
      <c r="B17" s="5">
        <f>B16+1</f>
        <v>2</v>
      </c>
      <c r="C17" s="27">
        <f t="shared" ref="C17:C25" si="5">D17+E17</f>
        <v>23811.820202519139</v>
      </c>
      <c r="D17" s="25">
        <f t="shared" ref="D17:D25" si="6">PMT($S$2,B17,-($S$3-M4))</f>
        <v>7401.3386021239794</v>
      </c>
      <c r="E17" s="25">
        <f t="shared" ref="E17:E25" si="7">PMT($S$2,B17,-K4)</f>
        <v>16410.48160039516</v>
      </c>
    </row>
    <row r="18" spans="2:5" ht="18" thickTop="1" thickBot="1" x14ac:dyDescent="0.25">
      <c r="B18" s="5">
        <f t="shared" ref="B18:B27" si="8">B17+1</f>
        <v>3</v>
      </c>
      <c r="C18" s="27">
        <f t="shared" si="5"/>
        <v>22725.219268629899</v>
      </c>
      <c r="D18" s="25">
        <f t="shared" si="6"/>
        <v>5534.1780883691072</v>
      </c>
      <c r="E18" s="25">
        <f t="shared" si="7"/>
        <v>17191.041180260792</v>
      </c>
    </row>
    <row r="19" spans="2:5" ht="18" thickTop="1" thickBot="1" x14ac:dyDescent="0.25">
      <c r="B19" s="5">
        <f t="shared" si="8"/>
        <v>4</v>
      </c>
      <c r="C19" s="27">
        <f t="shared" si="5"/>
        <v>22353.065843184864</v>
      </c>
      <c r="D19" s="25">
        <f t="shared" si="6"/>
        <v>4835.9645822861803</v>
      </c>
      <c r="E19" s="25">
        <f t="shared" si="7"/>
        <v>17517.101260898682</v>
      </c>
    </row>
    <row r="20" spans="2:5" ht="18" thickTop="1" thickBot="1" x14ac:dyDescent="0.25">
      <c r="B20" s="5">
        <f t="shared" si="8"/>
        <v>5</v>
      </c>
      <c r="C20" s="27">
        <f t="shared" si="5"/>
        <v>22593.194544986702</v>
      </c>
      <c r="D20" s="25">
        <f t="shared" si="6"/>
        <v>4598.3057692392167</v>
      </c>
      <c r="E20" s="25">
        <f t="shared" si="7"/>
        <v>17994.888775747484</v>
      </c>
    </row>
    <row r="21" spans="2:5" ht="18" thickTop="1" thickBot="1" x14ac:dyDescent="0.25">
      <c r="B21" s="5">
        <f t="shared" si="8"/>
        <v>6</v>
      </c>
      <c r="C21" s="27">
        <f t="shared" si="5"/>
        <v>23109.878889166332</v>
      </c>
      <c r="D21" s="25">
        <f t="shared" si="6"/>
        <v>4585.1695082012784</v>
      </c>
      <c r="E21" s="25">
        <f t="shared" si="7"/>
        <v>18524.709380965054</v>
      </c>
    </row>
    <row r="22" spans="2:5" ht="18" thickTop="1" thickBot="1" x14ac:dyDescent="0.25">
      <c r="B22" s="5">
        <f t="shared" si="8"/>
        <v>7</v>
      </c>
      <c r="C22" s="27">
        <f t="shared" si="5"/>
        <v>22819.490107292702</v>
      </c>
      <c r="D22" s="25">
        <f t="shared" si="6"/>
        <v>4164.7002360830393</v>
      </c>
      <c r="E22" s="25">
        <f t="shared" si="7"/>
        <v>18654.789871209661</v>
      </c>
    </row>
    <row r="23" spans="2:5" ht="18" thickTop="1" thickBot="1" x14ac:dyDescent="0.25">
      <c r="B23" s="5">
        <f t="shared" si="8"/>
        <v>8</v>
      </c>
      <c r="C23" s="27">
        <f t="shared" si="5"/>
        <v>23268.826299824144</v>
      </c>
      <c r="D23" s="25">
        <f t="shared" si="6"/>
        <v>3846.7542307836093</v>
      </c>
      <c r="E23" s="25">
        <f t="shared" si="7"/>
        <v>19422.072069040536</v>
      </c>
    </row>
    <row r="24" spans="2:5" ht="18" thickTop="1" thickBot="1" x14ac:dyDescent="0.25">
      <c r="B24" s="5">
        <f t="shared" si="8"/>
        <v>9</v>
      </c>
      <c r="C24" s="27">
        <f t="shared" si="5"/>
        <v>23625.838521871661</v>
      </c>
      <c r="D24" s="25">
        <f t="shared" si="6"/>
        <v>3496.5285294627693</v>
      </c>
      <c r="E24" s="25">
        <f t="shared" si="7"/>
        <v>20129.309992408893</v>
      </c>
    </row>
    <row r="25" spans="2:5" ht="18" thickTop="1" thickBot="1" x14ac:dyDescent="0.25">
      <c r="B25" s="5">
        <f t="shared" si="8"/>
        <v>10</v>
      </c>
      <c r="C25" s="27">
        <f t="shared" si="5"/>
        <v>24009.786674833787</v>
      </c>
      <c r="D25" s="25">
        <f t="shared" si="6"/>
        <v>3216.5938863005154</v>
      </c>
      <c r="E25" s="25">
        <f t="shared" si="7"/>
        <v>20793.192788533273</v>
      </c>
    </row>
    <row r="26" spans="2:5" ht="17" thickTop="1" x14ac:dyDescent="0.2"/>
  </sheetData>
  <mergeCells count="5">
    <mergeCell ref="L1:M1"/>
    <mergeCell ref="N1:O1"/>
    <mergeCell ref="I1:K1"/>
    <mergeCell ref="C1:E1"/>
    <mergeCell ref="F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Forklift</vt:lpstr>
      <vt:lpstr>2 year old lift</vt:lpstr>
      <vt:lpstr>20 year old lift</vt:lpstr>
      <vt:lpstr>Isuzu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2020-10-05T19:53:56Z</dcterms:created>
  <dcterms:modified xsi:type="dcterms:W3CDTF">2020-10-06T07:32:27Z</dcterms:modified>
</cp:coreProperties>
</file>