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illmore/Desktop/Engineering Economics/ECON 180 Fall 2021/Lectures/Lecture 13/"/>
    </mc:Choice>
  </mc:AlternateContent>
  <xr:revisionPtr revIDLastSave="0" documentId="13_ncr:1_{4A193C51-5626-644B-9BFC-2C298803C26A}" xr6:coauthVersionLast="47" xr6:coauthVersionMax="47" xr10:uidLastSave="{00000000-0000-0000-0000-000000000000}"/>
  <bookViews>
    <workbookView xWindow="11980" yWindow="5900" windowWidth="33580" windowHeight="20560" activeTab="1" xr2:uid="{C9DB80EF-0588-DF44-AC74-EBB9D31ABD04}"/>
  </bookViews>
  <sheets>
    <sheet name="Checking M" sheetId="1" r:id="rId1"/>
    <sheet name="EAC Calcula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L15" i="2"/>
  <c r="L3" i="2"/>
  <c r="S5" i="2"/>
  <c r="S6" i="2"/>
  <c r="S7" i="2"/>
  <c r="S8" i="2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4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3" i="2"/>
  <c r="O2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3" i="2"/>
  <c r="P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3" i="2"/>
  <c r="L4" i="2"/>
  <c r="L5" i="2"/>
  <c r="L6" i="2"/>
  <c r="L7" i="2"/>
  <c r="L8" i="2"/>
  <c r="L9" i="2"/>
  <c r="L10" i="2"/>
  <c r="L11" i="2"/>
  <c r="L12" i="2"/>
  <c r="L13" i="2"/>
  <c r="L14" i="2"/>
  <c r="L16" i="2"/>
  <c r="L17" i="2"/>
  <c r="L18" i="2"/>
  <c r="L19" i="2"/>
  <c r="L20" i="2"/>
  <c r="L21" i="2"/>
  <c r="L22" i="2"/>
  <c r="L23" i="2"/>
  <c r="L24" i="2"/>
  <c r="L25" i="2"/>
  <c r="L26" i="2"/>
  <c r="L2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3" i="2"/>
  <c r="J12" i="2"/>
  <c r="J4" i="2"/>
  <c r="J5" i="2"/>
  <c r="J6" i="2"/>
  <c r="J7" i="2"/>
  <c r="J8" i="2"/>
  <c r="J9" i="2"/>
  <c r="J10" i="2"/>
  <c r="J3" i="2"/>
  <c r="B7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I5" i="2"/>
  <c r="I6" i="2"/>
  <c r="I7" i="2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3" i="2"/>
  <c r="G14" i="2"/>
  <c r="G4" i="2"/>
  <c r="G5" i="2"/>
  <c r="G6" i="2"/>
  <c r="G7" i="2"/>
  <c r="G8" i="2"/>
  <c r="G9" i="2"/>
  <c r="G10" i="2"/>
  <c r="G11" i="2"/>
  <c r="G12" i="2"/>
  <c r="G13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4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R3" i="2" l="1"/>
  <c r="T3" i="2" s="1"/>
  <c r="P4" i="2"/>
  <c r="R4" i="2" l="1"/>
  <c r="T4" i="2" s="1"/>
  <c r="P5" i="2"/>
  <c r="P6" i="2" l="1"/>
  <c r="R5" i="2"/>
  <c r="T5" i="2" s="1"/>
  <c r="P7" i="2" l="1"/>
  <c r="R6" i="2"/>
  <c r="T6" i="2" s="1"/>
  <c r="P8" i="2" l="1"/>
  <c r="R7" i="2"/>
  <c r="T7" i="2" s="1"/>
  <c r="P9" i="2" l="1"/>
  <c r="R8" i="2"/>
  <c r="T8" i="2" s="1"/>
  <c r="P10" i="2" l="1"/>
  <c r="R9" i="2"/>
  <c r="T9" i="2" s="1"/>
  <c r="P11" i="2" l="1"/>
  <c r="R10" i="2"/>
  <c r="T10" i="2" s="1"/>
  <c r="P12" i="2" l="1"/>
  <c r="R11" i="2"/>
  <c r="T11" i="2" s="1"/>
  <c r="P13" i="2" l="1"/>
  <c r="R12" i="2"/>
  <c r="T12" i="2" s="1"/>
  <c r="P14" i="2" l="1"/>
  <c r="R13" i="2"/>
  <c r="T13" i="2" s="1"/>
  <c r="P15" i="2" l="1"/>
  <c r="R14" i="2"/>
  <c r="T14" i="2" s="1"/>
  <c r="P16" i="2" l="1"/>
  <c r="R15" i="2"/>
  <c r="T15" i="2" s="1"/>
  <c r="R16" i="2" l="1"/>
  <c r="T16" i="2" s="1"/>
  <c r="P17" i="2"/>
  <c r="R17" i="2" s="1"/>
  <c r="T17" i="2" s="1"/>
  <c r="P18" i="2" l="1"/>
  <c r="P19" i="2" l="1"/>
  <c r="R18" i="2"/>
  <c r="T18" i="2" s="1"/>
  <c r="P20" i="2" l="1"/>
  <c r="R19" i="2"/>
  <c r="T19" i="2" s="1"/>
  <c r="P21" i="2" l="1"/>
  <c r="R20" i="2"/>
  <c r="T20" i="2" s="1"/>
  <c r="P22" i="2" l="1"/>
  <c r="R21" i="2"/>
  <c r="T21" i="2" s="1"/>
  <c r="P23" i="2" l="1"/>
  <c r="R22" i="2"/>
  <c r="T22" i="2" s="1"/>
  <c r="P24" i="2" l="1"/>
  <c r="R23" i="2"/>
  <c r="T23" i="2" s="1"/>
  <c r="P25" i="2" l="1"/>
  <c r="R24" i="2"/>
  <c r="T24" i="2" s="1"/>
  <c r="P26" i="2" l="1"/>
  <c r="R25" i="2"/>
  <c r="T25" i="2" s="1"/>
  <c r="P27" i="2" l="1"/>
  <c r="R27" i="2" s="1"/>
  <c r="T27" i="2" s="1"/>
  <c r="R26" i="2"/>
  <c r="T26" i="2" s="1"/>
  <c r="W13" i="2" l="1"/>
</calcChain>
</file>

<file path=xl/sharedStrings.xml><?xml version="1.0" encoding="utf-8"?>
<sst xmlns="http://schemas.openxmlformats.org/spreadsheetml/2006/main" count="34" uniqueCount="25">
  <si>
    <t>t</t>
  </si>
  <si>
    <t>Polled M</t>
  </si>
  <si>
    <t>MARR</t>
  </si>
  <si>
    <t>per year</t>
  </si>
  <si>
    <t>P</t>
  </si>
  <si>
    <t>M</t>
  </si>
  <si>
    <t>L</t>
  </si>
  <si>
    <t>G</t>
  </si>
  <si>
    <t>S</t>
  </si>
  <si>
    <t>N</t>
  </si>
  <si>
    <t>W</t>
  </si>
  <si>
    <t>beta</t>
  </si>
  <si>
    <t>gamma</t>
  </si>
  <si>
    <t>d</t>
  </si>
  <si>
    <t>Input Section</t>
  </si>
  <si>
    <t>O&amp;M</t>
  </si>
  <si>
    <t>Costs</t>
  </si>
  <si>
    <t>PV O&amp;M by year</t>
  </si>
  <si>
    <t>Total PV</t>
  </si>
  <si>
    <t>Present Values</t>
  </si>
  <si>
    <t>EAC(N)</t>
  </si>
  <si>
    <t>Annual Worth</t>
  </si>
  <si>
    <t>MIN EAC</t>
  </si>
  <si>
    <t>PV Cum. O&amp;M</t>
  </si>
  <si>
    <t>Useful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</si>
</sst>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5" formatCode="0.000%"/>
    <numFmt numFmtId="169" formatCode="[$₩-412]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</cellStyleXfs>
  <cellXfs count="19">
    <xf numFmtId="0" fontId="0" fillId="0" borderId="0" xfId="0"/>
    <xf numFmtId="0" fontId="0" fillId="0" borderId="2" xfId="0" applyBorder="1" applyAlignment="1">
      <alignment horizontal="center"/>
    </xf>
    <xf numFmtId="0" fontId="4" fillId="4" borderId="1" xfId="5" applyAlignment="1">
      <alignment horizontal="center"/>
    </xf>
    <xf numFmtId="0" fontId="3" fillId="3" borderId="1" xfId="4" applyAlignment="1">
      <alignment horizontal="center"/>
    </xf>
    <xf numFmtId="0" fontId="0" fillId="0" borderId="2" xfId="0" applyBorder="1"/>
    <xf numFmtId="3" fontId="0" fillId="0" borderId="2" xfId="0" applyNumberFormat="1" applyBorder="1"/>
    <xf numFmtId="43" fontId="0" fillId="0" borderId="2" xfId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43" fontId="0" fillId="0" borderId="2" xfId="0" applyNumberFormat="1" applyBorder="1"/>
    <xf numFmtId="0" fontId="0" fillId="0" borderId="2" xfId="0" applyFill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8" fontId="0" fillId="0" borderId="2" xfId="0" applyNumberFormat="1" applyBorder="1"/>
    <xf numFmtId="8" fontId="2" fillId="2" borderId="2" xfId="3" applyNumberFormat="1" applyBorder="1"/>
    <xf numFmtId="0" fontId="0" fillId="0" borderId="3" xfId="0" applyFill="1" applyBorder="1"/>
    <xf numFmtId="0" fontId="2" fillId="2" borderId="3" xfId="3" applyBorder="1"/>
    <xf numFmtId="169" fontId="0" fillId="0" borderId="2" xfId="0" applyNumberFormat="1" applyBorder="1"/>
    <xf numFmtId="10" fontId="0" fillId="0" borderId="2" xfId="0" applyNumberFormat="1" applyBorder="1"/>
    <xf numFmtId="165" fontId="0" fillId="0" borderId="2" xfId="2" applyNumberFormat="1" applyFont="1" applyBorder="1"/>
  </cellXfs>
  <cellStyles count="6">
    <cellStyle name="Calculation" xfId="5" builtinId="22"/>
    <cellStyle name="Comma" xfId="1" builtinId="3"/>
    <cellStyle name="Input" xfId="4" builtinId="20"/>
    <cellStyle name="Neutral" xfId="3" builtinId="2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'Checking M'!$C$2</c:f>
              <c:strCache>
                <c:ptCount val="1"/>
                <c:pt idx="0">
                  <c:v>Polled 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'Checking M'!$B$3:$B$22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'Checking M'!$C$3:$C$22</c:f>
              <c:numCache>
                <c:formatCode>General</c:formatCode>
                <c:ptCount val="20"/>
                <c:pt idx="0">
                  <c:v>1.0952E-2</c:v>
                </c:pt>
                <c:pt idx="1">
                  <c:v>1.2857E-2</c:v>
                </c:pt>
                <c:pt idx="2">
                  <c:v>2.0476000000000001E-2</c:v>
                </c:pt>
                <c:pt idx="3">
                  <c:v>2.5238E-2</c:v>
                </c:pt>
                <c:pt idx="4">
                  <c:v>2.7143E-2</c:v>
                </c:pt>
                <c:pt idx="5">
                  <c:v>3.0952E-2</c:v>
                </c:pt>
                <c:pt idx="6">
                  <c:v>4.0952000000000002E-2</c:v>
                </c:pt>
                <c:pt idx="7">
                  <c:v>4.5713999999999998E-2</c:v>
                </c:pt>
                <c:pt idx="8">
                  <c:v>4.6190000000000002E-2</c:v>
                </c:pt>
                <c:pt idx="9">
                  <c:v>4.9523999999999999E-2</c:v>
                </c:pt>
                <c:pt idx="10">
                  <c:v>5.4286000000000001E-2</c:v>
                </c:pt>
                <c:pt idx="11">
                  <c:v>5.9524000000000001E-2</c:v>
                </c:pt>
                <c:pt idx="12">
                  <c:v>6.3333E-2</c:v>
                </c:pt>
                <c:pt idx="13">
                  <c:v>6.7618999999999999E-2</c:v>
                </c:pt>
                <c:pt idx="14">
                  <c:v>7.0000000000000007E-2</c:v>
                </c:pt>
                <c:pt idx="15">
                  <c:v>7.8571000000000002E-2</c:v>
                </c:pt>
                <c:pt idx="16">
                  <c:v>8.8095000000000007E-2</c:v>
                </c:pt>
                <c:pt idx="17">
                  <c:v>9.5238000000000003E-2</c:v>
                </c:pt>
                <c:pt idx="18">
                  <c:v>0.10381</c:v>
                </c:pt>
                <c:pt idx="19">
                  <c:v>0.112857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9-994E-8FB4-DED4E462F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22207"/>
        <c:axId val="295154191"/>
      </c:scatterChart>
      <c:valAx>
        <c:axId val="29542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4191"/>
        <c:crosses val="autoZero"/>
        <c:crossBetween val="midCat"/>
      </c:valAx>
      <c:valAx>
        <c:axId val="2951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2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'EAC Calculations'!$T$2</c:f>
              <c:strCache>
                <c:ptCount val="1"/>
                <c:pt idx="0">
                  <c:v>EAC(N)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'EAC Calculations'!$S$3:$S$27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'EAC Calculations'!$T$3:$T$27</c:f>
              <c:numCache>
                <c:formatCode>[$₩-412]#,##0.00</c:formatCode>
                <c:ptCount val="25"/>
                <c:pt idx="0">
                  <c:v>124059897.14846234</c:v>
                </c:pt>
                <c:pt idx="1">
                  <c:v>115084987.78511776</c:v>
                </c:pt>
                <c:pt idx="2">
                  <c:v>107966142.99285628</c:v>
                </c:pt>
                <c:pt idx="3">
                  <c:v>102321147.77717857</c:v>
                </c:pt>
                <c:pt idx="4">
                  <c:v>97852546.023377031</c:v>
                </c:pt>
                <c:pt idx="5">
                  <c:v>94328137.803520948</c:v>
                </c:pt>
                <c:pt idx="6">
                  <c:v>91566088.313276559</c:v>
                </c:pt>
                <c:pt idx="7">
                  <c:v>89423537.281446144</c:v>
                </c:pt>
                <c:pt idx="8">
                  <c:v>87787869.243588403</c:v>
                </c:pt>
                <c:pt idx="9">
                  <c:v>86570009.537086129</c:v>
                </c:pt>
                <c:pt idx="10">
                  <c:v>85477382.722258031</c:v>
                </c:pt>
                <c:pt idx="11">
                  <c:v>84775505.889958292</c:v>
                </c:pt>
                <c:pt idx="12">
                  <c:v>84379996.799730241</c:v>
                </c:pt>
                <c:pt idx="13">
                  <c:v>84230913.43769072</c:v>
                </c:pt>
                <c:pt idx="14">
                  <c:v>84284633.730518445</c:v>
                </c:pt>
                <c:pt idx="15">
                  <c:v>84508782.073812127</c:v>
                </c:pt>
                <c:pt idx="16">
                  <c:v>84878948.196729109</c:v>
                </c:pt>
                <c:pt idx="17">
                  <c:v>85376501.436063036</c:v>
                </c:pt>
                <c:pt idx="18">
                  <c:v>85987096.941309512</c:v>
                </c:pt>
                <c:pt idx="19">
                  <c:v>86699631.729256392</c:v>
                </c:pt>
                <c:pt idx="20">
                  <c:v>87505500.733858228</c:v>
                </c:pt>
                <c:pt idx="21">
                  <c:v>88398057.495438084</c:v>
                </c:pt>
                <c:pt idx="22">
                  <c:v>89372217.30651173</c:v>
                </c:pt>
                <c:pt idx="23">
                  <c:v>90424161.365201756</c:v>
                </c:pt>
                <c:pt idx="24">
                  <c:v>91551113.75715214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47-0047-86E7-BECEC133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46735"/>
        <c:axId val="295675839"/>
      </c:scatterChart>
      <c:valAx>
        <c:axId val="29474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5839"/>
        <c:crosses val="autoZero"/>
        <c:crossBetween val="midCat"/>
      </c:valAx>
      <c:valAx>
        <c:axId val="295675839"/>
        <c:scaling>
          <c:orientation val="minMax"/>
          <c:max val="90000000"/>
          <c:min val="8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₩-412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4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34925</xdr:rowOff>
    </xdr:from>
    <xdr:to>
      <xdr:col>8</xdr:col>
      <xdr:colOff>800100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09C15-016E-8A46-8EB8-0A764C4DB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263525</xdr:colOff>
      <xdr:row>13</xdr:row>
      <xdr:rowOff>117475</xdr:rowOff>
    </xdr:from>
    <xdr:to>
      <xdr:col>25</xdr:col>
      <xdr:colOff>441325</xdr:colOff>
      <xdr:row>27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DDFFC-5532-0140-AEC3-99FAA7DD4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16CB-BC37-6547-BEBD-FE9DB69F9B40}">
  <dimension ref="B2:C22"/>
  <sheetViews>
    <sheetView zoomScale="200" zoomScaleNormal="200" workbookViewId="0">
      <selection activeCell="C20" sqref="C20"/>
    </sheetView>
  </sheetViews>
  <sheetFormatPr baseColWidth="10" defaultRowHeight="16" x14ac:dyDescent="0.2"/>
  <sheetData>
    <row r="2" spans="2:3" x14ac:dyDescent="0.2">
      <c r="B2" s="1" t="s">
        <v>0</v>
      </c>
      <c r="C2" s="1" t="s">
        <v>1</v>
      </c>
    </row>
    <row r="3" spans="2:3" x14ac:dyDescent="0.2">
      <c r="B3" s="1">
        <v>1</v>
      </c>
      <c r="C3" s="3">
        <v>1.0952E-2</v>
      </c>
    </row>
    <row r="4" spans="2:3" x14ac:dyDescent="0.2">
      <c r="B4" s="2">
        <f>B3+1</f>
        <v>2</v>
      </c>
      <c r="C4" s="3">
        <v>1.2857E-2</v>
      </c>
    </row>
    <row r="5" spans="2:3" x14ac:dyDescent="0.2">
      <c r="B5" s="2">
        <f>B4+1</f>
        <v>3</v>
      </c>
      <c r="C5" s="3">
        <v>2.0476000000000001E-2</v>
      </c>
    </row>
    <row r="6" spans="2:3" x14ac:dyDescent="0.2">
      <c r="B6" s="2">
        <f t="shared" ref="B6:B22" si="0">B5+1</f>
        <v>4</v>
      </c>
      <c r="C6" s="3">
        <v>2.5238E-2</v>
      </c>
    </row>
    <row r="7" spans="2:3" x14ac:dyDescent="0.2">
      <c r="B7" s="2">
        <f t="shared" si="0"/>
        <v>5</v>
      </c>
      <c r="C7" s="3">
        <v>2.7143E-2</v>
      </c>
    </row>
    <row r="8" spans="2:3" x14ac:dyDescent="0.2">
      <c r="B8" s="2">
        <f t="shared" si="0"/>
        <v>6</v>
      </c>
      <c r="C8" s="3">
        <v>3.0952E-2</v>
      </c>
    </row>
    <row r="9" spans="2:3" x14ac:dyDescent="0.2">
      <c r="B9" s="2">
        <f t="shared" si="0"/>
        <v>7</v>
      </c>
      <c r="C9" s="3">
        <v>4.0952000000000002E-2</v>
      </c>
    </row>
    <row r="10" spans="2:3" x14ac:dyDescent="0.2">
      <c r="B10" s="2">
        <f t="shared" si="0"/>
        <v>8</v>
      </c>
      <c r="C10" s="3">
        <v>4.5713999999999998E-2</v>
      </c>
    </row>
    <row r="11" spans="2:3" x14ac:dyDescent="0.2">
      <c r="B11" s="2">
        <f t="shared" si="0"/>
        <v>9</v>
      </c>
      <c r="C11" s="3">
        <v>4.6190000000000002E-2</v>
      </c>
    </row>
    <row r="12" spans="2:3" x14ac:dyDescent="0.2">
      <c r="B12" s="2">
        <f t="shared" si="0"/>
        <v>10</v>
      </c>
      <c r="C12" s="3">
        <v>4.9523999999999999E-2</v>
      </c>
    </row>
    <row r="13" spans="2:3" x14ac:dyDescent="0.2">
      <c r="B13" s="2">
        <f t="shared" si="0"/>
        <v>11</v>
      </c>
      <c r="C13" s="3">
        <v>5.4286000000000001E-2</v>
      </c>
    </row>
    <row r="14" spans="2:3" x14ac:dyDescent="0.2">
      <c r="B14" s="2">
        <f t="shared" si="0"/>
        <v>12</v>
      </c>
      <c r="C14" s="3">
        <v>5.9524000000000001E-2</v>
      </c>
    </row>
    <row r="15" spans="2:3" x14ac:dyDescent="0.2">
      <c r="B15" s="2">
        <f t="shared" si="0"/>
        <v>13</v>
      </c>
      <c r="C15" s="3">
        <v>6.3333E-2</v>
      </c>
    </row>
    <row r="16" spans="2:3" x14ac:dyDescent="0.2">
      <c r="B16" s="2">
        <f t="shared" si="0"/>
        <v>14</v>
      </c>
      <c r="C16" s="3">
        <v>6.7618999999999999E-2</v>
      </c>
    </row>
    <row r="17" spans="2:3" x14ac:dyDescent="0.2">
      <c r="B17" s="2">
        <f t="shared" si="0"/>
        <v>15</v>
      </c>
      <c r="C17" s="3">
        <v>7.0000000000000007E-2</v>
      </c>
    </row>
    <row r="18" spans="2:3" x14ac:dyDescent="0.2">
      <c r="B18" s="2">
        <f t="shared" si="0"/>
        <v>16</v>
      </c>
      <c r="C18" s="3">
        <v>7.8571000000000002E-2</v>
      </c>
    </row>
    <row r="19" spans="2:3" x14ac:dyDescent="0.2">
      <c r="B19" s="2">
        <f t="shared" si="0"/>
        <v>17</v>
      </c>
      <c r="C19" s="3">
        <v>8.8095000000000007E-2</v>
      </c>
    </row>
    <row r="20" spans="2:3" x14ac:dyDescent="0.2">
      <c r="B20" s="2">
        <f t="shared" si="0"/>
        <v>18</v>
      </c>
      <c r="C20" s="3">
        <v>9.5238000000000003E-2</v>
      </c>
    </row>
    <row r="21" spans="2:3" x14ac:dyDescent="0.2">
      <c r="B21" s="2">
        <f t="shared" si="0"/>
        <v>19</v>
      </c>
      <c r="C21" s="3">
        <v>0.10381</v>
      </c>
    </row>
    <row r="22" spans="2:3" x14ac:dyDescent="0.2">
      <c r="B22" s="2">
        <f t="shared" si="0"/>
        <v>20</v>
      </c>
      <c r="C22" s="3">
        <v>0.112857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011D-189F-C843-B63D-DEA035DF1D1F}">
  <dimension ref="A1:W27"/>
  <sheetViews>
    <sheetView tabSelected="1" topLeftCell="D1" zoomScale="200" zoomScaleNormal="200" workbookViewId="0">
      <selection activeCell="J12" sqref="J12"/>
    </sheetView>
  </sheetViews>
  <sheetFormatPr baseColWidth="10" defaultRowHeight="16" x14ac:dyDescent="0.2"/>
  <cols>
    <col min="2" max="2" width="11.1640625" bestFit="1" customWidth="1"/>
    <col min="6" max="6" width="11.1640625" bestFit="1" customWidth="1"/>
    <col min="7" max="9" width="14" bestFit="1" customWidth="1"/>
    <col min="10" max="10" width="15" bestFit="1" customWidth="1"/>
    <col min="11" max="11" width="11.1640625" bestFit="1" customWidth="1"/>
    <col min="12" max="12" width="15" bestFit="1" customWidth="1"/>
    <col min="13" max="13" width="15.6640625" bestFit="1" customWidth="1"/>
    <col min="14" max="14" width="11.1640625" bestFit="1" customWidth="1"/>
    <col min="15" max="15" width="14.5" bestFit="1" customWidth="1"/>
    <col min="16" max="16" width="15.33203125" bestFit="1" customWidth="1"/>
    <col min="17" max="17" width="16" bestFit="1" customWidth="1"/>
    <col min="18" max="18" width="17" bestFit="1" customWidth="1"/>
    <col min="20" max="20" width="15.6640625" bestFit="1" customWidth="1"/>
    <col min="23" max="23" width="14.33203125" bestFit="1" customWidth="1"/>
  </cols>
  <sheetData>
    <row r="1" spans="1:23" x14ac:dyDescent="0.2">
      <c r="A1" s="7" t="s">
        <v>24</v>
      </c>
      <c r="B1" s="7"/>
      <c r="C1" s="7"/>
      <c r="F1" s="7" t="s">
        <v>14</v>
      </c>
      <c r="G1" s="7"/>
      <c r="H1" s="7"/>
      <c r="I1" s="7"/>
      <c r="J1" s="7"/>
      <c r="K1" s="7" t="s">
        <v>16</v>
      </c>
      <c r="L1" s="7"/>
      <c r="M1" s="7"/>
      <c r="N1" s="7" t="s">
        <v>19</v>
      </c>
      <c r="O1" s="7"/>
      <c r="P1" s="7"/>
      <c r="Q1" s="7"/>
      <c r="R1" s="7"/>
      <c r="S1" s="7" t="s">
        <v>21</v>
      </c>
      <c r="T1" s="7"/>
    </row>
    <row r="2" spans="1:23" x14ac:dyDescent="0.2">
      <c r="A2" s="4" t="s">
        <v>2</v>
      </c>
      <c r="B2" s="17">
        <v>5.5E-2</v>
      </c>
      <c r="C2" s="4" t="s">
        <v>3</v>
      </c>
      <c r="E2" s="4" t="s">
        <v>9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8" t="s">
        <v>4</v>
      </c>
      <c r="L2" s="10" t="s">
        <v>15</v>
      </c>
      <c r="M2" s="8" t="s">
        <v>8</v>
      </c>
      <c r="N2" s="14" t="s">
        <v>4</v>
      </c>
      <c r="O2" s="15" t="s">
        <v>17</v>
      </c>
      <c r="P2" s="14" t="s">
        <v>23</v>
      </c>
      <c r="Q2" s="14" t="s">
        <v>8</v>
      </c>
      <c r="R2" s="8" t="s">
        <v>18</v>
      </c>
      <c r="S2" s="8" t="s">
        <v>9</v>
      </c>
      <c r="T2" s="8" t="s">
        <v>20</v>
      </c>
    </row>
    <row r="3" spans="1:23" x14ac:dyDescent="0.2">
      <c r="A3" s="4" t="s">
        <v>6</v>
      </c>
      <c r="B3" s="4">
        <v>0.37</v>
      </c>
      <c r="C3" s="4"/>
      <c r="E3" s="4">
        <v>1</v>
      </c>
      <c r="F3" s="5">
        <v>250000000</v>
      </c>
      <c r="G3" s="6">
        <f>0.015*EXP(0.108*E3)*F3</f>
        <v>4177679.0451992531</v>
      </c>
      <c r="H3" s="6">
        <f>$B$3*$B$4*(1+$B$5)^E3</f>
        <v>22655830.380000003</v>
      </c>
      <c r="I3" s="6">
        <v>18760000</v>
      </c>
      <c r="J3" s="6">
        <f>F3*(1-$B$7)^E3</f>
        <v>185283612.27673692</v>
      </c>
      <c r="K3" s="5">
        <f>F3</f>
        <v>250000000</v>
      </c>
      <c r="L3" s="11">
        <f>SUM(G3:I3)</f>
        <v>45593509.425199255</v>
      </c>
      <c r="M3" s="9">
        <f>-J3</f>
        <v>-185283612.27673692</v>
      </c>
      <c r="N3" s="5">
        <f>K3</f>
        <v>250000000</v>
      </c>
      <c r="O3" s="13">
        <f>PV(5.5%,E3,,-L3)</f>
        <v>43216596.61156328</v>
      </c>
      <c r="P3" s="12">
        <f>O3</f>
        <v>43216596.61156328</v>
      </c>
      <c r="Q3" s="12">
        <f>PV(5.5%,E3,,-M3)</f>
        <v>-175624277.03956106</v>
      </c>
      <c r="R3" s="12">
        <f>N3+P3+Q3</f>
        <v>117592319.5720022</v>
      </c>
      <c r="S3" s="4">
        <v>1</v>
      </c>
      <c r="T3" s="16">
        <f>PMT(5.5%,S3,-R3)</f>
        <v>124059897.14846234</v>
      </c>
    </row>
    <row r="4" spans="1:23" x14ac:dyDescent="0.2">
      <c r="A4" s="4" t="s">
        <v>10</v>
      </c>
      <c r="B4" s="5">
        <v>59230000</v>
      </c>
      <c r="C4" s="4"/>
      <c r="E4" s="4">
        <f>E3+1</f>
        <v>2</v>
      </c>
      <c r="F4" s="5">
        <v>250000000</v>
      </c>
      <c r="G4" s="6">
        <f t="shared" ref="G4:G27" si="0">0.015*EXP(0.108*E4)*F4</f>
        <v>4654133.921252518</v>
      </c>
      <c r="H4" s="6">
        <f t="shared" ref="H4:H27" si="1">$B$3*$B$4*(1+$B$5)^E4</f>
        <v>23421597.446844</v>
      </c>
      <c r="I4" s="6">
        <f>I3*(1+$B$6)</f>
        <v>19386584</v>
      </c>
      <c r="J4" s="6">
        <f t="shared" ref="J4:J12" si="2">F4*(1-$B$7)^E4</f>
        <v>137320067.91326469</v>
      </c>
      <c r="K4" s="5">
        <f t="shared" ref="K4:K27" si="3">F4</f>
        <v>250000000</v>
      </c>
      <c r="L4" s="11">
        <f t="shared" ref="L4:L27" si="4">SUM(G4:I4)</f>
        <v>47462315.368096516</v>
      </c>
      <c r="M4" s="9">
        <f t="shared" ref="M4:M27" si="5">-J4</f>
        <v>-137320067.91326469</v>
      </c>
      <c r="N4" s="5">
        <f t="shared" ref="N4:N27" si="6">K4</f>
        <v>250000000</v>
      </c>
      <c r="O4" s="13">
        <f t="shared" ref="O4:O27" si="7">PV(5.5%,E4,,-L4)</f>
        <v>42642631.897842832</v>
      </c>
      <c r="P4" s="12">
        <f>P3+O4</f>
        <v>85859228.50940612</v>
      </c>
      <c r="Q4" s="12">
        <f t="shared" ref="Q4:Q27" si="8">PV(5.5%,E4,,-M4)</f>
        <v>-123375546.74267398</v>
      </c>
      <c r="R4" s="12">
        <f t="shared" ref="R4:R27" si="9">N4+P4+Q4</f>
        <v>212483681.7667321</v>
      </c>
      <c r="S4" s="4">
        <f>S3+1</f>
        <v>2</v>
      </c>
      <c r="T4" s="16">
        <f t="shared" ref="T4:T27" si="10">PMT(5.5%,S4,-R4)</f>
        <v>115084987.78511776</v>
      </c>
    </row>
    <row r="5" spans="1:23" x14ac:dyDescent="0.2">
      <c r="A5" s="4" t="s">
        <v>11</v>
      </c>
      <c r="B5" s="17">
        <v>3.3799999999999997E-2</v>
      </c>
      <c r="C5" s="4" t="s">
        <v>3</v>
      </c>
      <c r="E5" s="4">
        <f t="shared" ref="E5:E31" si="11">E4+1</f>
        <v>3</v>
      </c>
      <c r="F5" s="5">
        <v>250000000</v>
      </c>
      <c r="G5" s="6">
        <f t="shared" si="0"/>
        <v>5184927.4016980482</v>
      </c>
      <c r="H5" s="6">
        <f t="shared" si="1"/>
        <v>24213247.440547332</v>
      </c>
      <c r="I5" s="6">
        <f t="shared" ref="I5:I27" si="12">I4*(1+$B$6)</f>
        <v>20034095.9056</v>
      </c>
      <c r="J5" s="6">
        <f t="shared" si="2"/>
        <v>101772632.88422608</v>
      </c>
      <c r="K5" s="5">
        <f t="shared" si="3"/>
        <v>250000000</v>
      </c>
      <c r="L5" s="11">
        <f t="shared" si="4"/>
        <v>49432270.747845381</v>
      </c>
      <c r="M5" s="9">
        <f t="shared" si="5"/>
        <v>-101772632.88422608</v>
      </c>
      <c r="N5" s="5">
        <f t="shared" si="6"/>
        <v>250000000</v>
      </c>
      <c r="O5" s="13">
        <f t="shared" si="7"/>
        <v>42097197.220499396</v>
      </c>
      <c r="P5" s="12">
        <f t="shared" ref="P5:P27" si="13">P4+O5</f>
        <v>127956425.72990552</v>
      </c>
      <c r="Q5" s="12">
        <f t="shared" si="8"/>
        <v>-86670964.804170772</v>
      </c>
      <c r="R5" s="12">
        <f t="shared" si="9"/>
        <v>291285460.9257347</v>
      </c>
      <c r="S5" s="4">
        <f t="shared" ref="S5:S27" si="14">S4+1</f>
        <v>3</v>
      </c>
      <c r="T5" s="16">
        <f t="shared" si="10"/>
        <v>107966142.99285628</v>
      </c>
    </row>
    <row r="6" spans="1:23" x14ac:dyDescent="0.2">
      <c r="A6" s="4" t="s">
        <v>12</v>
      </c>
      <c r="B6" s="17">
        <v>3.3399999999999999E-2</v>
      </c>
      <c r="C6" s="4" t="s">
        <v>3</v>
      </c>
      <c r="E6" s="4">
        <f t="shared" si="11"/>
        <v>4</v>
      </c>
      <c r="F6" s="5">
        <v>250000000</v>
      </c>
      <c r="G6" s="6">
        <f t="shared" si="0"/>
        <v>5776256.6818542266</v>
      </c>
      <c r="H6" s="6">
        <f t="shared" si="1"/>
        <v>25031655.20403783</v>
      </c>
      <c r="I6" s="6">
        <f t="shared" si="12"/>
        <v>20703234.708847042</v>
      </c>
      <c r="J6" s="6">
        <f t="shared" si="2"/>
        <v>75427204.206814528</v>
      </c>
      <c r="K6" s="5">
        <f t="shared" si="3"/>
        <v>250000000</v>
      </c>
      <c r="L6" s="11">
        <f t="shared" si="4"/>
        <v>51511146.594739094</v>
      </c>
      <c r="M6" s="9">
        <f t="shared" si="5"/>
        <v>-75427204.206814528</v>
      </c>
      <c r="N6" s="5">
        <f t="shared" si="6"/>
        <v>250000000</v>
      </c>
      <c r="O6" s="13">
        <f t="shared" si="7"/>
        <v>41580659.997967578</v>
      </c>
      <c r="P6" s="12">
        <f t="shared" si="13"/>
        <v>169537085.72787309</v>
      </c>
      <c r="Q6" s="12">
        <f t="shared" si="8"/>
        <v>-60886102.136214942</v>
      </c>
      <c r="R6" s="12">
        <f t="shared" si="9"/>
        <v>358650983.59165812</v>
      </c>
      <c r="S6" s="4">
        <f t="shared" si="14"/>
        <v>4</v>
      </c>
      <c r="T6" s="16">
        <f t="shared" si="10"/>
        <v>102321147.77717857</v>
      </c>
    </row>
    <row r="7" spans="1:23" x14ac:dyDescent="0.2">
      <c r="A7" s="4" t="s">
        <v>13</v>
      </c>
      <c r="B7" s="18">
        <f>1-0.05^(1/10)</f>
        <v>0.2588655508930523</v>
      </c>
      <c r="C7" s="4" t="s">
        <v>3</v>
      </c>
      <c r="E7" s="4">
        <f t="shared" si="11"/>
        <v>5</v>
      </c>
      <c r="F7" s="5">
        <v>250000000</v>
      </c>
      <c r="G7" s="6">
        <f t="shared" si="0"/>
        <v>6435025.7331932196</v>
      </c>
      <c r="H7" s="6">
        <f t="shared" si="1"/>
        <v>25877725.149934314</v>
      </c>
      <c r="I7" s="6">
        <f t="shared" si="12"/>
        <v>21394722.748122536</v>
      </c>
      <c r="J7" s="6">
        <f t="shared" si="2"/>
        <v>55901699.437494725</v>
      </c>
      <c r="K7" s="5">
        <f t="shared" si="3"/>
        <v>250000000</v>
      </c>
      <c r="L7" s="11">
        <f t="shared" si="4"/>
        <v>53707473.631250069</v>
      </c>
      <c r="M7" s="9">
        <f t="shared" si="5"/>
        <v>-55901699.437494725</v>
      </c>
      <c r="N7" s="5">
        <f t="shared" si="6"/>
        <v>250000000</v>
      </c>
      <c r="O7" s="13">
        <f t="shared" si="7"/>
        <v>41093433.133276351</v>
      </c>
      <c r="P7" s="12">
        <f t="shared" si="13"/>
        <v>210630518.86114943</v>
      </c>
      <c r="Q7" s="12">
        <f t="shared" si="8"/>
        <v>-42772310.67771849</v>
      </c>
      <c r="R7" s="12">
        <f t="shared" si="9"/>
        <v>417858208.18343091</v>
      </c>
      <c r="S7" s="4">
        <f t="shared" si="14"/>
        <v>5</v>
      </c>
      <c r="T7" s="16">
        <f t="shared" si="10"/>
        <v>97852546.023377031</v>
      </c>
    </row>
    <row r="8" spans="1:23" x14ac:dyDescent="0.2">
      <c r="E8" s="4">
        <f t="shared" si="11"/>
        <v>6</v>
      </c>
      <c r="F8" s="5">
        <v>250000000</v>
      </c>
      <c r="G8" s="6">
        <f t="shared" si="0"/>
        <v>7168925.9095678059</v>
      </c>
      <c r="H8" s="6">
        <f t="shared" si="1"/>
        <v>26752392.260002092</v>
      </c>
      <c r="I8" s="6">
        <f t="shared" si="12"/>
        <v>22109306.487909831</v>
      </c>
      <c r="J8" s="6">
        <f t="shared" si="2"/>
        <v>41430675.216749817</v>
      </c>
      <c r="K8" s="5">
        <f t="shared" si="3"/>
        <v>250000000</v>
      </c>
      <c r="L8" s="11">
        <f t="shared" si="4"/>
        <v>56030624.657479726</v>
      </c>
      <c r="M8" s="9">
        <f t="shared" si="5"/>
        <v>-41430675.216749817</v>
      </c>
      <c r="N8" s="5">
        <f t="shared" si="6"/>
        <v>250000000</v>
      </c>
      <c r="O8" s="13">
        <f t="shared" si="7"/>
        <v>40635977.054602385</v>
      </c>
      <c r="P8" s="12">
        <f t="shared" si="13"/>
        <v>251266495.91575181</v>
      </c>
      <c r="Q8" s="12">
        <f t="shared" si="8"/>
        <v>-30047424.560343228</v>
      </c>
      <c r="R8" s="12">
        <f t="shared" si="9"/>
        <v>471219071.35540861</v>
      </c>
      <c r="S8" s="4">
        <f t="shared" si="14"/>
        <v>6</v>
      </c>
      <c r="T8" s="16">
        <f t="shared" si="10"/>
        <v>94328137.803520948</v>
      </c>
    </row>
    <row r="9" spans="1:23" x14ac:dyDescent="0.2">
      <c r="E9" s="4">
        <f t="shared" si="11"/>
        <v>7</v>
      </c>
      <c r="F9" s="5">
        <v>250000000</v>
      </c>
      <c r="G9" s="6">
        <f t="shared" si="0"/>
        <v>7986525.746396645</v>
      </c>
      <c r="H9" s="6">
        <f t="shared" si="1"/>
        <v>27656623.118390165</v>
      </c>
      <c r="I9" s="6">
        <f t="shared" si="12"/>
        <v>22847757.32460602</v>
      </c>
      <c r="J9" s="6">
        <f t="shared" si="2"/>
        <v>30705700.65289475</v>
      </c>
      <c r="K9" s="5">
        <f t="shared" si="3"/>
        <v>250000000</v>
      </c>
      <c r="L9" s="11">
        <f t="shared" si="4"/>
        <v>58490906.189392835</v>
      </c>
      <c r="M9" s="9">
        <f t="shared" si="5"/>
        <v>-30705700.65289475</v>
      </c>
      <c r="N9" s="5">
        <f t="shared" si="6"/>
        <v>250000000</v>
      </c>
      <c r="O9" s="13">
        <f t="shared" si="7"/>
        <v>40208801.880274639</v>
      </c>
      <c r="P9" s="12">
        <f t="shared" si="13"/>
        <v>291475297.79602647</v>
      </c>
      <c r="Q9" s="12">
        <f t="shared" si="8"/>
        <v>-21108228.861244127</v>
      </c>
      <c r="R9" s="12">
        <f t="shared" si="9"/>
        <v>520367068.93478233</v>
      </c>
      <c r="S9" s="4">
        <f t="shared" si="14"/>
        <v>7</v>
      </c>
      <c r="T9" s="16">
        <f t="shared" si="10"/>
        <v>91566088.313276559</v>
      </c>
    </row>
    <row r="10" spans="1:23" x14ac:dyDescent="0.2">
      <c r="E10" s="4">
        <f t="shared" si="11"/>
        <v>8</v>
      </c>
      <c r="F10" s="5">
        <v>250000000</v>
      </c>
      <c r="G10" s="6">
        <f t="shared" si="0"/>
        <v>8897371.0012441594</v>
      </c>
      <c r="H10" s="6">
        <f t="shared" si="1"/>
        <v>28591416.979791753</v>
      </c>
      <c r="I10" s="6">
        <f t="shared" si="12"/>
        <v>23610872.419247862</v>
      </c>
      <c r="J10" s="6">
        <f t="shared" si="2"/>
        <v>22757052.53782599</v>
      </c>
      <c r="K10" s="5">
        <f t="shared" si="3"/>
        <v>250000000</v>
      </c>
      <c r="L10" s="11">
        <f t="shared" si="4"/>
        <v>61099660.400283769</v>
      </c>
      <c r="M10" s="9">
        <f t="shared" si="5"/>
        <v>-22757052.53782599</v>
      </c>
      <c r="N10" s="5">
        <f t="shared" si="6"/>
        <v>250000000</v>
      </c>
      <c r="O10" s="13">
        <f t="shared" si="7"/>
        <v>39812469.714987323</v>
      </c>
      <c r="P10" s="12">
        <f t="shared" si="13"/>
        <v>331287767.51101381</v>
      </c>
      <c r="Q10" s="12">
        <f t="shared" si="8"/>
        <v>-14828469.733366385</v>
      </c>
      <c r="R10" s="12">
        <f t="shared" si="9"/>
        <v>566459297.77764738</v>
      </c>
      <c r="S10" s="4">
        <f t="shared" si="14"/>
        <v>8</v>
      </c>
      <c r="T10" s="16">
        <f t="shared" si="10"/>
        <v>89423537.281446144</v>
      </c>
    </row>
    <row r="11" spans="1:23" x14ac:dyDescent="0.2">
      <c r="E11" s="4">
        <f t="shared" si="11"/>
        <v>9</v>
      </c>
      <c r="F11" s="5">
        <v>250000000</v>
      </c>
      <c r="G11" s="6">
        <f t="shared" si="0"/>
        <v>9912096.103802992</v>
      </c>
      <c r="H11" s="6">
        <f t="shared" si="1"/>
        <v>29557806.873708714</v>
      </c>
      <c r="I11" s="6">
        <f t="shared" si="12"/>
        <v>24399475.558050744</v>
      </c>
      <c r="J11" s="6">
        <f>F11*(1-$B$7)^E11</f>
        <v>16866035.595919535</v>
      </c>
      <c r="K11" s="5">
        <f t="shared" si="3"/>
        <v>250000000</v>
      </c>
      <c r="L11" s="11">
        <f t="shared" si="4"/>
        <v>63869378.535562448</v>
      </c>
      <c r="M11" s="9">
        <f t="shared" si="5"/>
        <v>-16866035.595919535</v>
      </c>
      <c r="N11" s="5">
        <f t="shared" si="6"/>
        <v>250000000</v>
      </c>
      <c r="O11" s="13">
        <f t="shared" si="7"/>
        <v>39447597.084362045</v>
      </c>
      <c r="P11" s="12">
        <f t="shared" si="13"/>
        <v>370735364.59537584</v>
      </c>
      <c r="Q11" s="12">
        <f t="shared" si="8"/>
        <v>-10416957.106101939</v>
      </c>
      <c r="R11" s="12">
        <f t="shared" si="9"/>
        <v>610318407.48927379</v>
      </c>
      <c r="S11" s="4">
        <f t="shared" si="14"/>
        <v>9</v>
      </c>
      <c r="T11" s="16">
        <f t="shared" si="10"/>
        <v>87787869.243588403</v>
      </c>
    </row>
    <row r="12" spans="1:23" x14ac:dyDescent="0.2">
      <c r="E12" s="4">
        <f t="shared" si="11"/>
        <v>10</v>
      </c>
      <c r="F12" s="5">
        <v>250000000</v>
      </c>
      <c r="G12" s="6">
        <f t="shared" si="0"/>
        <v>11042548.316495715</v>
      </c>
      <c r="H12" s="6">
        <f t="shared" si="1"/>
        <v>30556860.746040069</v>
      </c>
      <c r="I12" s="6">
        <f t="shared" si="12"/>
        <v>25214418.041689642</v>
      </c>
      <c r="J12" s="6">
        <f t="shared" si="2"/>
        <v>12499999.999999993</v>
      </c>
      <c r="K12" s="5">
        <f t="shared" si="3"/>
        <v>250000000</v>
      </c>
      <c r="L12" s="11">
        <f t="shared" si="4"/>
        <v>66813827.104225427</v>
      </c>
      <c r="M12" s="9">
        <f t="shared" si="5"/>
        <v>-12499999.999999993</v>
      </c>
      <c r="N12" s="5">
        <f t="shared" si="6"/>
        <v>250000000</v>
      </c>
      <c r="O12" s="13">
        <f t="shared" si="7"/>
        <v>39114857.515402652</v>
      </c>
      <c r="P12" s="12">
        <f t="shared" si="13"/>
        <v>409850222.11077851</v>
      </c>
      <c r="Q12" s="12">
        <f t="shared" si="8"/>
        <v>-7317882.2428450845</v>
      </c>
      <c r="R12" s="12">
        <f t="shared" si="9"/>
        <v>652532339.86793351</v>
      </c>
      <c r="S12" s="4">
        <f t="shared" si="14"/>
        <v>10</v>
      </c>
      <c r="T12" s="16">
        <f t="shared" si="10"/>
        <v>86570009.537086129</v>
      </c>
    </row>
    <row r="13" spans="1:23" x14ac:dyDescent="0.2">
      <c r="E13" s="4">
        <f t="shared" si="11"/>
        <v>11</v>
      </c>
      <c r="F13" s="5">
        <v>250000000</v>
      </c>
      <c r="G13" s="6">
        <f t="shared" si="0"/>
        <v>12301926.055313185</v>
      </c>
      <c r="H13" s="6">
        <f t="shared" si="1"/>
        <v>31589682.639256228</v>
      </c>
      <c r="I13" s="6">
        <f t="shared" si="12"/>
        <v>26056579.604282077</v>
      </c>
      <c r="J13" s="6">
        <f t="shared" ref="J13:J27" si="15">5%*F13</f>
        <v>12500000</v>
      </c>
      <c r="K13" s="5">
        <f t="shared" si="3"/>
        <v>250000000</v>
      </c>
      <c r="L13" s="11">
        <f t="shared" si="4"/>
        <v>69948188.29885149</v>
      </c>
      <c r="M13" s="9">
        <f t="shared" si="5"/>
        <v>-12500000</v>
      </c>
      <c r="N13" s="5">
        <f t="shared" si="6"/>
        <v>250000000</v>
      </c>
      <c r="O13" s="13">
        <f t="shared" si="7"/>
        <v>38814984.270813271</v>
      </c>
      <c r="P13" s="12">
        <f t="shared" si="13"/>
        <v>448665206.3815918</v>
      </c>
      <c r="Q13" s="12">
        <f t="shared" si="8"/>
        <v>-6936381.2728389474</v>
      </c>
      <c r="R13" s="12">
        <f t="shared" si="9"/>
        <v>691728825.10875285</v>
      </c>
      <c r="S13" s="4">
        <f t="shared" si="14"/>
        <v>11</v>
      </c>
      <c r="T13" s="16">
        <f t="shared" si="10"/>
        <v>85477382.722258031</v>
      </c>
      <c r="V13" s="4" t="s">
        <v>22</v>
      </c>
      <c r="W13" s="12">
        <f>MIN(T3:T27)</f>
        <v>84230913.43769072</v>
      </c>
    </row>
    <row r="14" spans="1:23" x14ac:dyDescent="0.2">
      <c r="E14" s="4">
        <f t="shared" si="11"/>
        <v>12</v>
      </c>
      <c r="F14" s="5">
        <v>250000000</v>
      </c>
      <c r="G14" s="6">
        <f>0.015*EXP(0.108*E14)*F14</f>
        <v>13704932.985832693</v>
      </c>
      <c r="H14" s="6">
        <f t="shared" si="1"/>
        <v>32657413.912463088</v>
      </c>
      <c r="I14" s="6">
        <f t="shared" si="12"/>
        <v>26926869.363065101</v>
      </c>
      <c r="J14" s="6">
        <f t="shared" si="15"/>
        <v>12500000</v>
      </c>
      <c r="K14" s="5">
        <f t="shared" si="3"/>
        <v>250000000</v>
      </c>
      <c r="L14" s="11">
        <f t="shared" si="4"/>
        <v>73289216.261360884</v>
      </c>
      <c r="M14" s="9">
        <f t="shared" si="5"/>
        <v>-12500000</v>
      </c>
      <c r="N14" s="5">
        <f t="shared" si="6"/>
        <v>250000000</v>
      </c>
      <c r="O14" s="13">
        <f t="shared" si="7"/>
        <v>38548773.245599791</v>
      </c>
      <c r="P14" s="12">
        <f t="shared" si="13"/>
        <v>487213979.6271916</v>
      </c>
      <c r="Q14" s="12">
        <f t="shared" si="8"/>
        <v>-6574768.9789942633</v>
      </c>
      <c r="R14" s="12">
        <f t="shared" si="9"/>
        <v>730639210.64819729</v>
      </c>
      <c r="S14" s="4">
        <f t="shared" si="14"/>
        <v>12</v>
      </c>
      <c r="T14" s="16">
        <f t="shared" si="10"/>
        <v>84775505.889958292</v>
      </c>
    </row>
    <row r="15" spans="1:23" x14ac:dyDescent="0.2">
      <c r="E15" s="4">
        <f t="shared" si="11"/>
        <v>13</v>
      </c>
      <c r="F15" s="5">
        <v>250000000</v>
      </c>
      <c r="G15" s="6">
        <f t="shared" si="0"/>
        <v>15267949.693539539</v>
      </c>
      <c r="H15" s="6">
        <f t="shared" si="1"/>
        <v>33761234.502704345</v>
      </c>
      <c r="I15" s="6">
        <f t="shared" si="12"/>
        <v>27826226.799791478</v>
      </c>
      <c r="J15" s="6">
        <f t="shared" si="15"/>
        <v>12500000</v>
      </c>
      <c r="K15" s="5">
        <f t="shared" si="3"/>
        <v>250000000</v>
      </c>
      <c r="L15" s="11">
        <f>SUM(G15:I15)</f>
        <v>76855410.996035367</v>
      </c>
      <c r="M15" s="9">
        <f t="shared" si="5"/>
        <v>-12500000</v>
      </c>
      <c r="N15" s="5">
        <f t="shared" si="6"/>
        <v>250000000</v>
      </c>
      <c r="O15" s="13">
        <f t="shared" si="7"/>
        <v>38317086.03485027</v>
      </c>
      <c r="P15" s="12">
        <f t="shared" si="13"/>
        <v>525531065.6620419</v>
      </c>
      <c r="Q15" s="12">
        <f t="shared" si="8"/>
        <v>-6232008.5108950362</v>
      </c>
      <c r="R15" s="12">
        <f t="shared" si="9"/>
        <v>769299057.15114689</v>
      </c>
      <c r="S15" s="4">
        <f t="shared" si="14"/>
        <v>13</v>
      </c>
      <c r="T15" s="16">
        <f t="shared" si="10"/>
        <v>84379996.799730241</v>
      </c>
    </row>
    <row r="16" spans="1:23" x14ac:dyDescent="0.2">
      <c r="E16" s="4">
        <f t="shared" si="11"/>
        <v>14</v>
      </c>
      <c r="F16" s="5">
        <v>250000000</v>
      </c>
      <c r="G16" s="6">
        <f t="shared" si="0"/>
        <v>17009224.932761736</v>
      </c>
      <c r="H16" s="6">
        <f t="shared" si="1"/>
        <v>34902364.228895754</v>
      </c>
      <c r="I16" s="6">
        <f t="shared" si="12"/>
        <v>28755622.774904516</v>
      </c>
      <c r="J16" s="6">
        <f t="shared" si="15"/>
        <v>12500000</v>
      </c>
      <c r="K16" s="5">
        <f t="shared" si="3"/>
        <v>250000000</v>
      </c>
      <c r="L16" s="11">
        <f t="shared" si="4"/>
        <v>80667211.936562002</v>
      </c>
      <c r="M16" s="9">
        <f t="shared" si="5"/>
        <v>-12500000</v>
      </c>
      <c r="N16" s="5">
        <f t="shared" si="6"/>
        <v>250000000</v>
      </c>
      <c r="O16" s="13">
        <f t="shared" si="7"/>
        <v>38120853.182091229</v>
      </c>
      <c r="P16" s="12">
        <f t="shared" si="13"/>
        <v>563651918.84413314</v>
      </c>
      <c r="Q16" s="12">
        <f t="shared" si="8"/>
        <v>-5907117.0719384234</v>
      </c>
      <c r="R16" s="12">
        <f t="shared" si="9"/>
        <v>807744801.77219474</v>
      </c>
      <c r="S16" s="4">
        <f t="shared" si="14"/>
        <v>14</v>
      </c>
      <c r="T16" s="16">
        <f t="shared" si="10"/>
        <v>84230913.43769072</v>
      </c>
    </row>
    <row r="17" spans="5:20" x14ac:dyDescent="0.2">
      <c r="E17" s="4">
        <f t="shared" si="11"/>
        <v>15</v>
      </c>
      <c r="F17" s="5">
        <v>250000000</v>
      </c>
      <c r="G17" s="6">
        <f t="shared" si="0"/>
        <v>18949088.6871145</v>
      </c>
      <c r="H17" s="6">
        <f t="shared" si="1"/>
        <v>36082064.13983243</v>
      </c>
      <c r="I17" s="6">
        <f t="shared" si="12"/>
        <v>29716060.57558633</v>
      </c>
      <c r="J17" s="6">
        <f t="shared" si="15"/>
        <v>12500000</v>
      </c>
      <c r="K17" s="5">
        <f t="shared" si="3"/>
        <v>250000000</v>
      </c>
      <c r="L17" s="11">
        <f t="shared" si="4"/>
        <v>84747213.402533263</v>
      </c>
      <c r="M17" s="9">
        <f t="shared" si="5"/>
        <v>-12500000</v>
      </c>
      <c r="N17" s="5">
        <f t="shared" si="6"/>
        <v>250000000</v>
      </c>
      <c r="O17" s="13">
        <f t="shared" si="7"/>
        <v>37961077.618146956</v>
      </c>
      <c r="P17" s="12">
        <f>P16+O17</f>
        <v>601612996.46228004</v>
      </c>
      <c r="Q17" s="12">
        <f t="shared" si="8"/>
        <v>-5599163.1013634345</v>
      </c>
      <c r="R17" s="12">
        <f t="shared" si="9"/>
        <v>846013833.36091661</v>
      </c>
      <c r="S17" s="4">
        <f t="shared" si="14"/>
        <v>15</v>
      </c>
      <c r="T17" s="16">
        <f t="shared" si="10"/>
        <v>84284633.730518445</v>
      </c>
    </row>
    <row r="18" spans="5:20" x14ac:dyDescent="0.2">
      <c r="E18" s="4">
        <f t="shared" si="11"/>
        <v>16</v>
      </c>
      <c r="F18" s="5">
        <v>250000000</v>
      </c>
      <c r="G18" s="6">
        <f t="shared" si="0"/>
        <v>21110189.529008131</v>
      </c>
      <c r="H18" s="6">
        <f t="shared" si="1"/>
        <v>37301637.907758765</v>
      </c>
      <c r="I18" s="6">
        <f t="shared" si="12"/>
        <v>30708576.998810917</v>
      </c>
      <c r="J18" s="6">
        <f t="shared" si="15"/>
        <v>12500000</v>
      </c>
      <c r="K18" s="5">
        <f t="shared" si="3"/>
        <v>250000000</v>
      </c>
      <c r="L18" s="11">
        <f t="shared" si="4"/>
        <v>89120404.43557781</v>
      </c>
      <c r="M18" s="9">
        <f t="shared" si="5"/>
        <v>-12500000</v>
      </c>
      <c r="N18" s="5">
        <f t="shared" si="6"/>
        <v>250000000</v>
      </c>
      <c r="O18" s="13">
        <f t="shared" si="7"/>
        <v>37838838.300987564</v>
      </c>
      <c r="P18" s="12">
        <f t="shared" si="13"/>
        <v>639451834.76326764</v>
      </c>
      <c r="Q18" s="12">
        <f t="shared" si="8"/>
        <v>-5307263.60318809</v>
      </c>
      <c r="R18" s="12">
        <f t="shared" si="9"/>
        <v>884144571.1600796</v>
      </c>
      <c r="S18" s="4">
        <f t="shared" si="14"/>
        <v>16</v>
      </c>
      <c r="T18" s="16">
        <f t="shared" si="10"/>
        <v>84508782.073812127</v>
      </c>
    </row>
    <row r="19" spans="5:20" x14ac:dyDescent="0.2">
      <c r="E19" s="4">
        <f t="shared" si="11"/>
        <v>17</v>
      </c>
      <c r="F19" s="5">
        <v>250000000</v>
      </c>
      <c r="G19" s="6">
        <f t="shared" si="0"/>
        <v>23517759.049472522</v>
      </c>
      <c r="H19" s="6">
        <f t="shared" si="1"/>
        <v>38562433.269041009</v>
      </c>
      <c r="I19" s="6">
        <f t="shared" si="12"/>
        <v>31734243.470571205</v>
      </c>
      <c r="J19" s="6">
        <f t="shared" si="15"/>
        <v>12500000</v>
      </c>
      <c r="K19" s="5">
        <f t="shared" si="3"/>
        <v>250000000</v>
      </c>
      <c r="L19" s="11">
        <f t="shared" si="4"/>
        <v>93814435.789084733</v>
      </c>
      <c r="M19" s="9">
        <f t="shared" si="5"/>
        <v>-12500000</v>
      </c>
      <c r="N19" s="5">
        <f t="shared" si="6"/>
        <v>250000000</v>
      </c>
      <c r="O19" s="13">
        <f t="shared" si="7"/>
        <v>37755294.06764251</v>
      </c>
      <c r="P19" s="12">
        <f t="shared" si="13"/>
        <v>677207128.83091021</v>
      </c>
      <c r="Q19" s="12">
        <f t="shared" si="8"/>
        <v>-5030581.6143962936</v>
      </c>
      <c r="R19" s="12">
        <f t="shared" si="9"/>
        <v>922176547.21651387</v>
      </c>
      <c r="S19" s="4">
        <f t="shared" si="14"/>
        <v>17</v>
      </c>
      <c r="T19" s="16">
        <f t="shared" si="10"/>
        <v>84878948.196729109</v>
      </c>
    </row>
    <row r="20" spans="5:20" x14ac:dyDescent="0.2">
      <c r="E20" s="4">
        <f t="shared" si="11"/>
        <v>18</v>
      </c>
      <c r="F20" s="5">
        <v>250000000</v>
      </c>
      <c r="G20" s="6">
        <f t="shared" si="0"/>
        <v>26199906.445607059</v>
      </c>
      <c r="H20" s="6">
        <f t="shared" si="1"/>
        <v>39865843.513534598</v>
      </c>
      <c r="I20" s="6">
        <f t="shared" si="12"/>
        <v>32794167.202488285</v>
      </c>
      <c r="J20" s="6">
        <f t="shared" si="15"/>
        <v>12500000</v>
      </c>
      <c r="K20" s="5">
        <f t="shared" si="3"/>
        <v>250000000</v>
      </c>
      <c r="L20" s="11">
        <f t="shared" si="4"/>
        <v>98859917.161629945</v>
      </c>
      <c r="M20" s="9">
        <f t="shared" si="5"/>
        <v>-12500000</v>
      </c>
      <c r="N20" s="5">
        <f t="shared" si="6"/>
        <v>250000000</v>
      </c>
      <c r="O20" s="13">
        <f t="shared" si="7"/>
        <v>37711687.709879525</v>
      </c>
      <c r="P20" s="12">
        <f t="shared" si="13"/>
        <v>714918816.54078972</v>
      </c>
      <c r="Q20" s="12">
        <f t="shared" si="8"/>
        <v>-4768323.8051149705</v>
      </c>
      <c r="R20" s="12">
        <f t="shared" si="9"/>
        <v>960150492.73567474</v>
      </c>
      <c r="S20" s="4">
        <f t="shared" si="14"/>
        <v>18</v>
      </c>
      <c r="T20" s="16">
        <f t="shared" si="10"/>
        <v>85376501.436063036</v>
      </c>
    </row>
    <row r="21" spans="5:20" x14ac:dyDescent="0.2">
      <c r="E21" s="4">
        <f t="shared" si="11"/>
        <v>19</v>
      </c>
      <c r="F21" s="5">
        <v>250000000</v>
      </c>
      <c r="G21" s="6">
        <f t="shared" si="0"/>
        <v>29187946.705064926</v>
      </c>
      <c r="H21" s="6">
        <f t="shared" si="1"/>
        <v>41213309.024292082</v>
      </c>
      <c r="I21" s="6">
        <f t="shared" si="12"/>
        <v>33889492.387051396</v>
      </c>
      <c r="J21" s="6">
        <f t="shared" si="15"/>
        <v>12500000</v>
      </c>
      <c r="K21" s="5">
        <f t="shared" si="3"/>
        <v>250000000</v>
      </c>
      <c r="L21" s="11">
        <f t="shared" si="4"/>
        <v>104290748.11640841</v>
      </c>
      <c r="M21" s="9">
        <f t="shared" si="5"/>
        <v>-12500000</v>
      </c>
      <c r="N21" s="5">
        <f t="shared" si="6"/>
        <v>250000000</v>
      </c>
      <c r="O21" s="13">
        <f t="shared" si="7"/>
        <v>37709350.286007166</v>
      </c>
      <c r="P21" s="12">
        <f t="shared" si="13"/>
        <v>752628166.82679689</v>
      </c>
      <c r="Q21" s="12">
        <f t="shared" si="8"/>
        <v>-4519738.2039004462</v>
      </c>
      <c r="R21" s="12">
        <f t="shared" si="9"/>
        <v>998108428.62289643</v>
      </c>
      <c r="S21" s="4">
        <f t="shared" si="14"/>
        <v>19</v>
      </c>
      <c r="T21" s="16">
        <f t="shared" si="10"/>
        <v>85987096.941309512</v>
      </c>
    </row>
    <row r="22" spans="5:20" x14ac:dyDescent="0.2">
      <c r="E22" s="4">
        <f t="shared" si="11"/>
        <v>20</v>
      </c>
      <c r="F22" s="5">
        <v>250000000</v>
      </c>
      <c r="G22" s="6">
        <f t="shared" si="0"/>
        <v>32516766.219237957</v>
      </c>
      <c r="H22" s="6">
        <f t="shared" si="1"/>
        <v>42606318.869313151</v>
      </c>
      <c r="I22" s="6">
        <f t="shared" si="12"/>
        <v>35021401.432778917</v>
      </c>
      <c r="J22" s="6">
        <f t="shared" si="15"/>
        <v>12500000</v>
      </c>
      <c r="K22" s="5">
        <f t="shared" si="3"/>
        <v>250000000</v>
      </c>
      <c r="L22" s="11">
        <f t="shared" si="4"/>
        <v>110144486.52133003</v>
      </c>
      <c r="M22" s="9">
        <f t="shared" si="5"/>
        <v>-12500000</v>
      </c>
      <c r="N22" s="5">
        <f t="shared" si="6"/>
        <v>250000000</v>
      </c>
      <c r="O22" s="13">
        <f t="shared" si="7"/>
        <v>37749705.681854263</v>
      </c>
      <c r="P22" s="12">
        <f t="shared" si="13"/>
        <v>790377872.50865114</v>
      </c>
      <c r="Q22" s="12">
        <f t="shared" si="8"/>
        <v>-4284112.0416117972</v>
      </c>
      <c r="R22" s="12">
        <f t="shared" si="9"/>
        <v>1036093760.4670393</v>
      </c>
      <c r="S22" s="4">
        <f t="shared" si="14"/>
        <v>20</v>
      </c>
      <c r="T22" s="16">
        <f t="shared" si="10"/>
        <v>86699631.729256392</v>
      </c>
    </row>
    <row r="23" spans="5:20" x14ac:dyDescent="0.2">
      <c r="E23" s="4">
        <f t="shared" si="11"/>
        <v>21</v>
      </c>
      <c r="F23" s="5">
        <v>250000000</v>
      </c>
      <c r="G23" s="6">
        <f t="shared" si="0"/>
        <v>36225230.093800887</v>
      </c>
      <c r="H23" s="6">
        <f t="shared" si="1"/>
        <v>44046412.447095938</v>
      </c>
      <c r="I23" s="6">
        <f t="shared" si="12"/>
        <v>36191116.240633734</v>
      </c>
      <c r="J23" s="6">
        <f t="shared" si="15"/>
        <v>12500000</v>
      </c>
      <c r="K23" s="5">
        <f t="shared" si="3"/>
        <v>250000000</v>
      </c>
      <c r="L23" s="11">
        <f t="shared" si="4"/>
        <v>116462758.78153056</v>
      </c>
      <c r="M23" s="9">
        <f t="shared" si="5"/>
        <v>-12500000</v>
      </c>
      <c r="N23" s="5">
        <f t="shared" si="6"/>
        <v>250000000</v>
      </c>
      <c r="O23" s="13">
        <f t="shared" si="7"/>
        <v>37834275.434713572</v>
      </c>
      <c r="P23" s="12">
        <f t="shared" si="13"/>
        <v>828212147.94336474</v>
      </c>
      <c r="Q23" s="12">
        <f t="shared" si="8"/>
        <v>-4060769.7076889076</v>
      </c>
      <c r="R23" s="12">
        <f t="shared" si="9"/>
        <v>1074151378.2356758</v>
      </c>
      <c r="S23" s="4">
        <f t="shared" si="14"/>
        <v>21</v>
      </c>
      <c r="T23" s="16">
        <f t="shared" si="10"/>
        <v>87505500.733858228</v>
      </c>
    </row>
    <row r="24" spans="5:20" x14ac:dyDescent="0.2">
      <c r="E24" s="4">
        <f t="shared" si="11"/>
        <v>22</v>
      </c>
      <c r="F24" s="5">
        <v>250000000</v>
      </c>
      <c r="G24" s="6">
        <f t="shared" si="0"/>
        <v>40356635.912104897</v>
      </c>
      <c r="H24" s="6">
        <f t="shared" si="1"/>
        <v>45535181.187807776</v>
      </c>
      <c r="I24" s="6">
        <f t="shared" si="12"/>
        <v>37399899.523070902</v>
      </c>
      <c r="J24" s="6">
        <f t="shared" si="15"/>
        <v>12500000</v>
      </c>
      <c r="K24" s="5">
        <f t="shared" si="3"/>
        <v>250000000</v>
      </c>
      <c r="L24" s="11">
        <f t="shared" si="4"/>
        <v>123291716.62298357</v>
      </c>
      <c r="M24" s="9">
        <f t="shared" si="5"/>
        <v>-12500000</v>
      </c>
      <c r="N24" s="5">
        <f t="shared" si="6"/>
        <v>250000000</v>
      </c>
      <c r="O24" s="13">
        <f t="shared" si="7"/>
        <v>37964683.834811501</v>
      </c>
      <c r="P24" s="12">
        <f t="shared" si="13"/>
        <v>866176831.77817619</v>
      </c>
      <c r="Q24" s="12">
        <f t="shared" si="8"/>
        <v>-3849070.8129752683</v>
      </c>
      <c r="R24" s="12">
        <f t="shared" si="9"/>
        <v>1112327760.9652011</v>
      </c>
      <c r="S24" s="4">
        <f t="shared" si="14"/>
        <v>22</v>
      </c>
      <c r="T24" s="16">
        <f t="shared" si="10"/>
        <v>88398057.495438084</v>
      </c>
    </row>
    <row r="25" spans="5:20" x14ac:dyDescent="0.2">
      <c r="E25" s="4">
        <f t="shared" si="11"/>
        <v>23</v>
      </c>
      <c r="F25" s="5">
        <v>250000000</v>
      </c>
      <c r="G25" s="6">
        <f t="shared" si="0"/>
        <v>44959219.249263018</v>
      </c>
      <c r="H25" s="6">
        <f t="shared" si="1"/>
        <v>47074270.31195569</v>
      </c>
      <c r="I25" s="6">
        <f t="shared" si="12"/>
        <v>38649056.167141475</v>
      </c>
      <c r="J25" s="6">
        <f t="shared" si="15"/>
        <v>12500000</v>
      </c>
      <c r="K25" s="5">
        <f t="shared" si="3"/>
        <v>250000000</v>
      </c>
      <c r="L25" s="11">
        <f t="shared" si="4"/>
        <v>130682545.72836018</v>
      </c>
      <c r="M25" s="9">
        <f t="shared" si="5"/>
        <v>-12500000</v>
      </c>
      <c r="N25" s="5">
        <f t="shared" si="6"/>
        <v>250000000</v>
      </c>
      <c r="O25" s="13">
        <f t="shared" si="7"/>
        <v>38142663.319684319</v>
      </c>
      <c r="P25" s="12">
        <f t="shared" si="13"/>
        <v>904319495.09786046</v>
      </c>
      <c r="Q25" s="12">
        <f t="shared" si="8"/>
        <v>-3648408.3535310603</v>
      </c>
      <c r="R25" s="12">
        <f t="shared" si="9"/>
        <v>1150671086.7443292</v>
      </c>
      <c r="S25" s="4">
        <f t="shared" si="14"/>
        <v>23</v>
      </c>
      <c r="T25" s="16">
        <f t="shared" si="10"/>
        <v>89372217.30651173</v>
      </c>
    </row>
    <row r="26" spans="5:20" x14ac:dyDescent="0.2">
      <c r="E26" s="4">
        <f t="shared" si="11"/>
        <v>24</v>
      </c>
      <c r="F26" s="5">
        <v>250000000</v>
      </c>
      <c r="G26" s="6">
        <f t="shared" si="0"/>
        <v>50086716.838977344</v>
      </c>
      <c r="H26" s="6">
        <f t="shared" si="1"/>
        <v>48665380.648499794</v>
      </c>
      <c r="I26" s="6">
        <f t="shared" si="12"/>
        <v>39939934.643124007</v>
      </c>
      <c r="J26" s="6">
        <f t="shared" si="15"/>
        <v>12500000</v>
      </c>
      <c r="K26" s="5">
        <f t="shared" si="3"/>
        <v>250000000</v>
      </c>
      <c r="L26" s="11">
        <f t="shared" si="4"/>
        <v>138692032.13060114</v>
      </c>
      <c r="M26" s="9">
        <f t="shared" si="5"/>
        <v>-12500000</v>
      </c>
      <c r="N26" s="5">
        <f t="shared" si="6"/>
        <v>250000000</v>
      </c>
      <c r="O26" s="13">
        <f t="shared" si="7"/>
        <v>38370060.177704901</v>
      </c>
      <c r="P26" s="12">
        <f t="shared" si="13"/>
        <v>942689555.27556539</v>
      </c>
      <c r="Q26" s="12">
        <f t="shared" si="8"/>
        <v>-3458206.9701716211</v>
      </c>
      <c r="R26" s="12">
        <f t="shared" si="9"/>
        <v>1189231348.3053937</v>
      </c>
      <c r="S26" s="4">
        <f t="shared" si="14"/>
        <v>24</v>
      </c>
      <c r="T26" s="16">
        <f t="shared" si="10"/>
        <v>90424161.365201756</v>
      </c>
    </row>
    <row r="27" spans="5:20" x14ac:dyDescent="0.2">
      <c r="E27" s="4">
        <f t="shared" si="11"/>
        <v>25</v>
      </c>
      <c r="F27" s="5">
        <v>250000000</v>
      </c>
      <c r="G27" s="6">
        <f t="shared" si="0"/>
        <v>55798993.968273133</v>
      </c>
      <c r="H27" s="6">
        <f t="shared" si="1"/>
        <v>50310270.514419079</v>
      </c>
      <c r="I27" s="6">
        <f t="shared" si="12"/>
        <v>41273928.460204355</v>
      </c>
      <c r="J27" s="6">
        <f t="shared" si="15"/>
        <v>12500000</v>
      </c>
      <c r="K27" s="5">
        <f t="shared" si="3"/>
        <v>250000000</v>
      </c>
      <c r="L27" s="11">
        <f t="shared" si="4"/>
        <v>147383192.94289657</v>
      </c>
      <c r="M27" s="9">
        <f t="shared" si="5"/>
        <v>-12500000</v>
      </c>
      <c r="N27" s="5">
        <f t="shared" si="6"/>
        <v>250000000</v>
      </c>
      <c r="O27" s="13">
        <f>PV(5.5%,E27,,-L27)</f>
        <v>38648840.577916496</v>
      </c>
      <c r="P27" s="12">
        <f t="shared" si="13"/>
        <v>981338395.85348189</v>
      </c>
      <c r="Q27" s="12">
        <f t="shared" si="8"/>
        <v>-3277921.2987408731</v>
      </c>
      <c r="R27" s="12">
        <f t="shared" si="9"/>
        <v>1228060474.5547409</v>
      </c>
      <c r="S27" s="4">
        <f t="shared" si="14"/>
        <v>25</v>
      </c>
      <c r="T27" s="16">
        <f t="shared" si="10"/>
        <v>91551113.75715214</v>
      </c>
    </row>
  </sheetData>
  <mergeCells count="5">
    <mergeCell ref="F1:J1"/>
    <mergeCell ref="K1:M1"/>
    <mergeCell ref="N1:R1"/>
    <mergeCell ref="S1:T1"/>
    <mergeCell ref="A1:C1"/>
  </mergeCells>
  <conditionalFormatting sqref="T3:T27">
    <cfRule type="cellIs" dxfId="0" priority="1" operator="greaterThan">
      <formula>84230913.45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Checking M</vt:lpstr>
      <vt:lpstr>EAC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2021-10-06T18:26:46Z</dcterms:created>
  <dcterms:modified xsi:type="dcterms:W3CDTF">2021-10-06T19:39:30Z</dcterms:modified>
</cp:coreProperties>
</file>