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fazhussain/Library/CloudStorage/OneDrive-UniversityofVictoria/UVIC/4 Second Year Engineering/4 ECON 180 A01/3 Projects/Project 2/"/>
    </mc:Choice>
  </mc:AlternateContent>
  <xr:revisionPtr revIDLastSave="0" documentId="13_ncr:1_{59A6AB25-413A-DD42-B6EB-21F0960AECAC}" xr6:coauthVersionLast="47" xr6:coauthVersionMax="47" xr10:uidLastSave="{00000000-0000-0000-0000-000000000000}"/>
  <bookViews>
    <workbookView xWindow="12360" yWindow="4820" windowWidth="11600" windowHeight="13400" xr2:uid="{7B4CECA3-7A45-D64F-8BE6-9051563B2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I52" i="1"/>
  <c r="I50" i="1"/>
  <c r="I43" i="1"/>
  <c r="M44" i="1"/>
  <c r="C61" i="1"/>
  <c r="D61" i="1" s="1"/>
  <c r="E65" i="1" s="1"/>
  <c r="D49" i="1"/>
  <c r="E48" i="1"/>
  <c r="E49" i="1" s="1"/>
  <c r="D43" i="1"/>
  <c r="B48" i="1"/>
  <c r="A44" i="1"/>
  <c r="A45" i="1" s="1"/>
  <c r="A43" i="1"/>
  <c r="C43" i="1"/>
  <c r="M37" i="1"/>
  <c r="N36" i="1"/>
  <c r="N37" i="1"/>
  <c r="N35" i="1"/>
  <c r="M36" i="1"/>
  <c r="B28" i="1"/>
  <c r="K11" i="1"/>
  <c r="I17" i="1" s="1"/>
  <c r="I19" i="1" s="1"/>
  <c r="J17" i="1"/>
  <c r="J19" i="1" s="1"/>
  <c r="K17" i="1"/>
  <c r="K19" i="1" s="1"/>
  <c r="I21" i="1"/>
  <c r="J21" i="1"/>
  <c r="K21" i="1"/>
  <c r="D20" i="1"/>
  <c r="B27" i="1" s="1"/>
  <c r="B9" i="1"/>
  <c r="B10" i="1" s="1"/>
  <c r="C9" i="1"/>
  <c r="C10" i="1" s="1"/>
  <c r="D9" i="1"/>
  <c r="D10" i="1" s="1"/>
  <c r="E9" i="1"/>
  <c r="E10" i="1" s="1"/>
  <c r="C20" i="1"/>
  <c r="B20" i="1"/>
  <c r="B30" i="1" l="1"/>
  <c r="B31" i="1" s="1"/>
  <c r="B29" i="1"/>
  <c r="I56" i="1"/>
  <c r="I23" i="1"/>
  <c r="J23" i="1"/>
  <c r="K23" i="1"/>
</calcChain>
</file>

<file path=xl/sharedStrings.xml><?xml version="1.0" encoding="utf-8"?>
<sst xmlns="http://schemas.openxmlformats.org/spreadsheetml/2006/main" count="75" uniqueCount="48">
  <si>
    <t>Annuity</t>
  </si>
  <si>
    <t>Installments</t>
  </si>
  <si>
    <t>MARR</t>
  </si>
  <si>
    <t>Month 36</t>
  </si>
  <si>
    <t>Month 0</t>
  </si>
  <si>
    <t>Montreal</t>
  </si>
  <si>
    <t>KEY</t>
  </si>
  <si>
    <t xml:space="preserve">Present </t>
  </si>
  <si>
    <t>Instalments</t>
  </si>
  <si>
    <t>Interest</t>
  </si>
  <si>
    <t>Regina</t>
  </si>
  <si>
    <t>Victoria</t>
  </si>
  <si>
    <t>City</t>
  </si>
  <si>
    <t>Baseline Yearly Salary ($)</t>
  </si>
  <si>
    <t>Salary No Bonus Year 0 =</t>
  </si>
  <si>
    <t>Salary No Bonus Year 2 =</t>
  </si>
  <si>
    <t>Total =</t>
  </si>
  <si>
    <t>VICTORIA</t>
  </si>
  <si>
    <t>MONTREAL</t>
  </si>
  <si>
    <t>REGINA</t>
  </si>
  <si>
    <t>N</t>
  </si>
  <si>
    <t>MANDEEP MARR</t>
  </si>
  <si>
    <t>io (yearly)</t>
  </si>
  <si>
    <t>g, Growth Rate (yearly)</t>
  </si>
  <si>
    <t>Y3 Bonus Equivalent Y0 =</t>
  </si>
  <si>
    <t>A</t>
  </si>
  <si>
    <t>I (MARR)</t>
  </si>
  <si>
    <t>Present Value</t>
  </si>
  <si>
    <t>Future Value</t>
  </si>
  <si>
    <t>PV Income</t>
  </si>
  <si>
    <t>PV Housing</t>
  </si>
  <si>
    <t>NPV</t>
  </si>
  <si>
    <t>IBCR</t>
  </si>
  <si>
    <t>BCR</t>
  </si>
  <si>
    <t>AW</t>
  </si>
  <si>
    <t>Payment SemiMonth</t>
  </si>
  <si>
    <t>N-1</t>
  </si>
  <si>
    <t>MARR SemiMonth</t>
  </si>
  <si>
    <t>NPV (43 Years)</t>
  </si>
  <si>
    <t>NPV (6 months)</t>
  </si>
  <si>
    <t>NPV (1032 months)</t>
  </si>
  <si>
    <t>RESTAURANT (KEY)</t>
  </si>
  <si>
    <t>NPV Vanc</t>
  </si>
  <si>
    <t>AW (1032 months)</t>
  </si>
  <si>
    <t>Fish</t>
  </si>
  <si>
    <t>G</t>
  </si>
  <si>
    <t>io (monthly)</t>
  </si>
  <si>
    <t>g, Growth Rate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</si>
</sst>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$-1009]* #,##0.00_-;\-[$$-1009]* #,##0.00_-;_-[$$-1009]* &quot;-&quot;??_-;_-@_-"/>
    <numFmt numFmtId="165" formatCode="_-[$$-1009]* #,##0_-;\-[$$-1009]* #,##0_-;_-[$$-1009]* &quot;-&quot;??_-;_-@_-"/>
    <numFmt numFmtId="166" formatCode="_(&quot;$&quot;* #,##0_);_(&quot;$&quot;* \(#,##0\);_(&quot;$&quot;* &quot;-&quot;??_);_(@_)"/>
    <numFmt numFmtId="167" formatCode="0.00000%"/>
    <numFmt numFmtId="182" formatCode="0.0000000%"/>
    <numFmt numFmtId="183" formatCode="0.000000%"/>
    <numFmt numFmtId="184" formatCode="0.0000%"/>
    <numFmt numFmtId="187" formatCode="0.000"/>
    <numFmt numFmtId="202" formatCode="_-[$$-1009]* #,##0.0000_-;\-[$$-1009]* #,##0.0000_-;_-[$$-1009]* &quot;-&quot;??_-;_-@_-"/>
    <numFmt numFmtId="207" formatCode="0.000000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8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164" fontId="2" fillId="0" borderId="0" xfId="1" applyNumberFormat="1" applyFont="1"/>
    <xf numFmtId="165" fontId="2" fillId="0" borderId="0" xfId="1" applyNumberFormat="1" applyFont="1"/>
    <xf numFmtId="166" fontId="2" fillId="0" borderId="0" xfId="1" applyNumberFormat="1" applyFont="1"/>
    <xf numFmtId="167" fontId="2" fillId="0" borderId="0" xfId="2" applyNumberFormat="1" applyFont="1"/>
    <xf numFmtId="8" fontId="2" fillId="0" borderId="0" xfId="1" applyNumberFormat="1" applyFont="1"/>
    <xf numFmtId="0" fontId="2" fillId="0" borderId="0" xfId="2" applyNumberFormat="1" applyFont="1"/>
    <xf numFmtId="0" fontId="2" fillId="0" borderId="0" xfId="0" applyFont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2" fillId="0" borderId="0" xfId="2" applyNumberFormat="1" applyFont="1"/>
    <xf numFmtId="10" fontId="2" fillId="0" borderId="0" xfId="0" applyNumberFormat="1" applyFont="1"/>
    <xf numFmtId="167" fontId="2" fillId="0" borderId="0" xfId="0" applyNumberFormat="1" applyFont="1"/>
    <xf numFmtId="184" fontId="2" fillId="0" borderId="0" xfId="0" applyNumberFormat="1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44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87" fontId="2" fillId="0" borderId="0" xfId="0" applyNumberFormat="1" applyFont="1"/>
    <xf numFmtId="2" fontId="2" fillId="0" borderId="0" xfId="0" applyNumberFormat="1" applyFont="1"/>
    <xf numFmtId="182" fontId="2" fillId="0" borderId="0" xfId="2" applyNumberFormat="1" applyFont="1"/>
    <xf numFmtId="202" fontId="2" fillId="0" borderId="0" xfId="1" applyNumberFormat="1" applyFont="1" applyAlignment="1">
      <alignment horizontal="center" vertical="center"/>
    </xf>
    <xf numFmtId="183" fontId="3" fillId="0" borderId="0" xfId="2" applyNumberFormat="1" applyFont="1"/>
    <xf numFmtId="8" fontId="3" fillId="0" borderId="0" xfId="0" applyNumberFormat="1" applyFont="1"/>
    <xf numFmtId="44" fontId="3" fillId="0" borderId="0" xfId="1" applyFont="1"/>
    <xf numFmtId="207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0C8C-2B07-3948-9074-A700973163A2}">
  <dimension ref="A1:N65"/>
  <sheetViews>
    <sheetView tabSelected="1" topLeftCell="H33" zoomScaleNormal="96" workbookViewId="0">
      <selection activeCell="K43" sqref="K43"/>
    </sheetView>
  </sheetViews>
  <sheetFormatPr baseColWidth="10" defaultRowHeight="14" x14ac:dyDescent="0.2"/>
  <cols>
    <col min="1" max="1" width="15" style="2" bestFit="1" customWidth="1"/>
    <col min="2" max="2" width="21.3984375" style="2" customWidth="1"/>
    <col min="3" max="3" width="22" style="2" bestFit="1" customWidth="1"/>
    <col min="4" max="4" width="18" style="2" customWidth="1"/>
    <col min="5" max="5" width="20.3984375" style="2" customWidth="1"/>
    <col min="6" max="6" width="12.3984375" style="2" customWidth="1"/>
    <col min="7" max="7" width="0.3984375" style="2" customWidth="1"/>
    <col min="8" max="8" width="11" style="2"/>
    <col min="9" max="9" width="22" style="2" customWidth="1"/>
    <col min="10" max="10" width="22.19921875" style="2" customWidth="1"/>
    <col min="11" max="11" width="21.796875" style="2" customWidth="1"/>
    <col min="12" max="12" width="0.796875" style="2" customWidth="1"/>
    <col min="13" max="13" width="22" style="2" customWidth="1"/>
    <col min="14" max="17" width="11" style="2"/>
    <col min="18" max="18" width="39" style="2" customWidth="1"/>
    <col min="19" max="16384" width="11" style="2"/>
  </cols>
  <sheetData>
    <row r="1" spans="1:11" x14ac:dyDescent="0.2">
      <c r="A1" s="3" t="s">
        <v>0</v>
      </c>
      <c r="B1" s="6">
        <v>2000</v>
      </c>
      <c r="C1" s="5">
        <v>2903</v>
      </c>
      <c r="D1" s="5">
        <v>2307.96</v>
      </c>
      <c r="E1" s="4">
        <v>1656.09</v>
      </c>
      <c r="F1" s="4"/>
    </row>
    <row r="2" spans="1:11" x14ac:dyDescent="0.2">
      <c r="A2" s="2" t="s">
        <v>1</v>
      </c>
      <c r="B2" s="2">
        <v>480</v>
      </c>
      <c r="C2" s="2">
        <v>480</v>
      </c>
      <c r="D2" s="2">
        <v>300</v>
      </c>
      <c r="E2" s="2">
        <v>300</v>
      </c>
    </row>
    <row r="3" spans="1:11" x14ac:dyDescent="0.2">
      <c r="A3" s="2" t="s">
        <v>2</v>
      </c>
      <c r="B3" s="7">
        <v>4.4320000000000002E-3</v>
      </c>
      <c r="C3" s="7">
        <v>2.019E-3</v>
      </c>
      <c r="D3" s="7">
        <v>4.4320000000000002E-3</v>
      </c>
      <c r="E3" s="7">
        <v>2.0190999999999998E-3</v>
      </c>
      <c r="F3" s="7"/>
    </row>
    <row r="6" spans="1:11" ht="3" customHeight="1" x14ac:dyDescent="0.2"/>
    <row r="7" spans="1:11" x14ac:dyDescent="0.2">
      <c r="I7" s="2" t="s">
        <v>21</v>
      </c>
      <c r="J7" s="13">
        <v>5.45E-2</v>
      </c>
    </row>
    <row r="9" spans="1:11" x14ac:dyDescent="0.2">
      <c r="A9" s="2" t="s">
        <v>3</v>
      </c>
      <c r="B9" s="8">
        <f>PV(B3,B2,-B1)</f>
        <v>397241.51165078412</v>
      </c>
      <c r="C9" s="8">
        <f>PV(C3,C2,-C1)</f>
        <v>891766.43931133719</v>
      </c>
      <c r="D9" s="8">
        <f>PV(D3,D2,-D1)</f>
        <v>382562.34296250279</v>
      </c>
      <c r="E9" s="8">
        <f>PV(E3,E2,-E1)</f>
        <v>372368.62542785256</v>
      </c>
      <c r="F9" s="8"/>
      <c r="H9" s="12" t="s">
        <v>12</v>
      </c>
      <c r="I9" s="12" t="s">
        <v>13</v>
      </c>
      <c r="J9" s="2" t="s">
        <v>20</v>
      </c>
      <c r="K9" s="2">
        <v>40</v>
      </c>
    </row>
    <row r="10" spans="1:11" x14ac:dyDescent="0.2">
      <c r="A10" s="2" t="s">
        <v>4</v>
      </c>
      <c r="B10" s="8">
        <f>PV(B3,35,0,-B9)</f>
        <v>340279.44293958397</v>
      </c>
      <c r="C10" s="8">
        <f>PV(C3,35,,-C9)</f>
        <v>830983.96563206345</v>
      </c>
      <c r="D10" s="8">
        <f>PV(D3,36,,-D9)</f>
        <v>326259.19891310448</v>
      </c>
      <c r="E10" s="8">
        <f>PV(E3,36,,-E9)</f>
        <v>346287.7148541208</v>
      </c>
      <c r="F10" s="8"/>
      <c r="H10" s="12" t="s">
        <v>11</v>
      </c>
      <c r="I10" s="11">
        <v>73277</v>
      </c>
      <c r="J10" s="2" t="s">
        <v>23</v>
      </c>
      <c r="K10" s="13">
        <v>3.5000000000000003E-2</v>
      </c>
    </row>
    <row r="11" spans="1:11" x14ac:dyDescent="0.2">
      <c r="H11" s="12" t="s">
        <v>5</v>
      </c>
      <c r="I11" s="11">
        <v>84186</v>
      </c>
      <c r="J11" s="2" t="s">
        <v>22</v>
      </c>
      <c r="K11" s="16">
        <f>((1+J7)/(1+K10))-1</f>
        <v>1.8840579710144967E-2</v>
      </c>
    </row>
    <row r="12" spans="1:11" x14ac:dyDescent="0.2">
      <c r="B12" s="2" t="s">
        <v>5</v>
      </c>
      <c r="C12" s="2" t="s">
        <v>6</v>
      </c>
      <c r="D12" s="2" t="s">
        <v>10</v>
      </c>
      <c r="E12" s="2" t="s">
        <v>6</v>
      </c>
      <c r="H12" s="12" t="s">
        <v>10</v>
      </c>
      <c r="I12" s="11">
        <v>76255</v>
      </c>
    </row>
    <row r="15" spans="1:11" x14ac:dyDescent="0.2">
      <c r="A15" s="2" t="s">
        <v>7</v>
      </c>
      <c r="B15" s="6">
        <v>375600</v>
      </c>
      <c r="C15" s="6">
        <v>360996</v>
      </c>
      <c r="D15" s="6">
        <v>160000</v>
      </c>
      <c r="I15" s="2" t="s">
        <v>17</v>
      </c>
      <c r="J15" s="2" t="s">
        <v>18</v>
      </c>
      <c r="K15" s="2" t="s">
        <v>19</v>
      </c>
    </row>
    <row r="16" spans="1:11" x14ac:dyDescent="0.2">
      <c r="A16" s="2" t="s">
        <v>8</v>
      </c>
      <c r="B16" s="2">
        <v>300</v>
      </c>
      <c r="C16" s="2">
        <v>300</v>
      </c>
      <c r="D16" s="2">
        <v>60</v>
      </c>
      <c r="I16" s="2" t="s">
        <v>15</v>
      </c>
      <c r="J16" s="2" t="s">
        <v>15</v>
      </c>
      <c r="K16" s="2" t="s">
        <v>15</v>
      </c>
    </row>
    <row r="17" spans="1:14" x14ac:dyDescent="0.2">
      <c r="A17" s="2" t="s">
        <v>9</v>
      </c>
      <c r="B17" s="9">
        <v>4.5887000000000002E-3</v>
      </c>
      <c r="C17" s="9">
        <v>2.2499999999999998E-3</v>
      </c>
      <c r="D17" s="9">
        <v>1.38884E-2</v>
      </c>
      <c r="I17" s="17">
        <f>(PV($K11,$K9,-I10))/(1+K10)</f>
        <v>1976713.7596252051</v>
      </c>
      <c r="J17" s="17">
        <f>(PV($K11,$K9,-I11))/(1+K10)</f>
        <v>2270993.9621956074</v>
      </c>
      <c r="K17" s="17">
        <f>(PV($K11,$K9,-I12))/(1+K10)</f>
        <v>2057048.019709049</v>
      </c>
    </row>
    <row r="18" spans="1:14" x14ac:dyDescent="0.2">
      <c r="I18" s="2" t="s">
        <v>14</v>
      </c>
      <c r="J18" s="2" t="s">
        <v>14</v>
      </c>
      <c r="K18" s="2" t="s">
        <v>14</v>
      </c>
    </row>
    <row r="19" spans="1:14" x14ac:dyDescent="0.2">
      <c r="B19" s="2" t="s">
        <v>10</v>
      </c>
      <c r="C19" s="2" t="s">
        <v>6</v>
      </c>
      <c r="D19" s="2" t="s">
        <v>11</v>
      </c>
      <c r="I19" s="17">
        <f>PV($J7,2,,-I17)</f>
        <v>1777667.8464421195</v>
      </c>
      <c r="J19" s="17">
        <f t="shared" ref="J19:K19" si="0">PV($J7,2,,-J17)</f>
        <v>2042315.3966534694</v>
      </c>
      <c r="K19" s="17">
        <f t="shared" si="0"/>
        <v>1849912.8188987512</v>
      </c>
    </row>
    <row r="20" spans="1:14" x14ac:dyDescent="0.2">
      <c r="B20" s="1">
        <f>(PMT(B17,B16,-B15))</f>
        <v>2307.9573748094308</v>
      </c>
      <c r="C20" s="1">
        <f>(PMT(C17,C16,-C15))</f>
        <v>1656.0888825364821</v>
      </c>
      <c r="D20" s="1">
        <f>(PMT(D17,D16,-D15))</f>
        <v>3947.741130565556</v>
      </c>
      <c r="I20" s="2" t="s">
        <v>24</v>
      </c>
      <c r="J20" s="2" t="s">
        <v>24</v>
      </c>
      <c r="K20" s="2" t="s">
        <v>24</v>
      </c>
    </row>
    <row r="21" spans="1:14" x14ac:dyDescent="0.2">
      <c r="A21" s="1"/>
      <c r="B21" s="1"/>
      <c r="I21" s="8">
        <f>(PV($J7,3,,-($I10/4)))</f>
        <v>15623.12606723713</v>
      </c>
      <c r="J21" s="8">
        <f>(PV($J7,3,,-($I11/4)))</f>
        <v>17948.994788220381</v>
      </c>
      <c r="K21" s="8">
        <f>(PV($J7,3,,-($I12/4)))</f>
        <v>16258.05475465927</v>
      </c>
    </row>
    <row r="22" spans="1:14" x14ac:dyDescent="0.2">
      <c r="I22" s="2" t="s">
        <v>16</v>
      </c>
      <c r="J22" s="2" t="s">
        <v>16</v>
      </c>
      <c r="K22" s="2" t="s">
        <v>16</v>
      </c>
    </row>
    <row r="23" spans="1:14" x14ac:dyDescent="0.2">
      <c r="I23" s="18">
        <f>I19+I21</f>
        <v>1793290.9725093567</v>
      </c>
      <c r="J23" s="18">
        <f>J19+J21</f>
        <v>2060264.3914416898</v>
      </c>
      <c r="K23" s="18">
        <f>K19+K21</f>
        <v>1866170.8736534105</v>
      </c>
    </row>
    <row r="24" spans="1:14" ht="5" customHeight="1" x14ac:dyDescent="0.2"/>
    <row r="26" spans="1:14" x14ac:dyDescent="0.2">
      <c r="A26" s="2" t="s">
        <v>20</v>
      </c>
      <c r="B26" s="2">
        <v>60</v>
      </c>
    </row>
    <row r="27" spans="1:14" x14ac:dyDescent="0.2">
      <c r="A27" s="2" t="s">
        <v>25</v>
      </c>
      <c r="B27" s="17">
        <f>D20</f>
        <v>3947.741130565556</v>
      </c>
    </row>
    <row r="28" spans="1:14" x14ac:dyDescent="0.2">
      <c r="A28" s="2" t="s">
        <v>26</v>
      </c>
      <c r="B28" s="14">
        <f>D17</f>
        <v>1.38884E-2</v>
      </c>
      <c r="I28" s="10"/>
      <c r="J28" s="10"/>
      <c r="K28" s="10"/>
    </row>
    <row r="29" spans="1:14" x14ac:dyDescent="0.2">
      <c r="A29" s="2" t="s">
        <v>27</v>
      </c>
      <c r="B29" s="8">
        <f>PV(B28,B26,-B27)</f>
        <v>159999.99999999948</v>
      </c>
      <c r="I29" s="20"/>
      <c r="J29" s="21"/>
      <c r="K29" s="17"/>
      <c r="M29" s="22"/>
      <c r="N29" s="22"/>
    </row>
    <row r="30" spans="1:14" x14ac:dyDescent="0.2">
      <c r="A30" s="2" t="s">
        <v>28</v>
      </c>
      <c r="B30" s="1">
        <f>FV(D17,D16,-B27)</f>
        <v>366040.58369259554</v>
      </c>
      <c r="I30" s="20"/>
      <c r="J30" s="21"/>
      <c r="K30" s="17"/>
      <c r="M30" s="22"/>
      <c r="N30" s="22"/>
    </row>
    <row r="31" spans="1:14" x14ac:dyDescent="0.2">
      <c r="B31" s="1">
        <f>PV(J7,D16,,-B30)</f>
        <v>15161.221569918353</v>
      </c>
      <c r="I31" s="20"/>
      <c r="J31" s="21"/>
      <c r="K31" s="17"/>
      <c r="M31" s="22"/>
      <c r="N31" s="22"/>
    </row>
    <row r="34" spans="1:14" x14ac:dyDescent="0.2">
      <c r="I34" s="2" t="s">
        <v>29</v>
      </c>
      <c r="J34" s="2" t="s">
        <v>30</v>
      </c>
      <c r="K34" s="2" t="s">
        <v>31</v>
      </c>
      <c r="M34" s="2" t="s">
        <v>32</v>
      </c>
      <c r="N34" s="2" t="s">
        <v>33</v>
      </c>
    </row>
    <row r="35" spans="1:14" x14ac:dyDescent="0.2">
      <c r="I35" s="23">
        <v>1855509.35</v>
      </c>
      <c r="J35" s="23">
        <v>170000</v>
      </c>
      <c r="K35" s="23">
        <v>1685509.35</v>
      </c>
      <c r="L35" s="23"/>
      <c r="M35" s="23"/>
      <c r="N35" s="23">
        <f>I35/J35</f>
        <v>10.914760882352942</v>
      </c>
    </row>
    <row r="36" spans="1:14" x14ac:dyDescent="0.2">
      <c r="A36" s="13"/>
      <c r="B36" s="25"/>
      <c r="I36" s="23">
        <v>1930917.82</v>
      </c>
      <c r="J36" s="23">
        <v>326259.20000000001</v>
      </c>
      <c r="K36" s="23">
        <v>1604658.62</v>
      </c>
      <c r="L36" s="23"/>
      <c r="M36" s="23">
        <f>(I36-I35)/(J36-J35)</f>
        <v>0.48258579334848745</v>
      </c>
      <c r="N36" s="23">
        <f t="shared" ref="N36:N37" si="1">I36/J36</f>
        <v>5.9183551605594573</v>
      </c>
    </row>
    <row r="37" spans="1:14" x14ac:dyDescent="0.2">
      <c r="I37" s="23">
        <v>2131745.4300000002</v>
      </c>
      <c r="J37" s="23">
        <v>340279.44</v>
      </c>
      <c r="K37" s="23">
        <v>1791465.9900000002</v>
      </c>
      <c r="L37" s="23"/>
      <c r="M37" s="23">
        <f>(I37-I35)/(J37-J35)</f>
        <v>1.6222515178579402</v>
      </c>
      <c r="N37" s="23">
        <f t="shared" si="1"/>
        <v>6.2646906612988431</v>
      </c>
    </row>
    <row r="38" spans="1:14" x14ac:dyDescent="0.2">
      <c r="A38" s="19"/>
      <c r="B38" s="19" t="s">
        <v>41</v>
      </c>
    </row>
    <row r="39" spans="1:14" x14ac:dyDescent="0.2">
      <c r="A39" s="19">
        <v>1250</v>
      </c>
      <c r="B39" s="19" t="s">
        <v>35</v>
      </c>
      <c r="C39" s="2">
        <v>2200</v>
      </c>
      <c r="D39" s="2">
        <v>2200</v>
      </c>
    </row>
    <row r="40" spans="1:14" x14ac:dyDescent="0.2">
      <c r="A40" s="19">
        <v>23</v>
      </c>
      <c r="B40" s="19" t="s">
        <v>36</v>
      </c>
      <c r="C40" s="2">
        <v>12</v>
      </c>
      <c r="D40" s="2">
        <v>1031</v>
      </c>
      <c r="I40" s="2" t="s">
        <v>21</v>
      </c>
      <c r="J40" s="13">
        <v>4.4320192190000001E-3</v>
      </c>
    </row>
    <row r="41" spans="1:14" x14ac:dyDescent="0.2">
      <c r="A41" s="26">
        <v>1.009037432E-3</v>
      </c>
      <c r="B41" s="19" t="s">
        <v>37</v>
      </c>
      <c r="C41" s="24">
        <v>2.2135000000000002E-3</v>
      </c>
      <c r="D41" s="24">
        <v>2.2135000000000002E-3</v>
      </c>
    </row>
    <row r="42" spans="1:14" x14ac:dyDescent="0.2">
      <c r="A42" s="19"/>
      <c r="B42" s="19"/>
      <c r="H42" s="12" t="s">
        <v>12</v>
      </c>
      <c r="I42" s="12" t="s">
        <v>13</v>
      </c>
      <c r="J42" s="2" t="s">
        <v>20</v>
      </c>
      <c r="K42" s="2">
        <v>480</v>
      </c>
    </row>
    <row r="43" spans="1:14" x14ac:dyDescent="0.2">
      <c r="A43" s="27">
        <f>1250+(PV($A41,A40,-A39))</f>
        <v>29654.790191373962</v>
      </c>
      <c r="B43" s="27" t="s">
        <v>39</v>
      </c>
      <c r="C43" s="17">
        <f>C39+(PV(C41,11,C39))</f>
        <v>-21681.658891463187</v>
      </c>
      <c r="D43" s="17">
        <f>D39+(PV(D41,D40,D39))</f>
        <v>-889999.65038813173</v>
      </c>
      <c r="H43" s="12" t="s">
        <v>11</v>
      </c>
      <c r="I43" s="11">
        <f>I10/12</f>
        <v>6106.416666666667</v>
      </c>
      <c r="J43" s="2" t="s">
        <v>47</v>
      </c>
      <c r="K43" s="15">
        <v>2.8708987189999999E-3</v>
      </c>
    </row>
    <row r="44" spans="1:14" x14ac:dyDescent="0.2">
      <c r="A44" s="27">
        <f>1250+(PV($A41,1031,-A39))</f>
        <v>802102.56883557898</v>
      </c>
      <c r="B44" s="27" t="s">
        <v>40</v>
      </c>
      <c r="H44" s="12"/>
      <c r="I44" s="11"/>
      <c r="J44" s="2" t="s">
        <v>46</v>
      </c>
      <c r="K44" s="29">
        <v>1.5566515111704593E-3</v>
      </c>
      <c r="M44" s="7">
        <f>((1+J40)/(1+K43))-1</f>
        <v>1.5566515111704593E-3</v>
      </c>
    </row>
    <row r="45" spans="1:14" x14ac:dyDescent="0.2">
      <c r="A45" s="27">
        <f>PMT(2.45%,43,A44)</f>
        <v>-30381.332548238945</v>
      </c>
      <c r="B45" s="19" t="s">
        <v>43</v>
      </c>
      <c r="D45" s="17"/>
      <c r="E45" s="17"/>
      <c r="H45" s="12"/>
      <c r="I45" s="11"/>
    </row>
    <row r="46" spans="1:14" x14ac:dyDescent="0.2">
      <c r="A46" s="19"/>
      <c r="B46" s="19"/>
      <c r="D46" s="17"/>
      <c r="E46" s="17"/>
    </row>
    <row r="47" spans="1:14" x14ac:dyDescent="0.2">
      <c r="A47" s="19" t="s">
        <v>42</v>
      </c>
      <c r="B47" s="28">
        <v>1400651.33</v>
      </c>
      <c r="D47" s="19" t="s">
        <v>11</v>
      </c>
      <c r="E47" s="28" t="s">
        <v>44</v>
      </c>
    </row>
    <row r="48" spans="1:14" x14ac:dyDescent="0.2">
      <c r="A48" s="19" t="s">
        <v>34</v>
      </c>
      <c r="B48" s="27">
        <f>PMT(2.45%,43,-B47)</f>
        <v>53052.633783031975</v>
      </c>
      <c r="C48" s="19" t="s">
        <v>38</v>
      </c>
      <c r="D48" s="17">
        <v>1685509.35</v>
      </c>
      <c r="E48" s="17">
        <f>D39+(PV(D41,D40,D39))</f>
        <v>-889999.65038813173</v>
      </c>
      <c r="I48" s="2" t="s">
        <v>17</v>
      </c>
    </row>
    <row r="49" spans="2:11" x14ac:dyDescent="0.2">
      <c r="C49" s="19" t="s">
        <v>43</v>
      </c>
      <c r="D49" s="8">
        <f>PMT(2.45%,43,D48)</f>
        <v>-63842.234229289788</v>
      </c>
      <c r="E49" s="8">
        <f>PMT(2.45%,43,E48)</f>
        <v>33710.620557557348</v>
      </c>
      <c r="I49" s="2" t="s">
        <v>15</v>
      </c>
    </row>
    <row r="50" spans="2:11" x14ac:dyDescent="0.2">
      <c r="D50" s="17"/>
      <c r="E50" s="17"/>
      <c r="I50" s="17">
        <f>(PV(K44,$K42,-I43))/(1+K43)</f>
        <v>2057598.92306742</v>
      </c>
      <c r="J50" s="17"/>
      <c r="K50" s="17"/>
    </row>
    <row r="51" spans="2:11" x14ac:dyDescent="0.2">
      <c r="D51" s="17"/>
      <c r="E51" s="17"/>
      <c r="I51" s="2" t="s">
        <v>14</v>
      </c>
    </row>
    <row r="52" spans="2:11" x14ac:dyDescent="0.2">
      <c r="D52" s="17"/>
      <c r="E52" s="17"/>
      <c r="I52" s="8">
        <f>PV($J40,24,,-I50)</f>
        <v>1850408.2488398748</v>
      </c>
      <c r="J52" s="17"/>
      <c r="K52" s="17"/>
    </row>
    <row r="53" spans="2:11" x14ac:dyDescent="0.2">
      <c r="D53" s="17"/>
      <c r="E53" s="17"/>
      <c r="I53" s="2" t="s">
        <v>24</v>
      </c>
    </row>
    <row r="54" spans="2:11" x14ac:dyDescent="0.2">
      <c r="D54" s="17"/>
      <c r="E54" s="17"/>
      <c r="I54" s="8">
        <f>(PV($J40,36,,-(($I43*12)/4)))</f>
        <v>15623.126067204303</v>
      </c>
      <c r="J54" s="8"/>
      <c r="K54" s="8"/>
    </row>
    <row r="55" spans="2:11" x14ac:dyDescent="0.2">
      <c r="D55" s="17"/>
      <c r="E55" s="17"/>
      <c r="I55" s="2" t="s">
        <v>16</v>
      </c>
    </row>
    <row r="56" spans="2:11" x14ac:dyDescent="0.2">
      <c r="D56" s="17"/>
      <c r="E56" s="17"/>
      <c r="I56" s="18">
        <f>I52+I54</f>
        <v>1866031.3749070792</v>
      </c>
      <c r="J56" s="18"/>
      <c r="K56" s="18"/>
    </row>
    <row r="57" spans="2:11" x14ac:dyDescent="0.2">
      <c r="D57" s="17"/>
      <c r="E57" s="17"/>
    </row>
    <row r="58" spans="2:11" x14ac:dyDescent="0.2">
      <c r="D58" s="17"/>
      <c r="E58" s="17"/>
    </row>
    <row r="59" spans="2:11" x14ac:dyDescent="0.2">
      <c r="B59" s="2" t="s">
        <v>45</v>
      </c>
      <c r="C59" s="17">
        <v>158486.6666</v>
      </c>
      <c r="D59" s="17"/>
      <c r="E59" s="17"/>
    </row>
    <row r="60" spans="2:11" x14ac:dyDescent="0.2">
      <c r="D60" s="17"/>
      <c r="E60" s="17"/>
    </row>
    <row r="61" spans="2:11" x14ac:dyDescent="0.2">
      <c r="C61" s="18">
        <f>C59*((1/5.45%)-(40/((1+5.45%)^40-1)))</f>
        <v>2045898.7525917909</v>
      </c>
      <c r="D61" s="1">
        <f>PV(5.45%,2,,-C61)</f>
        <v>1839886.2313014138</v>
      </c>
    </row>
    <row r="62" spans="2:11" x14ac:dyDescent="0.2">
      <c r="E62" s="17">
        <v>15623.12607</v>
      </c>
    </row>
    <row r="65" spans="5:5" x14ac:dyDescent="0.2">
      <c r="E65" s="1">
        <f>D61+E62</f>
        <v>1855509.3573714138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Hussain</dc:creator>
  <cp:lastModifiedBy>Arfaz Hussain</cp:lastModifiedBy>
  <dcterms:created xsi:type="dcterms:W3CDTF">2022-10-05T03:39:25Z</dcterms:created>
  <dcterms:modified xsi:type="dcterms:W3CDTF">2022-10-07T10:53:59Z</dcterms:modified>
</cp:coreProperties>
</file>