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fc\Documents\GitHub\i2cner\"/>
    </mc:Choice>
  </mc:AlternateContent>
  <xr:revisionPtr revIDLastSave="0" documentId="13_ncr:40009_{7C852B55-90E8-453A-B56B-B4857D255E2E}" xr6:coauthVersionLast="34" xr6:coauthVersionMax="34" xr10:uidLastSave="{00000000-0000-0000-0000-000000000000}"/>
  <bookViews>
    <workbookView xWindow="0" yWindow="0" windowWidth="15360" windowHeight="7545"/>
  </bookViews>
  <sheets>
    <sheet name="Sheet1" sheetId="1" r:id="rId1"/>
    <sheet name="Sheet2" sheetId="2" r:id="rId2"/>
    <sheet name="CO2" sheetId="3" r:id="rId3"/>
  </sheets>
  <calcPr calcId="179017" fullCalcOnLoad="1"/>
</workbook>
</file>

<file path=xl/calcChain.xml><?xml version="1.0" encoding="utf-8"?>
<calcChain xmlns="http://schemas.openxmlformats.org/spreadsheetml/2006/main">
  <c r="J19" i="1" l="1"/>
  <c r="J20" i="1"/>
  <c r="J21" i="1"/>
  <c r="J22" i="1"/>
  <c r="J23" i="1"/>
  <c r="J18" i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G21" i="1"/>
  <c r="M10" i="1"/>
  <c r="M12" i="1" s="1"/>
  <c r="M14" i="1" s="1"/>
  <c r="L10" i="1"/>
  <c r="L12" i="1" s="1"/>
  <c r="L14" i="1" s="1"/>
  <c r="K10" i="1"/>
  <c r="K12" i="1" s="1"/>
  <c r="K14" i="1" s="1"/>
  <c r="I10" i="1"/>
  <c r="I12" i="1" s="1"/>
  <c r="I14" i="1" s="1"/>
  <c r="G10" i="1"/>
  <c r="G12" i="1" s="1"/>
  <c r="G14" i="1" s="1"/>
  <c r="F10" i="1"/>
  <c r="F12" i="1" s="1"/>
  <c r="F14" i="1" s="1"/>
  <c r="E10" i="1"/>
  <c r="E12" i="1" s="1"/>
  <c r="E14" i="1" s="1"/>
  <c r="B10" i="1"/>
  <c r="B12" i="1" s="1"/>
  <c r="B14" i="1" s="1"/>
  <c r="H9" i="1"/>
  <c r="O9" i="1" s="1"/>
  <c r="H8" i="1"/>
  <c r="O8" i="1" s="1"/>
  <c r="H7" i="1"/>
  <c r="O7" i="1" s="1"/>
  <c r="H6" i="1"/>
  <c r="O6" i="1" s="1"/>
  <c r="H5" i="1"/>
  <c r="O5" i="1" s="1"/>
  <c r="H4" i="1"/>
  <c r="O4" i="1" s="1"/>
  <c r="R4" i="1" l="1"/>
  <c r="Q4" i="1"/>
  <c r="R5" i="1"/>
  <c r="Q5" i="1"/>
  <c r="R6" i="1"/>
  <c r="Q6" i="1"/>
  <c r="R7" i="1"/>
  <c r="Q7" i="1"/>
  <c r="R8" i="1"/>
  <c r="Q8" i="1"/>
  <c r="R9" i="1"/>
  <c r="Q9" i="1"/>
</calcChain>
</file>

<file path=xl/sharedStrings.xml><?xml version="1.0" encoding="utf-8"?>
<sst xmlns="http://schemas.openxmlformats.org/spreadsheetml/2006/main" count="85" uniqueCount="57">
  <si>
    <t>CAP2ACT</t>
  </si>
  <si>
    <t>Unit</t>
  </si>
  <si>
    <t>GWh</t>
  </si>
  <si>
    <t>FY</t>
  </si>
  <si>
    <t>Hydro</t>
  </si>
  <si>
    <t>Pumped-storage</t>
  </si>
  <si>
    <t>Thermal</t>
  </si>
  <si>
    <t>Coal</t>
  </si>
  <si>
    <t>Oil</t>
  </si>
  <si>
    <t>LNG</t>
  </si>
  <si>
    <t>Th-fossil</t>
  </si>
  <si>
    <t>Nuclear</t>
  </si>
  <si>
    <t>Alt Energy</t>
  </si>
  <si>
    <t>Wind</t>
  </si>
  <si>
    <t>PV</t>
  </si>
  <si>
    <t>Geo</t>
  </si>
  <si>
    <t>Other Utils</t>
  </si>
  <si>
    <t>Total</t>
  </si>
  <si>
    <t>Total from EDMC</t>
  </si>
  <si>
    <t>Error</t>
  </si>
  <si>
    <t>Tot (w/o PS,other)</t>
  </si>
  <si>
    <t>STOCK 1</t>
  </si>
  <si>
    <t>STOCK 2</t>
  </si>
  <si>
    <t>AVG STOCK 1</t>
  </si>
  <si>
    <t>AVG STOCK 2</t>
  </si>
  <si>
    <t>CAP1</t>
  </si>
  <si>
    <t>CAP2</t>
  </si>
  <si>
    <t>LCOE</t>
  </si>
  <si>
    <t>USD/MWh</t>
  </si>
  <si>
    <t>2016(Lazard)</t>
  </si>
  <si>
    <t>2015(OECD NEA 10 %)</t>
  </si>
  <si>
    <t>2014 IEEJ</t>
  </si>
  <si>
    <t>yen/kwh</t>
  </si>
  <si>
    <t>CCGT</t>
  </si>
  <si>
    <t>Onshore</t>
  </si>
  <si>
    <t>Ground mnted</t>
  </si>
  <si>
    <t>Pumped Storage</t>
  </si>
  <si>
    <t>Source</t>
  </si>
  <si>
    <t>https://link-springer-com.proxy2.library.illinois.edu/chapter/10.1007/978-3-319-66420-0_2</t>
  </si>
  <si>
    <t>https://www.sciencedirect.com/science/article/pii/S1364032117309486</t>
  </si>
  <si>
    <t>Prod</t>
  </si>
  <si>
    <t>Dmd</t>
  </si>
  <si>
    <t>Diff</t>
  </si>
  <si>
    <t>Yr</t>
  </si>
  <si>
    <t>gCO2/kWh</t>
  </si>
  <si>
    <t>Amponsah et al 2014</t>
  </si>
  <si>
    <t>100% onshore</t>
  </si>
  <si>
    <t>Amponsah et al 2014\</t>
  </si>
  <si>
    <t>ref 10</t>
  </si>
  <si>
    <t>PVS</t>
  </si>
  <si>
    <t>Biomass</t>
  </si>
  <si>
    <t>More verification</t>
  </si>
  <si>
    <t>Lenzen 2008</t>
  </si>
  <si>
    <t>Sovacool 2008</t>
  </si>
  <si>
    <t>OLD</t>
  </si>
  <si>
    <t>Nuclear Stock</t>
  </si>
  <si>
    <t>Nuc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</si>
</sst>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&quot; &quot;"/>
    <numFmt numFmtId="165" formatCode="[$$-409]#,##0.00;[Red]&quot;-&quot;[$$-409]#,##0.00"/>
    <numFmt numFmtId="166" formatCode="_-* #,##0.00_-;\-* #,##0.00_-;_-* \-??_-;_-@_-"/>
  </numFmts>
  <fonts count="10">
    <font>
      <sz val="11"/>
      <color rgb="FF000000"/>
      <name val="Liberation Sans"/>
    </font>
    <font>
      <sz val="11"/>
      <color theme="1"/>
      <name val="Calibri"/>
      <family val="2"/>
      <scheme val="minor"/>
    </font>
    <font>
      <b/>
      <i/>
      <sz val="16"/>
      <color rgb="FF000000"/>
      <name val="Liberation Sans"/>
    </font>
    <font>
      <b/>
      <i/>
      <u/>
      <sz val="11"/>
      <color rgb="FF000000"/>
      <name val="Liberation Sans"/>
    </font>
    <font>
      <b/>
      <sz val="11"/>
      <color rgb="FF000000"/>
      <name val="Liberation Sans"/>
    </font>
    <font>
      <sz val="11"/>
      <color rgb="FFFF3333"/>
      <name val="Liberation Sans"/>
    </font>
    <font>
      <sz val="11"/>
      <color rgb="FF800000"/>
      <name val="Liberation Sans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indexed="27"/>
        <bgColor indexed="41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165" fontId="3" fillId="0" borderId="0" applyBorder="0" applyProtection="0"/>
    <xf numFmtId="0" fontId="7" fillId="0" borderId="0"/>
    <xf numFmtId="0" fontId="1" fillId="2" borderId="0" applyNumberFormat="0" applyBorder="0" applyAlignment="0" applyProtection="0"/>
    <xf numFmtId="166" fontId="7" fillId="0" borderId="0" applyFill="0" applyBorder="0" applyAlignment="0" applyProtection="0"/>
    <xf numFmtId="0" fontId="8" fillId="3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9" fillId="0" borderId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0" fontId="7" fillId="0" borderId="0"/>
  </cellStyleXfs>
  <cellXfs count="7">
    <xf numFmtId="0" fontId="0" fillId="0" borderId="0" xfId="0"/>
    <xf numFmtId="11" fontId="0" fillId="0" borderId="0" xfId="0" applyNumberFormat="1"/>
    <xf numFmtId="0" fontId="4" fillId="0" borderId="0" xfId="0" applyFont="1"/>
    <xf numFmtId="164" fontId="0" fillId="0" borderId="0" xfId="0" applyNumberFormat="1"/>
    <xf numFmtId="0" fontId="5" fillId="0" borderId="0" xfId="0" applyFont="1"/>
    <xf numFmtId="0" fontId="6" fillId="0" borderId="0" xfId="0" applyFont="1"/>
    <xf numFmtId="164" fontId="4" fillId="0" borderId="0" xfId="0" applyNumberFormat="1" applyFont="1"/>
  </cellXfs>
  <cellStyles count="25">
    <cellStyle name="20% - Accent5 2" xfId="6"/>
    <cellStyle name="Comma 2" xfId="7"/>
    <cellStyle name="Excel_BuiltIn_20% - Accent5 1" xfId="8"/>
    <cellStyle name="Heading" xfId="1"/>
    <cellStyle name="Heading1" xfId="2"/>
    <cellStyle name="Normal" xfId="0" builtinId="0" customBuiltin="1"/>
    <cellStyle name="Normal 10" xfId="9"/>
    <cellStyle name="Normal 2" xfId="10"/>
    <cellStyle name="Normal 3" xfId="11"/>
    <cellStyle name="Normal 4" xfId="12"/>
    <cellStyle name="Normal 4 2" xfId="13"/>
    <cellStyle name="Normal 5" xfId="14"/>
    <cellStyle name="Normal 6" xfId="15"/>
    <cellStyle name="Normal 7" xfId="16"/>
    <cellStyle name="Normal 8" xfId="17"/>
    <cellStyle name="Normal 9" xfId="5"/>
    <cellStyle name="Normal 9 2" xfId="18"/>
    <cellStyle name="Normale_B2020" xfId="19"/>
    <cellStyle name="Percent 2" xfId="21"/>
    <cellStyle name="Percent 3" xfId="22"/>
    <cellStyle name="Percent 4" xfId="23"/>
    <cellStyle name="Percent 5" xfId="20"/>
    <cellStyle name="Result" xfId="3"/>
    <cellStyle name="Result2" xfId="4"/>
    <cellStyle name="Standard_Sce_D_Extraction" xf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abSelected="1" topLeftCell="B4" workbookViewId="0">
      <selection activeCell="J17" sqref="J17"/>
    </sheetView>
  </sheetViews>
  <sheetFormatPr defaultColWidth="8.75" defaultRowHeight="13.9"/>
  <cols>
    <col min="1" max="1" width="17.125" customWidth="1"/>
    <col min="2" max="2" width="10.75" customWidth="1"/>
    <col min="3" max="3" width="12.75" customWidth="1"/>
    <col min="4" max="18" width="10.75" customWidth="1"/>
    <col min="19" max="19" width="8.75" customWidth="1"/>
  </cols>
  <sheetData>
    <row r="1" spans="1:18" ht="14.25">
      <c r="A1" t="s">
        <v>0</v>
      </c>
      <c r="B1">
        <v>8760</v>
      </c>
    </row>
    <row r="2" spans="1:18" ht="14.25">
      <c r="A2" t="s">
        <v>1</v>
      </c>
      <c r="B2" s="1"/>
      <c r="C2" t="s">
        <v>2</v>
      </c>
    </row>
    <row r="3" spans="1:18" ht="15">
      <c r="A3" s="2" t="s">
        <v>3</v>
      </c>
      <c r="B3" s="2" t="s">
        <v>4</v>
      </c>
      <c r="C3" t="s">
        <v>5</v>
      </c>
      <c r="D3" t="s">
        <v>6</v>
      </c>
      <c r="E3" s="2" t="s">
        <v>7</v>
      </c>
      <c r="F3" s="2" t="s">
        <v>8</v>
      </c>
      <c r="G3" s="2" t="s">
        <v>9</v>
      </c>
      <c r="H3" t="s">
        <v>10</v>
      </c>
      <c r="I3" s="2" t="s">
        <v>11</v>
      </c>
      <c r="J3" t="s">
        <v>12</v>
      </c>
      <c r="K3" s="2" t="s">
        <v>13</v>
      </c>
      <c r="L3" s="2" t="s">
        <v>14</v>
      </c>
      <c r="M3" s="2" t="s">
        <v>15</v>
      </c>
      <c r="N3" t="s">
        <v>16</v>
      </c>
      <c r="O3" t="s">
        <v>17</v>
      </c>
      <c r="P3" t="s">
        <v>18</v>
      </c>
      <c r="Q3" t="s">
        <v>19</v>
      </c>
      <c r="R3" t="s">
        <v>20</v>
      </c>
    </row>
    <row r="4" spans="1:18" ht="14.25">
      <c r="A4">
        <v>2011</v>
      </c>
      <c r="B4" s="3">
        <v>74378.178</v>
      </c>
      <c r="D4">
        <v>678527.15</v>
      </c>
      <c r="E4">
        <v>204514.005</v>
      </c>
      <c r="F4">
        <v>107134.89</v>
      </c>
      <c r="G4">
        <v>392271.04200000002</v>
      </c>
      <c r="H4">
        <f t="shared" ref="H4:H9" si="0">SUM(E4:G4)-D4</f>
        <v>25392.787000000011</v>
      </c>
      <c r="I4">
        <v>101761.003</v>
      </c>
      <c r="J4">
        <v>2738.8919999999998</v>
      </c>
      <c r="K4">
        <v>179.636</v>
      </c>
      <c r="L4">
        <v>40.783999999999999</v>
      </c>
      <c r="M4">
        <v>2518.4720000000002</v>
      </c>
      <c r="O4">
        <f t="shared" ref="O4:O9" si="1">SUM(B4:M4)-H4-J4-C4-D4</f>
        <v>882798.01000000013</v>
      </c>
      <c r="P4">
        <v>857405.223</v>
      </c>
      <c r="Q4">
        <f t="shared" ref="Q4:Q9" si="2">ABS(P4-O4)/P4</f>
        <v>2.9615852946582911E-2</v>
      </c>
      <c r="R4">
        <f t="shared" ref="R4:R9" si="3">O4-N4-C4</f>
        <v>882798.01000000013</v>
      </c>
    </row>
    <row r="5" spans="1:18" ht="14.25">
      <c r="A5">
        <v>2012</v>
      </c>
      <c r="B5">
        <v>67359.986999999994</v>
      </c>
      <c r="D5">
        <v>735941.77800000005</v>
      </c>
      <c r="E5">
        <v>214514.005</v>
      </c>
      <c r="F5">
        <v>106134.89</v>
      </c>
      <c r="G5">
        <v>395271.04200000002</v>
      </c>
      <c r="H5">
        <f t="shared" si="0"/>
        <v>-20021.841000000015</v>
      </c>
      <c r="I5">
        <v>15939.413</v>
      </c>
      <c r="J5">
        <v>2713.4929999999999</v>
      </c>
      <c r="K5">
        <v>167.09299999999999</v>
      </c>
      <c r="L5">
        <v>85.981999999999999</v>
      </c>
      <c r="M5">
        <v>2460.4180000000001</v>
      </c>
      <c r="O5">
        <f t="shared" si="1"/>
        <v>801932.83000000019</v>
      </c>
      <c r="P5">
        <v>821954.67099999997</v>
      </c>
      <c r="Q5">
        <f t="shared" si="2"/>
        <v>2.4358814064090625E-2</v>
      </c>
      <c r="R5">
        <f t="shared" si="3"/>
        <v>801932.83000000019</v>
      </c>
    </row>
    <row r="6" spans="1:18" ht="14.25">
      <c r="A6">
        <v>2013</v>
      </c>
      <c r="B6">
        <v>68563.820000000007</v>
      </c>
      <c r="D6">
        <v>743117.98300000001</v>
      </c>
      <c r="E6">
        <v>234514.005</v>
      </c>
      <c r="F6">
        <v>108134.89</v>
      </c>
      <c r="G6">
        <v>399271.04200000002</v>
      </c>
      <c r="H6">
        <f t="shared" si="0"/>
        <v>-1198.045999999973</v>
      </c>
      <c r="I6">
        <v>9302.75</v>
      </c>
      <c r="J6">
        <v>2683.8560000000002</v>
      </c>
      <c r="K6">
        <v>162.672</v>
      </c>
      <c r="L6">
        <v>85.567999999999998</v>
      </c>
      <c r="M6">
        <v>2435.616</v>
      </c>
      <c r="O6">
        <f t="shared" si="1"/>
        <v>822470.36300000013</v>
      </c>
      <c r="P6">
        <v>823668.40899999999</v>
      </c>
      <c r="Q6">
        <f t="shared" si="2"/>
        <v>1.454524644758904E-3</v>
      </c>
      <c r="R6">
        <f t="shared" si="3"/>
        <v>822470.36300000013</v>
      </c>
    </row>
    <row r="7" spans="1:18" ht="14.25">
      <c r="A7">
        <v>2014</v>
      </c>
      <c r="B7">
        <v>70254.692999999999</v>
      </c>
      <c r="D7">
        <v>717763.96799999999</v>
      </c>
      <c r="E7">
        <v>231421.05499999999</v>
      </c>
      <c r="F7">
        <v>72570.868000000002</v>
      </c>
      <c r="G7">
        <v>411916.68</v>
      </c>
      <c r="H7">
        <f t="shared" si="0"/>
        <v>-1855.3649999999907</v>
      </c>
      <c r="I7">
        <v>0</v>
      </c>
      <c r="J7">
        <v>2542.2350000000001</v>
      </c>
      <c r="K7">
        <v>34.347999999999999</v>
      </c>
      <c r="L7">
        <v>88.941000000000003</v>
      </c>
      <c r="M7">
        <v>2418.9459999999999</v>
      </c>
      <c r="O7">
        <f t="shared" si="1"/>
        <v>788705.53100000008</v>
      </c>
      <c r="P7">
        <v>790560.89599999995</v>
      </c>
      <c r="Q7">
        <f t="shared" si="2"/>
        <v>2.3468970061477396E-3</v>
      </c>
      <c r="R7">
        <f t="shared" si="3"/>
        <v>788705.53100000008</v>
      </c>
    </row>
    <row r="8" spans="1:18" ht="14.25">
      <c r="A8">
        <v>2015</v>
      </c>
      <c r="B8">
        <v>74800.524000000005</v>
      </c>
      <c r="C8">
        <v>6187.2860000000001</v>
      </c>
      <c r="D8">
        <v>675659.06900000002</v>
      </c>
      <c r="E8">
        <v>232618.03599999999</v>
      </c>
      <c r="F8">
        <v>57693.226999999999</v>
      </c>
      <c r="G8">
        <v>383292.88500000001</v>
      </c>
      <c r="H8">
        <f t="shared" si="0"/>
        <v>-2054.920999999973</v>
      </c>
      <c r="I8">
        <v>9437.2849999999999</v>
      </c>
      <c r="J8">
        <v>2549.8029999999999</v>
      </c>
      <c r="K8">
        <v>67.165000000000006</v>
      </c>
      <c r="L8">
        <v>98.534999999999997</v>
      </c>
      <c r="M8">
        <v>2384.1030000000001</v>
      </c>
      <c r="O8">
        <f t="shared" si="1"/>
        <v>760391.75999999943</v>
      </c>
      <c r="P8">
        <v>762446.68099999998</v>
      </c>
      <c r="Q8">
        <f t="shared" si="2"/>
        <v>2.6951668243940523E-3</v>
      </c>
      <c r="R8">
        <f t="shared" si="3"/>
        <v>754204.47399999946</v>
      </c>
    </row>
    <row r="9" spans="1:18" ht="14.25">
      <c r="A9">
        <v>2016</v>
      </c>
      <c r="B9">
        <v>81870.034159000003</v>
      </c>
      <c r="C9">
        <v>7648.6680340000003</v>
      </c>
      <c r="D9">
        <v>794734.83486099995</v>
      </c>
      <c r="E9" s="4">
        <v>289836.95143299998</v>
      </c>
      <c r="F9" s="4">
        <v>45432.955450000001</v>
      </c>
      <c r="G9" s="4">
        <v>408211.67706299998</v>
      </c>
      <c r="H9">
        <f t="shared" si="0"/>
        <v>-51253.250914999982</v>
      </c>
      <c r="I9">
        <v>17300.237000000001</v>
      </c>
      <c r="J9">
        <v>13679.7459311519</v>
      </c>
      <c r="K9">
        <v>4999.8254999999999</v>
      </c>
      <c r="L9">
        <v>6521.50715915193</v>
      </c>
      <c r="M9">
        <v>2158.4132719999998</v>
      </c>
      <c r="N9" s="5">
        <v>86282.856910443807</v>
      </c>
      <c r="O9">
        <f t="shared" si="1"/>
        <v>856331.60103615152</v>
      </c>
      <c r="P9">
        <v>907853.360180152</v>
      </c>
      <c r="Q9">
        <f t="shared" si="2"/>
        <v>5.6751190670018159E-2</v>
      </c>
      <c r="R9">
        <f t="shared" si="3"/>
        <v>762400.0760917078</v>
      </c>
    </row>
    <row r="10" spans="1:18" ht="15">
      <c r="A10" s="2" t="s">
        <v>21</v>
      </c>
      <c r="B10" s="2">
        <f>(SUM(B4:B9)/6)*20</f>
        <v>1457424.1205299997</v>
      </c>
      <c r="D10" s="2"/>
      <c r="E10" s="2">
        <f>(SUM(E4:E9)/6)*1.02*20</f>
        <v>4785221.3952722009</v>
      </c>
      <c r="F10" s="2">
        <f>(SUM(F4:F9)/6)*1.03*20</f>
        <v>1706715.9068783335</v>
      </c>
      <c r="G10" s="2">
        <f>(SUM(G4:G9)/6)*1.05*20</f>
        <v>8365820.2882204996</v>
      </c>
      <c r="H10" s="2"/>
      <c r="I10" s="2">
        <f>I4*20</f>
        <v>2035220.06</v>
      </c>
      <c r="J10" s="2"/>
      <c r="K10" s="2">
        <f>(SUM(K4:K9)/6)*1.1*20</f>
        <v>20572.711500000001</v>
      </c>
      <c r="L10" s="2">
        <f>(SUM(L4:L9)/6)*1.1*20</f>
        <v>25378.162916890411</v>
      </c>
      <c r="M10" s="2">
        <f>(SUM(M4:M9)/6)*20</f>
        <v>47919.894240000001</v>
      </c>
    </row>
    <row r="11" spans="1:18" ht="15">
      <c r="A11" s="2" t="s">
        <v>22</v>
      </c>
    </row>
    <row r="12" spans="1:18" ht="15">
      <c r="A12" s="2" t="s">
        <v>23</v>
      </c>
      <c r="B12" s="2">
        <f>B10/20</f>
        <v>72871.206026499989</v>
      </c>
      <c r="C12" s="2"/>
      <c r="D12" s="2"/>
      <c r="E12" s="2">
        <f>E10/20</f>
        <v>239261.06976361005</v>
      </c>
      <c r="F12" s="2">
        <f>F10/20</f>
        <v>85335.795343916674</v>
      </c>
      <c r="G12" s="2">
        <f>G10/20</f>
        <v>418291.01441102498</v>
      </c>
      <c r="H12" s="2"/>
      <c r="I12" s="2">
        <f>I10/20</f>
        <v>101761.003</v>
      </c>
      <c r="J12" s="2"/>
      <c r="K12" s="2">
        <f>K10/20</f>
        <v>1028.635575</v>
      </c>
      <c r="L12" s="2">
        <f>L10/20</f>
        <v>1268.9081458445205</v>
      </c>
      <c r="M12" s="2">
        <f>M10/20</f>
        <v>2395.9947120000002</v>
      </c>
    </row>
    <row r="13" spans="1:18" ht="15">
      <c r="A13" s="2" t="s">
        <v>24</v>
      </c>
    </row>
    <row r="14" spans="1:18" ht="15">
      <c r="A14" s="2" t="s">
        <v>25</v>
      </c>
      <c r="B14" s="2">
        <f>B12/$B$1</f>
        <v>8.3186308249429217</v>
      </c>
      <c r="C14" s="2"/>
      <c r="D14" s="2"/>
      <c r="E14" s="2">
        <f>E12/$B$1</f>
        <v>27.312907507261421</v>
      </c>
      <c r="F14" s="2">
        <f>F12/$B$1</f>
        <v>9.7415291488489348</v>
      </c>
      <c r="G14" s="2">
        <f>G12/$B$1</f>
        <v>47.75011580034532</v>
      </c>
      <c r="H14" s="2"/>
      <c r="I14" s="2">
        <f>I12/$B$1</f>
        <v>11.616552853881279</v>
      </c>
      <c r="J14" s="2"/>
      <c r="K14" s="2">
        <f>K12/$B$1</f>
        <v>0.11742415239726027</v>
      </c>
      <c r="L14" s="2">
        <f>L12/$B$1</f>
        <v>0.14485252806444299</v>
      </c>
      <c r="M14" s="2">
        <f>M12/$B$1</f>
        <v>0.27351537808219178</v>
      </c>
    </row>
    <row r="15" spans="1:18" ht="15">
      <c r="A15" s="2" t="s">
        <v>26</v>
      </c>
    </row>
    <row r="16" spans="1:18" ht="15">
      <c r="A16" s="2"/>
    </row>
    <row r="17" spans="1:12" ht="15">
      <c r="A17" s="6" t="s">
        <v>27</v>
      </c>
      <c r="B17" s="3" t="s">
        <v>28</v>
      </c>
      <c r="D17" s="3"/>
      <c r="E17" s="3"/>
      <c r="F17" s="3"/>
      <c r="G17" s="3"/>
      <c r="H17" s="3"/>
      <c r="I17" s="2" t="s">
        <v>55</v>
      </c>
      <c r="J17" s="2" t="s">
        <v>56</v>
      </c>
      <c r="L17" s="3"/>
    </row>
    <row r="18" spans="1:12" ht="14.25">
      <c r="B18" s="3" t="s">
        <v>29</v>
      </c>
      <c r="C18" s="3" t="s">
        <v>30</v>
      </c>
      <c r="D18" s="3"/>
      <c r="E18" s="3" t="s">
        <v>31</v>
      </c>
      <c r="F18" s="3"/>
      <c r="G18" s="3"/>
      <c r="H18" s="3"/>
      <c r="I18">
        <v>101761.003</v>
      </c>
      <c r="J18">
        <f>I18/$B$1</f>
        <v>11.616552853881279</v>
      </c>
      <c r="L18" s="3"/>
    </row>
    <row r="19" spans="1:12" ht="14.25">
      <c r="A19" s="3" t="s">
        <v>4</v>
      </c>
      <c r="B19" s="3"/>
      <c r="C19">
        <v>321.39</v>
      </c>
      <c r="D19" s="3"/>
      <c r="E19" s="3"/>
      <c r="F19" s="3"/>
      <c r="G19" s="3"/>
      <c r="H19" s="3"/>
      <c r="I19">
        <v>15939.413</v>
      </c>
      <c r="J19">
        <f t="shared" ref="J19:J27" si="4">I19/$B$1</f>
        <v>1.8195676940639269</v>
      </c>
      <c r="L19" s="3"/>
    </row>
    <row r="20" spans="1:12" ht="14.25">
      <c r="A20" t="s">
        <v>7</v>
      </c>
      <c r="B20" s="3">
        <v>60</v>
      </c>
      <c r="C20" s="3">
        <v>119.25</v>
      </c>
      <c r="D20" s="3"/>
      <c r="E20" s="3"/>
      <c r="F20" s="3"/>
      <c r="G20" s="3"/>
      <c r="H20" s="3"/>
      <c r="I20">
        <v>9302.75</v>
      </c>
      <c r="J20">
        <f t="shared" si="4"/>
        <v>1.0619577625570775</v>
      </c>
      <c r="L20" s="3"/>
    </row>
    <row r="21" spans="1:12" ht="14.25">
      <c r="A21" t="s">
        <v>8</v>
      </c>
      <c r="B21" s="3"/>
      <c r="C21" s="3"/>
      <c r="D21" s="3"/>
      <c r="E21" s="3">
        <v>43400</v>
      </c>
      <c r="F21" s="3" t="s">
        <v>32</v>
      </c>
      <c r="G21" s="3">
        <f>E21/110.101</f>
        <v>394.18352240215802</v>
      </c>
      <c r="H21" s="3" t="s">
        <v>28</v>
      </c>
      <c r="I21">
        <v>0</v>
      </c>
      <c r="J21">
        <f t="shared" si="4"/>
        <v>0</v>
      </c>
      <c r="L21" s="3"/>
    </row>
    <row r="22" spans="1:12" ht="14.25">
      <c r="A22" t="s">
        <v>9</v>
      </c>
      <c r="B22" s="3">
        <v>101</v>
      </c>
      <c r="C22" s="3">
        <v>143.07</v>
      </c>
      <c r="D22" s="3" t="s">
        <v>33</v>
      </c>
      <c r="E22" s="3"/>
      <c r="F22" s="3"/>
      <c r="G22" s="3"/>
      <c r="H22" s="3"/>
      <c r="I22">
        <v>9437.2849999999999</v>
      </c>
      <c r="J22">
        <f t="shared" si="4"/>
        <v>1.0773156392694063</v>
      </c>
      <c r="L22" s="3"/>
    </row>
    <row r="23" spans="1:12" ht="14.25">
      <c r="A23" t="s">
        <v>11</v>
      </c>
      <c r="B23" s="3">
        <v>136</v>
      </c>
      <c r="C23" s="3">
        <v>112.5</v>
      </c>
      <c r="D23" s="3"/>
      <c r="E23" s="3"/>
      <c r="F23" s="3"/>
      <c r="G23" s="3"/>
      <c r="H23" s="3"/>
      <c r="I23">
        <v>17300.237000000001</v>
      </c>
      <c r="J23">
        <f t="shared" si="4"/>
        <v>1.9749128995433791</v>
      </c>
      <c r="L23" s="3"/>
    </row>
    <row r="24" spans="1:12" ht="14.25">
      <c r="A24" t="s">
        <v>13</v>
      </c>
      <c r="B24" s="3">
        <v>62</v>
      </c>
      <c r="C24" s="3">
        <v>223.38</v>
      </c>
      <c r="D24" s="3" t="s">
        <v>34</v>
      </c>
      <c r="E24" s="3"/>
      <c r="F24" s="3"/>
      <c r="G24" s="3"/>
      <c r="H24" s="3"/>
      <c r="I24" s="3"/>
      <c r="L24" s="3"/>
    </row>
    <row r="25" spans="1:12" ht="14.25">
      <c r="A25" t="s">
        <v>14</v>
      </c>
      <c r="B25" s="3">
        <v>195</v>
      </c>
      <c r="C25" s="3">
        <v>290.33</v>
      </c>
      <c r="D25" s="3" t="s">
        <v>35</v>
      </c>
      <c r="E25" s="3"/>
      <c r="F25" s="3"/>
      <c r="G25" s="3"/>
      <c r="H25" s="3"/>
      <c r="I25" s="3"/>
      <c r="L25" s="3"/>
    </row>
    <row r="26" spans="1:12" ht="14.25">
      <c r="A26" t="s">
        <v>15</v>
      </c>
      <c r="B26" s="3">
        <v>117</v>
      </c>
      <c r="C26" s="3"/>
      <c r="D26" s="3"/>
      <c r="E26" s="3"/>
      <c r="F26" s="3"/>
      <c r="G26" s="3"/>
      <c r="H26" s="3"/>
      <c r="I26" s="3"/>
      <c r="L26" s="3"/>
    </row>
    <row r="27" spans="1:12" ht="14.25">
      <c r="A27" t="s">
        <v>36</v>
      </c>
      <c r="B27" s="3"/>
      <c r="C27" s="3"/>
      <c r="D27" s="3"/>
      <c r="E27" s="3"/>
      <c r="F27" s="3"/>
      <c r="G27" s="3"/>
      <c r="H27" s="3"/>
      <c r="I27" s="3"/>
      <c r="L27" s="3"/>
    </row>
    <row r="28" spans="1:12" ht="14.25">
      <c r="B28" s="3"/>
      <c r="C28" s="3"/>
      <c r="D28" s="3"/>
      <c r="E28" s="3"/>
      <c r="F28" s="3"/>
      <c r="G28" s="3"/>
      <c r="H28" s="3"/>
      <c r="I28" s="3"/>
      <c r="L28" s="3"/>
    </row>
    <row r="29" spans="1:12" ht="14.25">
      <c r="A29" t="s">
        <v>37</v>
      </c>
      <c r="B29" s="3" t="s">
        <v>38</v>
      </c>
      <c r="D29" s="3"/>
      <c r="F29" s="3"/>
      <c r="I29" s="3"/>
    </row>
    <row r="30" spans="1:12" ht="14.25">
      <c r="B30" s="3" t="s">
        <v>39</v>
      </c>
    </row>
    <row r="31" spans="1:12" ht="14.25">
      <c r="B31" s="3"/>
    </row>
    <row r="32" spans="1:12" ht="14.25">
      <c r="B32" s="3"/>
    </row>
    <row r="33" spans="2:2" ht="14.25">
      <c r="B33" s="3"/>
    </row>
    <row r="34" spans="2:2" ht="14.25">
      <c r="B34" s="3"/>
    </row>
  </sheetData>
  <pageMargins left="0" right="0" top="0.39375000000000004" bottom="0.39375000000000004" header="0" footer="0"/>
  <pageSetup orientation="portrait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ColWidth="8.75" defaultRowHeight="13.9"/>
  <cols>
    <col min="1" max="4" width="10.75" customWidth="1"/>
    <col min="5" max="5" width="8.75" customWidth="1"/>
  </cols>
  <sheetData>
    <row r="1" spans="1:4" ht="14.25">
      <c r="A1" t="s">
        <v>40</v>
      </c>
      <c r="B1" t="s">
        <v>41</v>
      </c>
      <c r="C1" t="s">
        <v>42</v>
      </c>
      <c r="D1" t="s">
        <v>43</v>
      </c>
    </row>
    <row r="2" spans="1:4" ht="14.25">
      <c r="A2">
        <v>882798.01</v>
      </c>
      <c r="B2">
        <f t="shared" ref="B2:B7" si="0">0.95*A2</f>
        <v>838658.10950000002</v>
      </c>
      <c r="C2">
        <f t="shared" ref="C2:C7" si="1">A2-B2</f>
        <v>44139.900499999989</v>
      </c>
      <c r="D2">
        <v>2011</v>
      </c>
    </row>
    <row r="3" spans="1:4" ht="14.25">
      <c r="A3">
        <v>801932.83</v>
      </c>
      <c r="B3">
        <f t="shared" si="0"/>
        <v>761836.18849999993</v>
      </c>
      <c r="C3">
        <f t="shared" si="1"/>
        <v>40096.641500000027</v>
      </c>
      <c r="D3">
        <v>2012</v>
      </c>
    </row>
    <row r="4" spans="1:4" ht="14.25">
      <c r="A4">
        <v>822470.36300000001</v>
      </c>
      <c r="B4">
        <f t="shared" si="0"/>
        <v>781346.84484999999</v>
      </c>
      <c r="C4">
        <f t="shared" si="1"/>
        <v>41123.518150000018</v>
      </c>
      <c r="D4">
        <v>2013</v>
      </c>
    </row>
    <row r="5" spans="1:4" ht="14.25">
      <c r="A5">
        <v>788705.53099999996</v>
      </c>
      <c r="B5">
        <f t="shared" si="0"/>
        <v>749270.25444999989</v>
      </c>
      <c r="C5">
        <f t="shared" si="1"/>
        <v>39435.276550000068</v>
      </c>
      <c r="D5">
        <v>2014</v>
      </c>
    </row>
    <row r="6" spans="1:4" ht="14.25">
      <c r="A6">
        <v>760391.75999999896</v>
      </c>
      <c r="B6">
        <f t="shared" si="0"/>
        <v>722372.17199999897</v>
      </c>
      <c r="C6">
        <f t="shared" si="1"/>
        <v>38019.587999999989</v>
      </c>
      <c r="D6">
        <v>2015</v>
      </c>
    </row>
    <row r="7" spans="1:4" ht="14.25">
      <c r="A7">
        <v>856331.60103615199</v>
      </c>
      <c r="B7">
        <f t="shared" si="0"/>
        <v>813515.0209843443</v>
      </c>
      <c r="C7">
        <f t="shared" si="1"/>
        <v>42816.580051807687</v>
      </c>
      <c r="D7">
        <v>2016</v>
      </c>
    </row>
  </sheetData>
  <pageMargins left="0" right="0" top="0.39375000000000004" bottom="0.39375000000000004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ColWidth="8.75" defaultRowHeight="13.9"/>
  <cols>
    <col min="1" max="1" width="8.75" customWidth="1"/>
  </cols>
  <sheetData>
    <row r="1" spans="1:6" ht="14.25">
      <c r="A1" t="s">
        <v>13</v>
      </c>
      <c r="B1">
        <v>34.200000000000003</v>
      </c>
      <c r="C1" t="s">
        <v>44</v>
      </c>
      <c r="D1" t="s">
        <v>45</v>
      </c>
      <c r="F1" t="s">
        <v>46</v>
      </c>
    </row>
    <row r="2" spans="1:6" ht="14.25">
      <c r="A2" t="s">
        <v>4</v>
      </c>
      <c r="B2">
        <v>45.9</v>
      </c>
      <c r="C2" t="s">
        <v>44</v>
      </c>
      <c r="D2" t="s">
        <v>45</v>
      </c>
    </row>
    <row r="3" spans="1:6" ht="14.25">
      <c r="A3" t="s">
        <v>15</v>
      </c>
      <c r="B3">
        <v>15</v>
      </c>
      <c r="C3" t="s">
        <v>44</v>
      </c>
      <c r="D3" t="s">
        <v>47</v>
      </c>
      <c r="F3" t="s">
        <v>48</v>
      </c>
    </row>
    <row r="4" spans="1:6" ht="14.25">
      <c r="A4" t="s">
        <v>49</v>
      </c>
      <c r="B4">
        <v>91.1</v>
      </c>
      <c r="C4" t="s">
        <v>44</v>
      </c>
      <c r="D4" t="s">
        <v>47</v>
      </c>
    </row>
    <row r="5" spans="1:6" ht="14.25">
      <c r="A5" t="s">
        <v>50</v>
      </c>
      <c r="B5">
        <v>118</v>
      </c>
      <c r="D5" t="s">
        <v>47</v>
      </c>
      <c r="F5" t="s">
        <v>51</v>
      </c>
    </row>
    <row r="6" spans="1:6" ht="14.25">
      <c r="A6" t="s">
        <v>11</v>
      </c>
      <c r="B6">
        <v>66</v>
      </c>
      <c r="D6" t="s">
        <v>52</v>
      </c>
      <c r="E6" t="s">
        <v>53</v>
      </c>
      <c r="F6" t="s">
        <v>54</v>
      </c>
    </row>
    <row r="7" spans="1:6" ht="14.25">
      <c r="A7" t="s">
        <v>7</v>
      </c>
      <c r="B7">
        <v>960</v>
      </c>
      <c r="D7" t="s">
        <v>53</v>
      </c>
      <c r="F7" t="s">
        <v>54</v>
      </c>
    </row>
    <row r="8" spans="1:6" ht="14.25">
      <c r="A8" t="s">
        <v>8</v>
      </c>
      <c r="B8">
        <v>778</v>
      </c>
      <c r="D8" t="s">
        <v>53</v>
      </c>
      <c r="F8" t="s">
        <v>54</v>
      </c>
    </row>
    <row r="9" spans="1:6" ht="14.25">
      <c r="A9" t="s">
        <v>9</v>
      </c>
      <c r="B9">
        <v>443</v>
      </c>
      <c r="D9" t="s">
        <v>53</v>
      </c>
      <c r="F9" t="s">
        <v>54</v>
      </c>
    </row>
  </sheetData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32487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arfc</dc:creator>
  <cp:lastModifiedBy>arfc</cp:lastModifiedBy>
  <cp:revision>35</cp:revision>
  <dcterms:created xsi:type="dcterms:W3CDTF">2018-04-18T15:09:01Z</dcterms:created>
  <dcterms:modified xsi:type="dcterms:W3CDTF">2018-07-06T21:51:09Z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898640930652618</vt:r8>
  </property>
</Properties>
</file>