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ubbz\Documents\GitHub\i2cner\data\"/>
    </mc:Choice>
  </mc:AlternateContent>
  <xr:revisionPtr revIDLastSave="0" documentId="10_ncr:100000_{67368366-9A3C-4022-B2D0-4B4E6669A7EB}" xr6:coauthVersionLast="31" xr6:coauthVersionMax="40" xr10:uidLastSave="{00000000-0000-0000-0000-000000000000}"/>
  <bookViews>
    <workbookView xWindow="0" yWindow="0" windowWidth="17256" windowHeight="5652" xr2:uid="{ECBC9880-2B97-44EA-9887-629A306A84A1}"/>
  </bookViews>
  <sheets>
    <sheet name="CCS" sheetId="2" r:id="rId1"/>
    <sheet name="H2 basics" sheetId="1" r:id="rId2"/>
    <sheet name="H2 Steam Reforming" sheetId="3" r:id="rId3"/>
    <sheet name="Photocatalytic H2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2" l="1"/>
  <c r="G24" i="2"/>
  <c r="C26" i="2"/>
  <c r="E18" i="2"/>
  <c r="E17" i="2"/>
  <c r="C23" i="2"/>
  <c r="D12" i="2"/>
  <c r="N9" i="3" l="1"/>
  <c r="E8" i="3" l="1"/>
  <c r="E6" i="3" l="1"/>
  <c r="E5" i="3"/>
  <c r="F3" i="4" l="1"/>
  <c r="F2" i="4"/>
  <c r="I7" i="3"/>
  <c r="I6" i="3"/>
  <c r="O6" i="3"/>
  <c r="P5" i="3"/>
  <c r="F16" i="3"/>
  <c r="G16" i="3" s="1"/>
  <c r="Q5" i="3" s="1"/>
  <c r="P6" i="3" l="1"/>
  <c r="D8" i="3"/>
  <c r="C8" i="3"/>
  <c r="B15" i="3"/>
  <c r="B5" i="3" l="1"/>
  <c r="G5" i="3" s="1"/>
  <c r="C8" i="1"/>
  <c r="I2" i="3"/>
  <c r="G8" i="3"/>
  <c r="B7" i="3"/>
  <c r="G7" i="3" s="1"/>
  <c r="B6" i="3"/>
  <c r="G6" i="3" s="1"/>
  <c r="D13" i="2"/>
  <c r="E4" i="2"/>
  <c r="D14" i="2"/>
  <c r="D15" i="2" s="1"/>
  <c r="K1" i="2"/>
  <c r="G9" i="3" l="1"/>
  <c r="C5" i="3"/>
  <c r="E8" i="1"/>
  <c r="G2" i="1"/>
  <c r="D5" i="3" l="1"/>
  <c r="C9" i="3"/>
  <c r="L5" i="3" s="1"/>
  <c r="L6" i="3" s="1"/>
  <c r="E19" i="2"/>
  <c r="D9" i="3" l="1"/>
  <c r="N7" i="3" s="1"/>
  <c r="E15" i="3"/>
  <c r="M5" i="3"/>
  <c r="G11" i="3" s="1"/>
</calcChain>
</file>

<file path=xl/sharedStrings.xml><?xml version="1.0" encoding="utf-8"?>
<sst xmlns="http://schemas.openxmlformats.org/spreadsheetml/2006/main" count="140" uniqueCount="108">
  <si>
    <t>H2 Method</t>
  </si>
  <si>
    <t>H2 energy density</t>
  </si>
  <si>
    <t>MJ/kg</t>
  </si>
  <si>
    <t>MJ/m3</t>
  </si>
  <si>
    <t>kWh/kg</t>
  </si>
  <si>
    <t>Efficiency</t>
  </si>
  <si>
    <t>DSCINV</t>
  </si>
  <si>
    <t>300 m3/h</t>
  </si>
  <si>
    <t>Comm IN</t>
  </si>
  <si>
    <t>City Gas</t>
  </si>
  <si>
    <t>Clean water</t>
  </si>
  <si>
    <t>Waste water</t>
  </si>
  <si>
    <t>Out</t>
  </si>
  <si>
    <t>ELC</t>
  </si>
  <si>
    <t>Hyd</t>
  </si>
  <si>
    <t>Source: Kato 2016 - Energy tech roadmaps of JPN</t>
  </si>
  <si>
    <t>Steam reforming</t>
  </si>
  <si>
    <t>186 million JPY</t>
  </si>
  <si>
    <t>CCU</t>
  </si>
  <si>
    <t>2000 JPY/tCO2</t>
  </si>
  <si>
    <t>1000 JPY/tCO2</t>
  </si>
  <si>
    <t>MUSD/Mt</t>
  </si>
  <si>
    <t>Liquefaction</t>
  </si>
  <si>
    <t>Geo Injection</t>
  </si>
  <si>
    <t>MJ/t</t>
  </si>
  <si>
    <t>Total</t>
  </si>
  <si>
    <t>GWh/Mt</t>
  </si>
  <si>
    <t>Injection</t>
  </si>
  <si>
    <t>2800 JPY/t</t>
  </si>
  <si>
    <t>800 JPY/t</t>
  </si>
  <si>
    <t xml:space="preserve"> MUSD/Mt</t>
  </si>
  <si>
    <t xml:space="preserve">Total </t>
  </si>
  <si>
    <t>Max Limit</t>
  </si>
  <si>
    <t>Gt</t>
  </si>
  <si>
    <t>monoethanolamine (MEA)</t>
  </si>
  <si>
    <t>JPY/USD</t>
  </si>
  <si>
    <t>EXCLUDING ELC</t>
  </si>
  <si>
    <t>Cap Fac</t>
  </si>
  <si>
    <t>Fusina (2009)</t>
  </si>
  <si>
    <t>m3</t>
  </si>
  <si>
    <t>GWh</t>
  </si>
  <si>
    <t>Transportation (pipeline)</t>
  </si>
  <si>
    <t>Mt</t>
  </si>
  <si>
    <t>kg/m3</t>
  </si>
  <si>
    <t>Transport</t>
  </si>
  <si>
    <t>100km pipeline</t>
  </si>
  <si>
    <t>1km pipeline</t>
  </si>
  <si>
    <t>kJ/t</t>
  </si>
  <si>
    <t>for shipping</t>
  </si>
  <si>
    <t>1km,w/o shipping</t>
  </si>
  <si>
    <t>MJ/Mt</t>
  </si>
  <si>
    <t>1 MJ</t>
  </si>
  <si>
    <t>Energy Cost</t>
  </si>
  <si>
    <t>Capture Cost</t>
  </si>
  <si>
    <t>Capture Cost Targets</t>
  </si>
  <si>
    <t>1km pipe+ship</t>
  </si>
  <si>
    <t>Mostly offshore</t>
  </si>
  <si>
    <t>MJ/tCO2</t>
  </si>
  <si>
    <t>500 JPY/tCO2</t>
  </si>
  <si>
    <t xml:space="preserve">Corresponds to </t>
  </si>
  <si>
    <t>4200 JPY/t</t>
  </si>
  <si>
    <t>Fixed Costs</t>
  </si>
  <si>
    <t>Variable Cost</t>
  </si>
  <si>
    <t>Summary</t>
  </si>
  <si>
    <t>(Variable)</t>
  </si>
  <si>
    <t>Conversion factors</t>
  </si>
  <si>
    <t>13h/d*365 d</t>
  </si>
  <si>
    <t>at 70 Mpa</t>
  </si>
  <si>
    <t>300 Nm3/h</t>
  </si>
  <si>
    <t>Total Cost</t>
  </si>
  <si>
    <t>(MUSD)</t>
  </si>
  <si>
    <t>Amount(t or kWh)</t>
  </si>
  <si>
    <t>Var Cost</t>
  </si>
  <si>
    <t>MUSD/GWh</t>
  </si>
  <si>
    <t>Lifetime</t>
  </si>
  <si>
    <t>20 y</t>
  </si>
  <si>
    <t>Mt/m3</t>
  </si>
  <si>
    <t>Reference</t>
  </si>
  <si>
    <t>60 JPY/Nm3</t>
  </si>
  <si>
    <t>Natural Gas</t>
  </si>
  <si>
    <t>Final value</t>
  </si>
  <si>
    <t>ELC equivalent(GWh)</t>
  </si>
  <si>
    <t>Energy value(GWh)</t>
  </si>
  <si>
    <t>E/Mt H2</t>
  </si>
  <si>
    <t>Theo = 70%</t>
  </si>
  <si>
    <t>Effective:</t>
  </si>
  <si>
    <t>(after combustion)</t>
  </si>
  <si>
    <t>Error in ELCLNG</t>
  </si>
  <si>
    <t>Our City Gas Cost</t>
  </si>
  <si>
    <t>Model LNG Cost</t>
  </si>
  <si>
    <t>Error</t>
  </si>
  <si>
    <t>MUSD</t>
  </si>
  <si>
    <t>INV COST(MJPY or MUSD)/GWh)</t>
  </si>
  <si>
    <t>Emi(Mt/GWh)</t>
  </si>
  <si>
    <t>87 gCO2/MJ</t>
  </si>
  <si>
    <t>Raw H2</t>
  </si>
  <si>
    <t>GWh-H2</t>
  </si>
  <si>
    <t>I2CNER Target</t>
  </si>
  <si>
    <t>20% efficiency</t>
  </si>
  <si>
    <t>Acar and Dincer(2014)</t>
  </si>
  <si>
    <t>9$/kg</t>
  </si>
  <si>
    <t>1.5$/kg</t>
  </si>
  <si>
    <t>Investment Cost</t>
  </si>
  <si>
    <t>No data</t>
  </si>
  <si>
    <t>Cost( JPY/unit)</t>
  </si>
  <si>
    <t>ELC share</t>
  </si>
  <si>
    <t>ELC/LNG:</t>
  </si>
  <si>
    <t>LNG input only: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</si>
</sst>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4AB0EE"/>
      </left>
      <right style="thin">
        <color rgb="FF4AB0EE"/>
      </right>
      <top style="thin">
        <color rgb="FF4AB0EE"/>
      </top>
      <bottom style="thin">
        <color rgb="FF4AB0EE"/>
      </bottom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4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7BE1D-16BA-4023-AA64-49E118FA5EEE}">
  <dimension ref="A1:O26"/>
  <sheetViews>
    <sheetView tabSelected="1" workbookViewId="0">
      <selection activeCell="I24" sqref="I24"/>
    </sheetView>
  </sheetViews>
  <sheetFormatPr defaultRowHeight="14.4" x14ac:dyDescent="0.3"/>
  <cols>
    <col min="1" max="1" width="19.88671875" customWidth="1"/>
    <col min="2" max="2" width="11.21875" customWidth="1"/>
    <col min="3" max="3" width="15.109375" customWidth="1"/>
    <col min="4" max="4" width="11" bestFit="1" customWidth="1"/>
    <col min="11" max="11" width="12" bestFit="1" customWidth="1"/>
  </cols>
  <sheetData>
    <row r="1" spans="1:15" x14ac:dyDescent="0.3">
      <c r="A1" s="2" t="s">
        <v>18</v>
      </c>
      <c r="J1" t="s">
        <v>51</v>
      </c>
      <c r="K1">
        <f>0.277778/1000000</f>
        <v>2.7777800000000004E-7</v>
      </c>
      <c r="L1" t="s">
        <v>40</v>
      </c>
      <c r="N1" t="s">
        <v>35</v>
      </c>
      <c r="O1">
        <v>8.8999999999999999E-3</v>
      </c>
    </row>
    <row r="2" spans="1:15" x14ac:dyDescent="0.3">
      <c r="A2" s="2" t="s">
        <v>54</v>
      </c>
      <c r="B2">
        <v>2020</v>
      </c>
      <c r="C2" t="s">
        <v>19</v>
      </c>
      <c r="E2">
        <v>17.600000000000001</v>
      </c>
      <c r="F2" t="s">
        <v>21</v>
      </c>
      <c r="H2" t="s">
        <v>62</v>
      </c>
    </row>
    <row r="3" spans="1:15" x14ac:dyDescent="0.3">
      <c r="B3">
        <v>2030</v>
      </c>
      <c r="C3" t="s">
        <v>20</v>
      </c>
      <c r="E3">
        <v>8.8000000000000007</v>
      </c>
      <c r="F3" t="s">
        <v>21</v>
      </c>
    </row>
    <row r="4" spans="1:15" x14ac:dyDescent="0.3">
      <c r="B4">
        <v>2050</v>
      </c>
      <c r="C4" t="s">
        <v>58</v>
      </c>
      <c r="E4">
        <f>500*O1</f>
        <v>4.45</v>
      </c>
      <c r="F4" t="s">
        <v>21</v>
      </c>
    </row>
    <row r="5" spans="1:15" x14ac:dyDescent="0.3">
      <c r="G5" s="3"/>
    </row>
    <row r="6" spans="1:15" x14ac:dyDescent="0.3">
      <c r="A6" s="2" t="s">
        <v>53</v>
      </c>
      <c r="B6" t="s">
        <v>34</v>
      </c>
      <c r="D6">
        <v>4000</v>
      </c>
      <c r="E6" t="s">
        <v>57</v>
      </c>
      <c r="G6" t="s">
        <v>59</v>
      </c>
      <c r="I6" t="s">
        <v>60</v>
      </c>
    </row>
    <row r="7" spans="1:15" x14ac:dyDescent="0.3">
      <c r="A7" s="2"/>
    </row>
    <row r="8" spans="1:15" x14ac:dyDescent="0.3">
      <c r="A8" s="2" t="s">
        <v>52</v>
      </c>
      <c r="B8" t="s">
        <v>44</v>
      </c>
      <c r="C8" t="s">
        <v>45</v>
      </c>
      <c r="D8">
        <v>14.7</v>
      </c>
      <c r="E8" t="s">
        <v>24</v>
      </c>
    </row>
    <row r="9" spans="1:15" x14ac:dyDescent="0.3">
      <c r="A9" s="2"/>
      <c r="C9" t="s">
        <v>46</v>
      </c>
      <c r="D9">
        <v>14.7</v>
      </c>
      <c r="E9" t="s">
        <v>47</v>
      </c>
    </row>
    <row r="10" spans="1:15" x14ac:dyDescent="0.3">
      <c r="B10" t="s">
        <v>22</v>
      </c>
      <c r="C10" t="s">
        <v>48</v>
      </c>
      <c r="D10">
        <v>52</v>
      </c>
      <c r="E10" t="s">
        <v>24</v>
      </c>
    </row>
    <row r="11" spans="1:15" x14ac:dyDescent="0.3">
      <c r="B11" t="s">
        <v>23</v>
      </c>
      <c r="D11">
        <v>3.2</v>
      </c>
      <c r="E11" t="s">
        <v>24</v>
      </c>
    </row>
    <row r="12" spans="1:15" x14ac:dyDescent="0.3">
      <c r="B12" s="2" t="s">
        <v>25</v>
      </c>
      <c r="C12" t="s">
        <v>49</v>
      </c>
      <c r="D12">
        <f>(D9+D11)*1000000</f>
        <v>17900000</v>
      </c>
      <c r="E12" t="s">
        <v>50</v>
      </c>
    </row>
    <row r="13" spans="1:15" x14ac:dyDescent="0.3">
      <c r="B13" s="2"/>
      <c r="D13" s="7">
        <f>D12*K1</f>
        <v>4.9722262000000006</v>
      </c>
      <c r="E13" t="s">
        <v>26</v>
      </c>
    </row>
    <row r="14" spans="1:15" x14ac:dyDescent="0.3">
      <c r="B14" s="2"/>
      <c r="C14" t="s">
        <v>55</v>
      </c>
      <c r="D14" s="7">
        <f>D12+(D10*1000000)</f>
        <v>69900000</v>
      </c>
      <c r="E14" t="s">
        <v>50</v>
      </c>
    </row>
    <row r="15" spans="1:15" x14ac:dyDescent="0.3">
      <c r="D15" s="6">
        <f>D14*K1</f>
        <v>19.416682200000004</v>
      </c>
      <c r="E15" t="s">
        <v>26</v>
      </c>
    </row>
    <row r="17" spans="1:7" x14ac:dyDescent="0.3">
      <c r="A17" s="2" t="s">
        <v>61</v>
      </c>
      <c r="B17" t="s">
        <v>27</v>
      </c>
      <c r="D17" t="s">
        <v>28</v>
      </c>
      <c r="E17">
        <f>2800*0.0089</f>
        <v>24.919999999999998</v>
      </c>
      <c r="F17" t="s">
        <v>30</v>
      </c>
    </row>
    <row r="18" spans="1:7" x14ac:dyDescent="0.3">
      <c r="B18" t="s">
        <v>41</v>
      </c>
      <c r="D18" t="s">
        <v>29</v>
      </c>
      <c r="E18">
        <f>800*0.0089</f>
        <v>7.12</v>
      </c>
      <c r="F18" t="s">
        <v>21</v>
      </c>
    </row>
    <row r="19" spans="1:7" x14ac:dyDescent="0.3">
      <c r="B19" s="2" t="s">
        <v>31</v>
      </c>
      <c r="E19">
        <f>E17+E18</f>
        <v>32.04</v>
      </c>
      <c r="F19" t="s">
        <v>21</v>
      </c>
      <c r="G19" t="s">
        <v>36</v>
      </c>
    </row>
    <row r="21" spans="1:7" x14ac:dyDescent="0.3">
      <c r="A21" s="2" t="s">
        <v>32</v>
      </c>
      <c r="B21">
        <v>156</v>
      </c>
      <c r="C21" t="s">
        <v>33</v>
      </c>
      <c r="D21" t="s">
        <v>56</v>
      </c>
    </row>
    <row r="23" spans="1:7" x14ac:dyDescent="0.3">
      <c r="A23" s="2" t="s">
        <v>63</v>
      </c>
      <c r="B23" s="2" t="s">
        <v>52</v>
      </c>
      <c r="C23">
        <f>D15</f>
        <v>19.416682200000004</v>
      </c>
      <c r="D23" t="s">
        <v>26</v>
      </c>
    </row>
    <row r="24" spans="1:7" x14ac:dyDescent="0.3">
      <c r="B24" s="2" t="s">
        <v>53</v>
      </c>
      <c r="C24">
        <v>8.8000000000000007</v>
      </c>
      <c r="D24" t="s">
        <v>21</v>
      </c>
      <c r="E24">
        <v>2030</v>
      </c>
      <c r="G24">
        <f>E19+E3</f>
        <v>40.840000000000003</v>
      </c>
    </row>
    <row r="25" spans="1:7" x14ac:dyDescent="0.3">
      <c r="B25" t="s">
        <v>64</v>
      </c>
      <c r="C25">
        <v>4.4000000000000004</v>
      </c>
      <c r="D25" t="s">
        <v>21</v>
      </c>
      <c r="E25">
        <v>2050</v>
      </c>
      <c r="G25">
        <f>E19+E4</f>
        <v>36.49</v>
      </c>
    </row>
    <row r="26" spans="1:7" x14ac:dyDescent="0.3">
      <c r="B26" s="2" t="s">
        <v>61</v>
      </c>
      <c r="C26">
        <f>E19</f>
        <v>32.04</v>
      </c>
      <c r="D26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51EB-8A83-4629-AF5F-F0859B72869A}">
  <dimension ref="A1:O12"/>
  <sheetViews>
    <sheetView workbookViewId="0">
      <selection activeCell="G17" sqref="G17"/>
    </sheetView>
  </sheetViews>
  <sheetFormatPr defaultRowHeight="14.4" x14ac:dyDescent="0.3"/>
  <cols>
    <col min="1" max="1" width="22.88671875" customWidth="1"/>
    <col min="2" max="2" width="10.33203125" customWidth="1"/>
    <col min="3" max="3" width="12.6640625" customWidth="1"/>
    <col min="4" max="5" width="13.109375" customWidth="1"/>
    <col min="7" max="7" width="10.6640625" customWidth="1"/>
    <col min="8" max="9" width="10.88671875" customWidth="1"/>
    <col min="11" max="11" width="10.88671875" customWidth="1"/>
    <col min="13" max="13" width="13.44140625" customWidth="1"/>
  </cols>
  <sheetData>
    <row r="1" spans="1:15" x14ac:dyDescent="0.3">
      <c r="D1" t="s">
        <v>65</v>
      </c>
    </row>
    <row r="2" spans="1:15" x14ac:dyDescent="0.3">
      <c r="A2" s="4" t="s">
        <v>15</v>
      </c>
      <c r="D2" t="s">
        <v>68</v>
      </c>
      <c r="E2" t="s">
        <v>66</v>
      </c>
      <c r="G2" s="5">
        <f>70.8/1.8</f>
        <v>39.333333333333329</v>
      </c>
      <c r="H2" t="s">
        <v>43</v>
      </c>
      <c r="I2" t="s">
        <v>67</v>
      </c>
      <c r="K2">
        <v>8.8999999999999999E-3</v>
      </c>
      <c r="L2" t="s">
        <v>35</v>
      </c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3">
      <c r="A4" t="s">
        <v>74</v>
      </c>
      <c r="B4" t="s">
        <v>75</v>
      </c>
      <c r="J4" s="3"/>
      <c r="K4" s="1"/>
      <c r="O4" s="1"/>
    </row>
    <row r="6" spans="1:15" x14ac:dyDescent="0.3">
      <c r="A6" t="s">
        <v>1</v>
      </c>
      <c r="C6">
        <v>142</v>
      </c>
      <c r="D6" t="s">
        <v>2</v>
      </c>
    </row>
    <row r="7" spans="1:15" x14ac:dyDescent="0.3">
      <c r="C7">
        <v>12.7</v>
      </c>
      <c r="D7" t="s">
        <v>3</v>
      </c>
    </row>
    <row r="8" spans="1:15" x14ac:dyDescent="0.3">
      <c r="C8">
        <f>C6*0.2777777</f>
        <v>39.444433400000001</v>
      </c>
      <c r="D8" t="s">
        <v>4</v>
      </c>
      <c r="E8">
        <f>C8*1000</f>
        <v>39444.433400000002</v>
      </c>
      <c r="F8" s="2" t="s">
        <v>26</v>
      </c>
    </row>
    <row r="9" spans="1:15" x14ac:dyDescent="0.3">
      <c r="I9" s="1"/>
      <c r="N9" s="1"/>
    </row>
    <row r="10" spans="1:15" x14ac:dyDescent="0.3">
      <c r="A10" t="s">
        <v>6</v>
      </c>
      <c r="B10" t="s">
        <v>7</v>
      </c>
      <c r="C10" t="s">
        <v>17</v>
      </c>
    </row>
    <row r="12" spans="1:15" x14ac:dyDescent="0.3">
      <c r="A12" t="s">
        <v>37</v>
      </c>
      <c r="B12" s="1">
        <v>0.42</v>
      </c>
      <c r="C12" t="s">
        <v>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2F16-178D-4C9D-9097-E5B0FFBFDA90}">
  <dimension ref="A1:Q16"/>
  <sheetViews>
    <sheetView workbookViewId="0">
      <selection activeCell="L14" sqref="L14"/>
    </sheetView>
  </sheetViews>
  <sheetFormatPr defaultRowHeight="14.4" x14ac:dyDescent="0.3"/>
  <cols>
    <col min="3" max="3" width="17" customWidth="1"/>
    <col min="4" max="5" width="17.44140625" customWidth="1"/>
    <col min="6" max="6" width="13.44140625" customWidth="1"/>
    <col min="7" max="7" width="17.21875" customWidth="1"/>
    <col min="8" max="8" width="11.44140625" bestFit="1" customWidth="1"/>
    <col min="10" max="11" width="13.21875" customWidth="1"/>
    <col min="12" max="12" width="16.6640625" customWidth="1"/>
    <col min="14" max="14" width="15.21875" customWidth="1"/>
    <col min="15" max="15" width="13.44140625" customWidth="1"/>
    <col min="16" max="16" width="16.21875" customWidth="1"/>
    <col min="17" max="17" width="15.109375" customWidth="1"/>
    <col min="18" max="18" width="11" customWidth="1"/>
  </cols>
  <sheetData>
    <row r="1" spans="1:17" x14ac:dyDescent="0.3">
      <c r="D1" t="s">
        <v>65</v>
      </c>
      <c r="G1">
        <v>39444.433400000002</v>
      </c>
      <c r="H1" t="s">
        <v>26</v>
      </c>
    </row>
    <row r="2" spans="1:17" x14ac:dyDescent="0.3">
      <c r="A2" s="4" t="s">
        <v>15</v>
      </c>
      <c r="D2" t="s">
        <v>68</v>
      </c>
      <c r="G2" t="s">
        <v>66</v>
      </c>
      <c r="I2" s="5">
        <f>70.8/(1.8*1000000000)</f>
        <v>3.9333333333333335E-8</v>
      </c>
      <c r="J2" t="s">
        <v>76</v>
      </c>
      <c r="L2" t="s">
        <v>67</v>
      </c>
      <c r="N2">
        <v>8.8999999999999999E-3</v>
      </c>
      <c r="O2" t="s">
        <v>35</v>
      </c>
    </row>
    <row r="3" spans="1:17" x14ac:dyDescent="0.3">
      <c r="A3" s="2" t="s">
        <v>0</v>
      </c>
      <c r="B3" t="s">
        <v>16</v>
      </c>
      <c r="G3" s="2" t="s">
        <v>69</v>
      </c>
      <c r="H3" s="8"/>
      <c r="I3" s="2" t="s">
        <v>95</v>
      </c>
      <c r="Q3" s="2" t="s">
        <v>72</v>
      </c>
    </row>
    <row r="4" spans="1:17" ht="15" customHeight="1" x14ac:dyDescent="0.3">
      <c r="A4" s="2" t="s">
        <v>8</v>
      </c>
      <c r="B4" s="2" t="s">
        <v>71</v>
      </c>
      <c r="C4" s="2" t="s">
        <v>82</v>
      </c>
      <c r="D4" s="2" t="s">
        <v>81</v>
      </c>
      <c r="E4" s="2" t="s">
        <v>105</v>
      </c>
      <c r="F4" s="2" t="s">
        <v>104</v>
      </c>
      <c r="G4" s="2" t="s">
        <v>70</v>
      </c>
      <c r="H4" s="2" t="s">
        <v>12</v>
      </c>
      <c r="I4" s="2" t="s">
        <v>39</v>
      </c>
      <c r="J4" s="2"/>
      <c r="K4" s="2"/>
      <c r="L4" s="2" t="s">
        <v>40</v>
      </c>
      <c r="M4" s="2" t="s">
        <v>83</v>
      </c>
      <c r="N4" s="2" t="s">
        <v>5</v>
      </c>
      <c r="O4" s="2" t="s">
        <v>93</v>
      </c>
      <c r="P4" s="2" t="s">
        <v>92</v>
      </c>
      <c r="Q4" s="2" t="s">
        <v>73</v>
      </c>
    </row>
    <row r="5" spans="1:17" x14ac:dyDescent="0.3">
      <c r="A5" t="s">
        <v>9</v>
      </c>
      <c r="B5">
        <f>441.89</f>
        <v>441.89</v>
      </c>
      <c r="C5">
        <f>B5*1000*B15/1000000</f>
        <v>6.8124708387833097</v>
      </c>
      <c r="D5">
        <f>0.33*C5</f>
        <v>2.2481153767984923</v>
      </c>
      <c r="E5">
        <f>D5/D9</f>
        <v>0.66328485235107681</v>
      </c>
      <c r="F5">
        <v>114000</v>
      </c>
      <c r="G5">
        <f>F5*B5*$N$2/1000000</f>
        <v>0.44834159400000001</v>
      </c>
      <c r="H5" t="s">
        <v>14</v>
      </c>
      <c r="I5">
        <v>1538396</v>
      </c>
      <c r="J5" t="s">
        <v>39</v>
      </c>
      <c r="L5" s="3">
        <f>C9*0.7</f>
        <v>5.5676052871483162</v>
      </c>
      <c r="M5">
        <f>L6/I6</f>
        <v>30.363615543241984</v>
      </c>
      <c r="N5" s="1" t="s">
        <v>84</v>
      </c>
      <c r="O5" t="s">
        <v>94</v>
      </c>
      <c r="P5">
        <f>186/L6</f>
        <v>101.2349716919415</v>
      </c>
      <c r="Q5">
        <f>(G9-G16)/L6</f>
        <v>0.24122779924311022</v>
      </c>
    </row>
    <row r="6" spans="1:17" x14ac:dyDescent="0.3">
      <c r="A6" t="s">
        <v>10</v>
      </c>
      <c r="B6">
        <f>3428</f>
        <v>3428</v>
      </c>
      <c r="E6">
        <f>D8/D9</f>
        <v>0.33671514764892313</v>
      </c>
      <c r="F6">
        <v>300</v>
      </c>
      <c r="G6">
        <f>F6*B6*$N$2/1000000</f>
        <v>9.1527599999999994E-3</v>
      </c>
      <c r="I6">
        <f>(I5*I2)</f>
        <v>6.0510242666666672E-2</v>
      </c>
      <c r="J6" t="s">
        <v>42</v>
      </c>
      <c r="K6" t="s">
        <v>80</v>
      </c>
      <c r="L6" s="6">
        <f>0.33*L5</f>
        <v>1.8373097447589444</v>
      </c>
      <c r="N6" t="s">
        <v>85</v>
      </c>
      <c r="O6">
        <f>87/(1000000*0.27777)</f>
        <v>3.1320876984555567E-4</v>
      </c>
      <c r="P6">
        <f>P5*N2</f>
        <v>0.90099124805827935</v>
      </c>
    </row>
    <row r="7" spans="1:17" x14ac:dyDescent="0.3">
      <c r="A7" t="s">
        <v>11</v>
      </c>
      <c r="B7">
        <f>1714</f>
        <v>1714</v>
      </c>
      <c r="E7" t="s">
        <v>106</v>
      </c>
      <c r="F7">
        <v>200</v>
      </c>
      <c r="G7">
        <f>F7*B7*$N$2/1000000</f>
        <v>3.0509199999999999E-3</v>
      </c>
      <c r="I7">
        <f>G1*I6</f>
        <v>2386.7922368831719</v>
      </c>
      <c r="J7" t="s">
        <v>96</v>
      </c>
      <c r="K7" t="s">
        <v>86</v>
      </c>
      <c r="N7">
        <f>L6/D9</f>
        <v>0.54208059575265499</v>
      </c>
    </row>
    <row r="8" spans="1:17" x14ac:dyDescent="0.3">
      <c r="A8" t="s">
        <v>13</v>
      </c>
      <c r="B8">
        <v>1141251</v>
      </c>
      <c r="C8">
        <f>1141251/1000000</f>
        <v>1.141251</v>
      </c>
      <c r="D8">
        <f>1141251/1000000</f>
        <v>1.141251</v>
      </c>
      <c r="E8">
        <f>D8/D5</f>
        <v>0.50764787776383546</v>
      </c>
      <c r="F8">
        <v>16</v>
      </c>
      <c r="G8">
        <f>F8*B8*$N$2/1000000</f>
        <v>0.16251414240000001</v>
      </c>
      <c r="N8" t="s">
        <v>107</v>
      </c>
    </row>
    <row r="9" spans="1:17" x14ac:dyDescent="0.3">
      <c r="C9">
        <f>SUM(C5:C8)</f>
        <v>7.9537218387833093</v>
      </c>
      <c r="D9">
        <f>SUM(D5:D8)</f>
        <v>3.3893663767984923</v>
      </c>
      <c r="G9">
        <f>SUM(G5:G8)</f>
        <v>0.62305941640000007</v>
      </c>
      <c r="N9">
        <f>L6/D5</f>
        <v>0.81726665976344592</v>
      </c>
    </row>
    <row r="11" spans="1:17" x14ac:dyDescent="0.3">
      <c r="D11" t="s">
        <v>77</v>
      </c>
      <c r="F11" t="s">
        <v>78</v>
      </c>
      <c r="G11">
        <f>60*N2/(1000000*I2*M5)</f>
        <v>0.44712301033802088</v>
      </c>
    </row>
    <row r="12" spans="1:17" x14ac:dyDescent="0.3">
      <c r="G12" t="s">
        <v>73</v>
      </c>
    </row>
    <row r="14" spans="1:17" x14ac:dyDescent="0.3">
      <c r="A14" t="s">
        <v>79</v>
      </c>
      <c r="B14">
        <v>55.5</v>
      </c>
      <c r="C14" t="s">
        <v>2</v>
      </c>
      <c r="D14" s="2" t="s">
        <v>87</v>
      </c>
      <c r="E14" t="s">
        <v>73</v>
      </c>
      <c r="F14" t="s">
        <v>91</v>
      </c>
      <c r="G14" t="s">
        <v>90</v>
      </c>
    </row>
    <row r="15" spans="1:17" x14ac:dyDescent="0.3">
      <c r="B15">
        <f>55.5*0.277777778</f>
        <v>15.416666678999999</v>
      </c>
      <c r="C15" t="s">
        <v>4</v>
      </c>
      <c r="D15" t="s">
        <v>88</v>
      </c>
      <c r="E15">
        <f>G5/D5</f>
        <v>0.19942997527043146</v>
      </c>
      <c r="F15">
        <v>0.44834159400000001</v>
      </c>
    </row>
    <row r="16" spans="1:17" x14ac:dyDescent="0.3">
      <c r="D16" t="s">
        <v>89</v>
      </c>
      <c r="E16">
        <v>0.08</v>
      </c>
      <c r="F16">
        <f>E16*D5</f>
        <v>0.17984923014387938</v>
      </c>
      <c r="G16">
        <f>F16</f>
        <v>0.17984923014387938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D9EFC-D052-4551-86BD-609CA1895FF2}">
  <dimension ref="A1:G5"/>
  <sheetViews>
    <sheetView workbookViewId="0">
      <selection activeCell="C6" sqref="C6"/>
    </sheetView>
  </sheetViews>
  <sheetFormatPr defaultRowHeight="14.4" x14ac:dyDescent="0.3"/>
  <cols>
    <col min="4" max="4" width="9.6640625" customWidth="1"/>
  </cols>
  <sheetData>
    <row r="1" spans="1:7" x14ac:dyDescent="0.3">
      <c r="A1" t="s">
        <v>97</v>
      </c>
      <c r="C1">
        <v>2050</v>
      </c>
      <c r="D1" t="s">
        <v>98</v>
      </c>
    </row>
    <row r="2" spans="1:7" x14ac:dyDescent="0.3">
      <c r="C2" t="s">
        <v>99</v>
      </c>
      <c r="E2" t="s">
        <v>100</v>
      </c>
      <c r="F2">
        <f>9/(39.4*0.3)</f>
        <v>0.76142131979695438</v>
      </c>
      <c r="G2" t="s">
        <v>73</v>
      </c>
    </row>
    <row r="3" spans="1:7" x14ac:dyDescent="0.3">
      <c r="D3">
        <v>2050</v>
      </c>
      <c r="E3" t="s">
        <v>101</v>
      </c>
      <c r="F3">
        <f>1.5/(39.444*0.3)</f>
        <v>0.12676199168441335</v>
      </c>
      <c r="G3" t="s">
        <v>73</v>
      </c>
    </row>
    <row r="5" spans="1:7" x14ac:dyDescent="0.3">
      <c r="A5" t="s">
        <v>102</v>
      </c>
      <c r="C5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CCS</vt:lpstr>
      <vt:lpstr>H2 basics</vt:lpstr>
      <vt:lpstr>H2 Steam Reforming</vt:lpstr>
      <vt:lpstr>Photocatalytic 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achubbz</dc:creator>
  <cp:lastModifiedBy>achubbz</cp:lastModifiedBy>
  <dcterms:created xsi:type="dcterms:W3CDTF">2018-12-04T05:57:54Z</dcterms:created>
  <dcterms:modified xsi:type="dcterms:W3CDTF">2018-12-24T06:18:08Z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76770603656768</vt:r8>
  </property>
</Properties>
</file>