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1878" documentId="13_ncr:1_{95195071-FBF9-4B71-8D0A-DA305D55CE29}" xr6:coauthVersionLast="47" xr6:coauthVersionMax="47" xr10:uidLastSave="{50878B00-5638-456B-969A-EAD0FEA17C50}"/>
  <bookViews>
    <workbookView xWindow="21840" yWindow="-103" windowWidth="22149" windowHeight="11829" activeTab="4" xr2:uid="{00000000-000D-0000-FFFF-FFFF00000000}"/>
  </bookViews>
  <sheets>
    <sheet name="Material Property" sheetId="9" r:id="rId1"/>
    <sheet name="Stringer skin" sheetId="8" r:id="rId2"/>
    <sheet name="Pressure load" sheetId="7" r:id="rId3"/>
    <sheet name="Light frames" sheetId="1" r:id="rId4"/>
    <sheet name="Heavy fram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" i="2" l="1"/>
  <c r="E14" i="2"/>
  <c r="E11" i="2"/>
  <c r="F87" i="2"/>
  <c r="D46" i="8"/>
  <c r="E35" i="7"/>
  <c r="E14" i="7"/>
  <c r="E19" i="1"/>
  <c r="E16" i="1"/>
  <c r="E17" i="1"/>
  <c r="E18" i="1"/>
  <c r="E20" i="1"/>
  <c r="E40" i="7"/>
  <c r="F171" i="8"/>
  <c r="D107" i="8"/>
  <c r="F108" i="8"/>
  <c r="F172" i="8" s="1"/>
  <c r="H105" i="8"/>
  <c r="F187" i="8"/>
  <c r="F186" i="8"/>
  <c r="F96" i="8"/>
  <c r="J98" i="8" s="1"/>
  <c r="F99" i="8"/>
  <c r="H165" i="8" s="1"/>
  <c r="F95" i="8"/>
  <c r="D148" i="8"/>
  <c r="D105" i="8"/>
  <c r="F105" i="8"/>
  <c r="I37" i="7"/>
  <c r="I35" i="7"/>
  <c r="E88" i="2" l="1"/>
  <c r="G88" i="2"/>
  <c r="E87" i="2"/>
  <c r="H111" i="8"/>
  <c r="H104" i="8"/>
  <c r="G104" i="8"/>
  <c r="H106" i="8"/>
  <c r="H107" i="8"/>
  <c r="G105" i="8"/>
  <c r="G112" i="8"/>
  <c r="F174" i="8"/>
  <c r="F175" i="8" s="1"/>
  <c r="G164" i="8" l="1"/>
  <c r="H143" i="8"/>
  <c r="E107" i="8"/>
  <c r="E36" i="7"/>
  <c r="R7" i="7"/>
  <c r="E9" i="7"/>
  <c r="F36" i="8"/>
  <c r="E44" i="8"/>
  <c r="F38" i="8"/>
  <c r="F57" i="8"/>
  <c r="F47" i="8"/>
  <c r="D42" i="9"/>
  <c r="E39" i="9"/>
  <c r="E38" i="9"/>
  <c r="F46" i="8"/>
  <c r="E37" i="7" l="1"/>
  <c r="E5" i="2"/>
  <c r="E6" i="1"/>
  <c r="E5" i="7"/>
  <c r="D47" i="8" l="1"/>
  <c r="F37" i="8" l="1"/>
  <c r="E9" i="2"/>
  <c r="E10" i="2"/>
  <c r="E166" i="8" l="1"/>
  <c r="F166" i="8"/>
  <c r="E105" i="8"/>
  <c r="F104" i="8"/>
  <c r="E104" i="8"/>
  <c r="D106" i="8" l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l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E121" i="8"/>
  <c r="F106" i="8"/>
  <c r="E106" i="8"/>
  <c r="F135" i="8" l="1"/>
  <c r="E134" i="8"/>
  <c r="E135" i="8"/>
  <c r="F144" i="8"/>
  <c r="E144" i="8"/>
  <c r="F134" i="8"/>
  <c r="F145" i="8"/>
  <c r="E145" i="8"/>
  <c r="D147" i="8"/>
  <c r="E146" i="8"/>
  <c r="F146" i="8"/>
  <c r="E136" i="8"/>
  <c r="F136" i="8"/>
  <c r="F107" i="8"/>
  <c r="F147" i="8" l="1"/>
  <c r="E147" i="8"/>
  <c r="F137" i="8"/>
  <c r="E137" i="8"/>
  <c r="E108" i="8"/>
  <c r="D149" i="8" l="1"/>
  <c r="E148" i="8"/>
  <c r="F148" i="8"/>
  <c r="F138" i="8"/>
  <c r="E138" i="8"/>
  <c r="E109" i="8"/>
  <c r="F109" i="8"/>
  <c r="D150" i="8" l="1"/>
  <c r="E149" i="8"/>
  <c r="F149" i="8"/>
  <c r="E139" i="8"/>
  <c r="F139" i="8"/>
  <c r="E110" i="8"/>
  <c r="F110" i="8"/>
  <c r="D151" i="8" l="1"/>
  <c r="F150" i="8"/>
  <c r="E150" i="8"/>
  <c r="F140" i="8"/>
  <c r="E140" i="8"/>
  <c r="E111" i="8"/>
  <c r="F111" i="8"/>
  <c r="D152" i="8" l="1"/>
  <c r="E151" i="8"/>
  <c r="F151" i="8"/>
  <c r="E141" i="8"/>
  <c r="F141" i="8"/>
  <c r="E112" i="8"/>
  <c r="F112" i="8"/>
  <c r="D153" i="8" l="1"/>
  <c r="E152" i="8"/>
  <c r="F152" i="8"/>
  <c r="E142" i="8"/>
  <c r="F142" i="8"/>
  <c r="E113" i="8"/>
  <c r="F113" i="8"/>
  <c r="D154" i="8" l="1"/>
  <c r="E153" i="8"/>
  <c r="F153" i="8"/>
  <c r="E143" i="8"/>
  <c r="F143" i="8"/>
  <c r="E114" i="8"/>
  <c r="F114" i="8"/>
  <c r="D155" i="8" l="1"/>
  <c r="E154" i="8"/>
  <c r="F154" i="8"/>
  <c r="F115" i="8"/>
  <c r="E115" i="8"/>
  <c r="F155" i="8" l="1"/>
  <c r="D156" i="8"/>
  <c r="E155" i="8"/>
  <c r="F116" i="8"/>
  <c r="E116" i="8"/>
  <c r="D157" i="8" l="1"/>
  <c r="E156" i="8"/>
  <c r="F156" i="8"/>
  <c r="F117" i="8"/>
  <c r="E117" i="8"/>
  <c r="D158" i="8" l="1"/>
  <c r="E157" i="8"/>
  <c r="F157" i="8"/>
  <c r="F118" i="8"/>
  <c r="E118" i="8"/>
  <c r="D159" i="8" l="1"/>
  <c r="E158" i="8"/>
  <c r="F158" i="8"/>
  <c r="F119" i="8"/>
  <c r="E119" i="8"/>
  <c r="D160" i="8" l="1"/>
  <c r="E159" i="8"/>
  <c r="F159" i="8"/>
  <c r="E120" i="8"/>
  <c r="F120" i="8"/>
  <c r="D161" i="8" l="1"/>
  <c r="E160" i="8"/>
  <c r="F160" i="8"/>
  <c r="F121" i="8"/>
  <c r="D49" i="8"/>
  <c r="D162" i="8" l="1"/>
  <c r="E161" i="8"/>
  <c r="F161" i="8"/>
  <c r="E122" i="8"/>
  <c r="F122" i="8"/>
  <c r="D163" i="8" l="1"/>
  <c r="E162" i="8"/>
  <c r="F162" i="8"/>
  <c r="E123" i="8"/>
  <c r="F123" i="8"/>
  <c r="D164" i="8" l="1"/>
  <c r="E163" i="8"/>
  <c r="F163" i="8"/>
  <c r="E124" i="8"/>
  <c r="F124" i="8"/>
  <c r="F45" i="8"/>
  <c r="F48" i="8"/>
  <c r="F49" i="8"/>
  <c r="F50" i="8"/>
  <c r="F51" i="8"/>
  <c r="F52" i="8"/>
  <c r="F53" i="8"/>
  <c r="F54" i="8"/>
  <c r="F55" i="8"/>
  <c r="F56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D45" i="8"/>
  <c r="D48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165" i="8" l="1"/>
  <c r="E164" i="8"/>
  <c r="F164" i="8"/>
  <c r="E125" i="8"/>
  <c r="F125" i="8"/>
  <c r="G50" i="8"/>
  <c r="H50" i="8" s="1"/>
  <c r="G70" i="8"/>
  <c r="H70" i="8" s="1"/>
  <c r="G58" i="8"/>
  <c r="H58" i="8" s="1"/>
  <c r="G46" i="8"/>
  <c r="H46" i="8" s="1"/>
  <c r="G76" i="8"/>
  <c r="H76" i="8" s="1"/>
  <c r="G64" i="8"/>
  <c r="H64" i="8" s="1"/>
  <c r="G52" i="8"/>
  <c r="H52" i="8" s="1"/>
  <c r="G73" i="8"/>
  <c r="H73" i="8" s="1"/>
  <c r="G49" i="8"/>
  <c r="H49" i="8" s="1"/>
  <c r="G61" i="8"/>
  <c r="H61" i="8" s="1"/>
  <c r="G80" i="8"/>
  <c r="H80" i="8" s="1"/>
  <c r="G68" i="8"/>
  <c r="H68" i="8" s="1"/>
  <c r="G56" i="8"/>
  <c r="H56" i="8" s="1"/>
  <c r="G44" i="8"/>
  <c r="H44" i="8" s="1"/>
  <c r="G69" i="8"/>
  <c r="H69" i="8" s="1"/>
  <c r="G57" i="8"/>
  <c r="H57" i="8" s="1"/>
  <c r="G45" i="8"/>
  <c r="H45" i="8" s="1"/>
  <c r="G79" i="8"/>
  <c r="H79" i="8" s="1"/>
  <c r="G67" i="8"/>
  <c r="H67" i="8" s="1"/>
  <c r="G55" i="8"/>
  <c r="H55" i="8" s="1"/>
  <c r="G78" i="8"/>
  <c r="H78" i="8" s="1"/>
  <c r="G66" i="8"/>
  <c r="H66" i="8" s="1"/>
  <c r="G54" i="8"/>
  <c r="H54" i="8" s="1"/>
  <c r="G77" i="8"/>
  <c r="H77" i="8" s="1"/>
  <c r="G65" i="8"/>
  <c r="H65" i="8" s="1"/>
  <c r="G53" i="8"/>
  <c r="H53" i="8" s="1"/>
  <c r="G75" i="8"/>
  <c r="H75" i="8" s="1"/>
  <c r="G63" i="8"/>
  <c r="H63" i="8" s="1"/>
  <c r="G51" i="8"/>
  <c r="H51" i="8" s="1"/>
  <c r="G74" i="8"/>
  <c r="H74" i="8" s="1"/>
  <c r="G62" i="8"/>
  <c r="H62" i="8" s="1"/>
  <c r="G72" i="8"/>
  <c r="H72" i="8" s="1"/>
  <c r="G60" i="8"/>
  <c r="H60" i="8" s="1"/>
  <c r="G48" i="8"/>
  <c r="H48" i="8" s="1"/>
  <c r="G71" i="8"/>
  <c r="H71" i="8" s="1"/>
  <c r="G59" i="8"/>
  <c r="H59" i="8" s="1"/>
  <c r="G47" i="8"/>
  <c r="H47" i="8" s="1"/>
  <c r="E83" i="8" l="1"/>
  <c r="E165" i="8"/>
  <c r="F165" i="8"/>
  <c r="E126" i="8"/>
  <c r="F126" i="8"/>
  <c r="F127" i="8" l="1"/>
  <c r="E127" i="8"/>
  <c r="F128" i="8" l="1"/>
  <c r="E128" i="8"/>
  <c r="E129" i="8" l="1"/>
  <c r="F129" i="8"/>
  <c r="D88" i="2"/>
  <c r="D89" i="2"/>
  <c r="F89" i="2" s="1"/>
  <c r="D90" i="2"/>
  <c r="F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F96" i="2" s="1"/>
  <c r="D97" i="2"/>
  <c r="F97" i="2" s="1"/>
  <c r="D98" i="2"/>
  <c r="F98" i="2" s="1"/>
  <c r="D99" i="2"/>
  <c r="E99" i="2" s="1"/>
  <c r="D87" i="2"/>
  <c r="F88" i="2" l="1"/>
  <c r="F130" i="8"/>
  <c r="E130" i="8"/>
  <c r="G99" i="2"/>
  <c r="G98" i="2"/>
  <c r="E97" i="2"/>
  <c r="E95" i="2"/>
  <c r="G97" i="2"/>
  <c r="E94" i="2"/>
  <c r="E90" i="2"/>
  <c r="E89" i="2"/>
  <c r="G96" i="2"/>
  <c r="G90" i="2"/>
  <c r="E98" i="2"/>
  <c r="F95" i="2"/>
  <c r="G89" i="2"/>
  <c r="F94" i="2"/>
  <c r="E96" i="2"/>
  <c r="G87" i="2"/>
  <c r="F92" i="2"/>
  <c r="F93" i="2"/>
  <c r="F99" i="2"/>
  <c r="E92" i="2"/>
  <c r="F91" i="2"/>
  <c r="E93" i="2"/>
  <c r="E91" i="2"/>
  <c r="E103" i="2" l="1"/>
  <c r="E106" i="2" s="1"/>
  <c r="F131" i="8"/>
  <c r="E131" i="8"/>
  <c r="E105" i="2"/>
  <c r="E104" i="2"/>
  <c r="E107" i="2" s="1"/>
  <c r="E132" i="8" l="1"/>
  <c r="F132" i="8"/>
  <c r="F133" i="8" l="1"/>
  <c r="E133" i="8"/>
  <c r="E84" i="8"/>
  <c r="E85" i="8" s="1"/>
  <c r="H85" i="8" l="1"/>
  <c r="F93" i="8"/>
  <c r="E9" i="1"/>
  <c r="E6" i="2" l="1"/>
  <c r="M29" i="1"/>
  <c r="M39" i="1" s="1"/>
  <c r="I27" i="1"/>
  <c r="I37" i="1" s="1"/>
  <c r="J32" i="1"/>
  <c r="J42" i="1" s="1"/>
  <c r="O31" i="1"/>
  <c r="O41" i="1" s="1"/>
  <c r="J28" i="1"/>
  <c r="J38" i="1" s="1"/>
  <c r="L30" i="1"/>
  <c r="L40" i="1" s="1"/>
  <c r="J30" i="1"/>
  <c r="J40" i="1" s="1"/>
  <c r="N28" i="1"/>
  <c r="N38" i="1" s="1"/>
  <c r="L28" i="1"/>
  <c r="L38" i="1" s="1"/>
  <c r="P26" i="1"/>
  <c r="P36" i="1" s="1"/>
  <c r="N26" i="1"/>
  <c r="N36" i="1" s="1"/>
  <c r="O32" i="1"/>
  <c r="O42" i="1" s="1"/>
  <c r="P30" i="1"/>
  <c r="P40" i="1" s="1"/>
  <c r="K29" i="1"/>
  <c r="K39" i="1" s="1"/>
  <c r="J31" i="1"/>
  <c r="J41" i="1" s="1"/>
  <c r="J29" i="1"/>
  <c r="J39" i="1" s="1"/>
  <c r="M32" i="1"/>
  <c r="M42" i="1" s="1"/>
  <c r="L29" i="1"/>
  <c r="L39" i="1" s="1"/>
  <c r="M30" i="1"/>
  <c r="M40" i="1" s="1"/>
  <c r="N30" i="1"/>
  <c r="N40" i="1" s="1"/>
  <c r="O28" i="1"/>
  <c r="O38" i="1" s="1"/>
  <c r="I28" i="1"/>
  <c r="I38" i="1" s="1"/>
  <c r="K31" i="1"/>
  <c r="K41" i="1" s="1"/>
  <c r="P27" i="1"/>
  <c r="P37" i="1" s="1"/>
  <c r="L26" i="1"/>
  <c r="L36" i="1" s="1"/>
  <c r="I32" i="1"/>
  <c r="I42" i="1" s="1"/>
  <c r="O27" i="1"/>
  <c r="O37" i="1" s="1"/>
  <c r="M31" i="1"/>
  <c r="M41" i="1" s="1"/>
  <c r="N27" i="1"/>
  <c r="N37" i="1" s="1"/>
  <c r="I26" i="1"/>
  <c r="I36" i="1" s="1"/>
  <c r="I29" i="1"/>
  <c r="I39" i="1" s="1"/>
  <c r="P32" i="1"/>
  <c r="P42" i="1" s="1"/>
  <c r="I31" i="1"/>
  <c r="I41" i="1" s="1"/>
  <c r="N31" i="1"/>
  <c r="N41" i="1" s="1"/>
  <c r="M27" i="1"/>
  <c r="M37" i="1" s="1"/>
  <c r="P31" i="1"/>
  <c r="P41" i="1" s="1"/>
  <c r="P29" i="1"/>
  <c r="P39" i="1" s="1"/>
  <c r="O30" i="1"/>
  <c r="O40" i="1" s="1"/>
  <c r="K30" i="1"/>
  <c r="K40" i="1" s="1"/>
  <c r="K28" i="1"/>
  <c r="K38" i="1" s="1"/>
  <c r="L32" i="1"/>
  <c r="L42" i="1" s="1"/>
  <c r="M28" i="1"/>
  <c r="M38" i="1" s="1"/>
  <c r="N32" i="1"/>
  <c r="N42" i="1" s="1"/>
  <c r="O26" i="1"/>
  <c r="O36" i="1" s="1"/>
  <c r="L27" i="1"/>
  <c r="L37" i="1" s="1"/>
  <c r="P28" i="1"/>
  <c r="P38" i="1" s="1"/>
  <c r="N29" i="1"/>
  <c r="N39" i="1" s="1"/>
  <c r="K27" i="1"/>
  <c r="K37" i="1" s="1"/>
  <c r="K32" i="1"/>
  <c r="K42" i="1" s="1"/>
  <c r="J27" i="1"/>
  <c r="J37" i="1" s="1"/>
  <c r="K26" i="1"/>
  <c r="K36" i="1" s="1"/>
  <c r="J26" i="1"/>
  <c r="J36" i="1" s="1"/>
  <c r="L31" i="1"/>
  <c r="L41" i="1" s="1"/>
  <c r="O29" i="1"/>
  <c r="O39" i="1" s="1"/>
  <c r="M26" i="1"/>
  <c r="M36" i="1" s="1"/>
  <c r="I30" i="1"/>
  <c r="I40" i="1" s="1"/>
  <c r="E21" i="1"/>
  <c r="C38" i="1" l="1"/>
  <c r="E15" i="7" l="1"/>
  <c r="E16" i="7"/>
  <c r="H140" i="8"/>
  <c r="H126" i="8"/>
  <c r="G153" i="8"/>
  <c r="H154" i="8"/>
  <c r="G151" i="8"/>
  <c r="G150" i="8"/>
  <c r="G138" i="8"/>
  <c r="H145" i="8"/>
  <c r="G160" i="8"/>
  <c r="G122" i="8"/>
  <c r="H141" i="8"/>
  <c r="H130" i="8"/>
  <c r="G140" i="8"/>
  <c r="H115" i="8"/>
  <c r="G119" i="8"/>
  <c r="G142" i="8"/>
  <c r="G115" i="8"/>
  <c r="H135" i="8"/>
  <c r="G149" i="8"/>
  <c r="H134" i="8"/>
  <c r="H108" i="8"/>
  <c r="F173" i="8" s="1"/>
  <c r="H123" i="8"/>
  <c r="H149" i="8"/>
  <c r="G127" i="8"/>
  <c r="H110" i="8"/>
  <c r="G148" i="8"/>
  <c r="G123" i="8"/>
  <c r="G124" i="8"/>
  <c r="H151" i="8"/>
  <c r="G162" i="8"/>
  <c r="G134" i="8"/>
  <c r="H160" i="8"/>
  <c r="G137" i="8"/>
  <c r="H153" i="8"/>
  <c r="H155" i="8"/>
  <c r="H122" i="8"/>
  <c r="G147" i="8"/>
  <c r="H147" i="8"/>
  <c r="H116" i="8"/>
  <c r="H127" i="8"/>
  <c r="G158" i="8"/>
  <c r="G128" i="8"/>
  <c r="G139" i="8"/>
  <c r="H146" i="8"/>
  <c r="G144" i="8"/>
  <c r="H125" i="8"/>
  <c r="H158" i="8"/>
  <c r="G143" i="8"/>
  <c r="H114" i="8"/>
  <c r="G132" i="8"/>
  <c r="G117" i="8"/>
  <c r="G108" i="8"/>
  <c r="H128" i="8"/>
  <c r="H137" i="8"/>
  <c r="H131" i="8"/>
  <c r="G156" i="8"/>
  <c r="G107" i="8"/>
  <c r="G154" i="8"/>
  <c r="H121" i="8"/>
  <c r="G135" i="8"/>
  <c r="G136" i="8"/>
  <c r="G165" i="8"/>
  <c r="G155" i="8"/>
  <c r="H136" i="8"/>
  <c r="H139" i="8"/>
  <c r="H129" i="8"/>
  <c r="H119" i="8"/>
  <c r="G121" i="8"/>
  <c r="G131" i="8"/>
  <c r="G120" i="8"/>
  <c r="H138" i="8"/>
  <c r="G159" i="8"/>
  <c r="G111" i="8"/>
  <c r="G114" i="8"/>
  <c r="H163" i="8"/>
  <c r="G109" i="8"/>
  <c r="H164" i="8"/>
  <c r="H161" i="8"/>
  <c r="G126" i="8"/>
  <c r="G113" i="8"/>
  <c r="H157" i="8"/>
  <c r="H133" i="8"/>
  <c r="H109" i="8"/>
  <c r="G163" i="8"/>
  <c r="G125" i="8"/>
  <c r="H142" i="8"/>
  <c r="H124" i="8"/>
  <c r="H150" i="8"/>
  <c r="H112" i="8"/>
  <c r="G141" i="8"/>
  <c r="H152" i="8"/>
  <c r="H159" i="8"/>
  <c r="H117" i="8"/>
  <c r="H132" i="8"/>
  <c r="G133" i="8"/>
  <c r="G110" i="8"/>
  <c r="G129" i="8"/>
  <c r="G106" i="8"/>
  <c r="G146" i="8"/>
  <c r="G152" i="8"/>
  <c r="G145" i="8"/>
  <c r="G130" i="8"/>
  <c r="G116" i="8"/>
  <c r="H162" i="8"/>
  <c r="H144" i="8"/>
  <c r="G118" i="8"/>
  <c r="G161" i="8"/>
  <c r="H118" i="8"/>
  <c r="H156" i="8"/>
  <c r="H120" i="8"/>
  <c r="H113" i="8"/>
  <c r="G157" i="8"/>
  <c r="H148" i="8"/>
  <c r="F17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G=E/2/(1+v)</t>
        </r>
      </text>
    </comment>
    <comment ref="D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K=E/3/(1-2V)</t>
        </r>
      </text>
    </comment>
    <comment ref="C4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=tensile yield /sqrt(3)</t>
        </r>
      </text>
    </comment>
  </commentList>
</comments>
</file>

<file path=xl/sharedStrings.xml><?xml version="1.0" encoding="utf-8"?>
<sst xmlns="http://schemas.openxmlformats.org/spreadsheetml/2006/main" count="438" uniqueCount="293">
  <si>
    <t>Material Property</t>
  </si>
  <si>
    <t>Objective:</t>
  </si>
  <si>
    <t>Select appropriate material for each structural component by considering compomemt purpose and material properties</t>
  </si>
  <si>
    <t>Step 1</t>
  </si>
  <si>
    <t>Merit Indices for Key Structural Performance Metrics</t>
  </si>
  <si>
    <t>Source</t>
  </si>
  <si>
    <t>Define merit indices for important structural performance metrics</t>
  </si>
  <si>
    <t>Metric</t>
  </si>
  <si>
    <t>Abbreviation</t>
  </si>
  <si>
    <t>Merit Index</t>
  </si>
  <si>
    <t>Yield strength</t>
  </si>
  <si>
    <t>YS</t>
  </si>
  <si>
    <t>Compressive strength</t>
  </si>
  <si>
    <t>CS</t>
  </si>
  <si>
    <t>Tensile strength</t>
  </si>
  <si>
    <t>TeS</t>
  </si>
  <si>
    <t>Fatigue Strength</t>
  </si>
  <si>
    <t>FaS</t>
  </si>
  <si>
    <t>Stiffness</t>
  </si>
  <si>
    <t>ST</t>
  </si>
  <si>
    <t>Torsional Strength</t>
  </si>
  <si>
    <t>ToS</t>
  </si>
  <si>
    <t>Step 2</t>
  </si>
  <si>
    <t>Wingbox Material Selection</t>
  </si>
  <si>
    <t>Example:</t>
  </si>
  <si>
    <t>Granta EduPack</t>
  </si>
  <si>
    <t>Choose appropriate merit index for each component and therefore an appropriate material</t>
  </si>
  <si>
    <t>Wingbox Structure Components</t>
  </si>
  <si>
    <t>Value to Max</t>
  </si>
  <si>
    <t>Material Index</t>
  </si>
  <si>
    <t>Chosen Material</t>
  </si>
  <si>
    <t>Upper skin</t>
  </si>
  <si>
    <t>CS, ToS,FaS</t>
  </si>
  <si>
    <t>Lower skin</t>
  </si>
  <si>
    <t>TeS,FaS, ToS</t>
  </si>
  <si>
    <t>Stringers</t>
  </si>
  <si>
    <t>CS, YS, FaS</t>
  </si>
  <si>
    <t>Spars</t>
  </si>
  <si>
    <t>ToS, FaS</t>
  </si>
  <si>
    <t>Ribs</t>
  </si>
  <si>
    <t>Fuselage Material Selection</t>
  </si>
  <si>
    <t>Fuselage Structure Components</t>
  </si>
  <si>
    <t>TeS, ToS, FaS</t>
  </si>
  <si>
    <t>CS, ToS, FaS</t>
  </si>
  <si>
    <t>Stringer</t>
  </si>
  <si>
    <t>ST, YS</t>
  </si>
  <si>
    <t>Light frames</t>
  </si>
  <si>
    <t>Heavy frames</t>
  </si>
  <si>
    <t>Step 3</t>
  </si>
  <si>
    <t>Material properties: Al 2024</t>
  </si>
  <si>
    <t>Souce</t>
  </si>
  <si>
    <t>Sample material properties for Al 2024</t>
  </si>
  <si>
    <t>Young's modulus</t>
  </si>
  <si>
    <t>E</t>
  </si>
  <si>
    <t>N/mm^2</t>
    <phoneticPr fontId="1" type="noConversion"/>
  </si>
  <si>
    <t>Poisson ratio</t>
  </si>
  <si>
    <t>v</t>
  </si>
  <si>
    <t>Shear modulus</t>
    <phoneticPr fontId="1" type="noConversion"/>
  </si>
  <si>
    <t>G</t>
    <phoneticPr fontId="1" type="noConversion"/>
  </si>
  <si>
    <t>Bulk modulus</t>
  </si>
  <si>
    <t>K</t>
  </si>
  <si>
    <t>Tensile yield stress</t>
    <phoneticPr fontId="1" type="noConversion"/>
  </si>
  <si>
    <t>Mpa</t>
    <phoneticPr fontId="1" type="noConversion"/>
  </si>
  <si>
    <t>Shear yield stress</t>
    <phoneticPr fontId="1" type="noConversion"/>
  </si>
  <si>
    <t>Density</t>
  </si>
  <si>
    <t>kg/m^3</t>
  </si>
  <si>
    <t>Stringer Skin Panels</t>
  </si>
  <si>
    <t>Design and analyse a fuselage skin-stringer panel</t>
  </si>
  <si>
    <t>Idealisations</t>
  </si>
  <si>
    <t>Aircraft Structures for Engineering Students, Megson T.H.G., Fourth Edition,  Section 20.2, Page 559</t>
  </si>
  <si>
    <t>Idealise skin-stringer panels for a simpler analysis</t>
  </si>
  <si>
    <t>Shear flow is resisted entirely by the skin</t>
  </si>
  <si>
    <t>Direct stress is resisted by the skin and stringers, as shown in diagram to the right</t>
  </si>
  <si>
    <t>Declare Load</t>
  </si>
  <si>
    <t>Aircraft Structures for Engineering Students, Megson T.H.G., Fourth Edition,  Equations 17.15, 18.1</t>
  </si>
  <si>
    <t>Calculate shear flow and skin thickness required to resist it</t>
  </si>
  <si>
    <t>Radius</t>
  </si>
  <si>
    <t xml:space="preserve">Point Load on Ring </t>
  </si>
  <si>
    <t>Up, right are +ve</t>
  </si>
  <si>
    <t>r (m)</t>
  </si>
  <si>
    <t>Q (N)</t>
  </si>
  <si>
    <t>P (N)</t>
  </si>
  <si>
    <t>T (Nm)</t>
  </si>
  <si>
    <t>Anti-clock wise is +ve</t>
  </si>
  <si>
    <t>Shear condition</t>
    <phoneticPr fontId="1" type="noConversion"/>
  </si>
  <si>
    <t>Description</t>
    <phoneticPr fontId="1" type="noConversion"/>
  </si>
  <si>
    <t>Symbol</t>
    <phoneticPr fontId="1" type="noConversion"/>
  </si>
  <si>
    <t>Value</t>
    <phoneticPr fontId="1" type="noConversion"/>
  </si>
  <si>
    <t>Unit</t>
    <phoneticPr fontId="1" type="noConversion"/>
  </si>
  <si>
    <t>Radial Load</t>
  </si>
  <si>
    <t>Q</t>
    <phoneticPr fontId="1" type="noConversion"/>
  </si>
  <si>
    <t>N</t>
    <phoneticPr fontId="1" type="noConversion"/>
  </si>
  <si>
    <t>Tangential Load</t>
  </si>
  <si>
    <t>P</t>
  </si>
  <si>
    <t>Nm</t>
    <phoneticPr fontId="1" type="noConversion"/>
  </si>
  <si>
    <t>Torque</t>
    <phoneticPr fontId="1" type="noConversion"/>
  </si>
  <si>
    <t>T</t>
    <phoneticPr fontId="1" type="noConversion"/>
  </si>
  <si>
    <t>Calculate Shear Flow</t>
  </si>
  <si>
    <t>phi</t>
  </si>
  <si>
    <t>Q Sflow</t>
  </si>
  <si>
    <t>P Sflow</t>
  </si>
  <si>
    <t>T Sflow</t>
  </si>
  <si>
    <t>Total Sflow</t>
  </si>
  <si>
    <t>Plot Sflow</t>
  </si>
  <si>
    <t>Circle</t>
  </si>
  <si>
    <t>Calculate Skin Thickness</t>
  </si>
  <si>
    <t>Max Total shear flow</t>
  </si>
  <si>
    <t>N/m</t>
    <phoneticPr fontId="1" type="noConversion"/>
  </si>
  <si>
    <t>MPa</t>
    <phoneticPr fontId="1" type="noConversion"/>
  </si>
  <si>
    <t>Skin thickness</t>
  </si>
  <si>
    <t>m</t>
  </si>
  <si>
    <t>Bending condition</t>
    <phoneticPr fontId="1" type="noConversion"/>
  </si>
  <si>
    <t>Calculate maximum stress and fuselage mass for given stringer dimensions</t>
  </si>
  <si>
    <t>Bending moment</t>
    <phoneticPr fontId="1" type="noConversion"/>
  </si>
  <si>
    <t>M</t>
    <phoneticPr fontId="1" type="noConversion"/>
  </si>
  <si>
    <t>Diameter of fuselage</t>
    <phoneticPr fontId="1" type="noConversion"/>
  </si>
  <si>
    <t>D</t>
    <phoneticPr fontId="1" type="noConversion"/>
  </si>
  <si>
    <t>m</t>
    <phoneticPr fontId="1" type="noConversion"/>
  </si>
  <si>
    <t>Circumference</t>
    <phoneticPr fontId="1" type="noConversion"/>
  </si>
  <si>
    <t>C</t>
    <phoneticPr fontId="1" type="noConversion"/>
  </si>
  <si>
    <t>Stringer spacing</t>
    <phoneticPr fontId="1" type="noConversion"/>
  </si>
  <si>
    <t>b</t>
    <phoneticPr fontId="1" type="noConversion"/>
  </si>
  <si>
    <t>No. of stringers</t>
    <phoneticPr fontId="1" type="noConversion"/>
  </si>
  <si>
    <t>Fuselage skin thickness</t>
    <phoneticPr fontId="1" type="noConversion"/>
  </si>
  <si>
    <t>t_f</t>
    <phoneticPr fontId="1" type="noConversion"/>
  </si>
  <si>
    <t>Single stringer area</t>
  </si>
  <si>
    <t>m^2</t>
    <phoneticPr fontId="1" type="noConversion"/>
  </si>
  <si>
    <t>Skin equivalent boom area</t>
    <phoneticPr fontId="1" type="noConversion"/>
  </si>
  <si>
    <t>Single Boom area</t>
    <phoneticPr fontId="1" type="noConversion"/>
  </si>
  <si>
    <t>S</t>
    <phoneticPr fontId="1" type="noConversion"/>
  </si>
  <si>
    <t>Boom Properties</t>
  </si>
  <si>
    <t>Boom</t>
    <phoneticPr fontId="1" type="noConversion"/>
  </si>
  <si>
    <t>Angle</t>
    <phoneticPr fontId="1" type="noConversion"/>
  </si>
  <si>
    <t>X</t>
    <phoneticPr fontId="1" type="noConversion"/>
  </si>
  <si>
    <t>Y</t>
    <phoneticPr fontId="1" type="noConversion"/>
  </si>
  <si>
    <t>Area*arm</t>
    <phoneticPr fontId="1" type="noConversion"/>
  </si>
  <si>
    <t>I</t>
    <phoneticPr fontId="1" type="noConversion"/>
  </si>
  <si>
    <t xml:space="preserve"> </t>
  </si>
  <si>
    <t>Direct Stress Analysis</t>
  </si>
  <si>
    <t>Centroid in X</t>
    <phoneticPr fontId="1" type="noConversion"/>
  </si>
  <si>
    <t>Second moment of area</t>
    <phoneticPr fontId="1" type="noConversion"/>
  </si>
  <si>
    <t>m^4</t>
    <phoneticPr fontId="1" type="noConversion"/>
  </si>
  <si>
    <t>Max stress edge</t>
    <phoneticPr fontId="1" type="noConversion"/>
  </si>
  <si>
    <t>c</t>
    <phoneticPr fontId="1" type="noConversion"/>
  </si>
  <si>
    <t>sigma</t>
    <phoneticPr fontId="1" type="noConversion"/>
  </si>
  <si>
    <t>Total cross-section area</t>
  </si>
  <si>
    <t>A</t>
    <phoneticPr fontId="1" type="noConversion"/>
  </si>
  <si>
    <t>Fuselage weight per unit length</t>
  </si>
  <si>
    <t>kg/m</t>
  </si>
  <si>
    <t>Boom area from skin can also be considered as 15*t</t>
  </si>
  <si>
    <t>Step 4:</t>
  </si>
  <si>
    <t>Define detailed stringer dimensions</t>
  </si>
  <si>
    <t>1.De-boom areas to skin and stringer</t>
  </si>
  <si>
    <t xml:space="preserve">2.Design stringer shape to match the area </t>
  </si>
  <si>
    <t>Z shape stringer example</t>
  </si>
  <si>
    <t>Stringer thichness</t>
  </si>
  <si>
    <t>t_s</t>
  </si>
  <si>
    <t>mm</t>
  </si>
  <si>
    <t>Stringer height</t>
  </si>
  <si>
    <t>h</t>
  </si>
  <si>
    <t>Stringer flange</t>
  </si>
  <si>
    <t>L</t>
  </si>
  <si>
    <t>Stringer Area</t>
  </si>
  <si>
    <t>A_s</t>
  </si>
  <si>
    <t>mm^2</t>
  </si>
  <si>
    <t>Match pre-determined stringer area</t>
  </si>
  <si>
    <t>2 Example Stringer dimensions</t>
  </si>
  <si>
    <t>Description</t>
  </si>
  <si>
    <t>Symbol</t>
  </si>
  <si>
    <t>Unit</t>
  </si>
  <si>
    <t>Design 1</t>
  </si>
  <si>
    <t>Design 2</t>
  </si>
  <si>
    <t>Stringer spacing</t>
  </si>
  <si>
    <t>b</t>
  </si>
  <si>
    <t>No. of stringers</t>
  </si>
  <si>
    <t>Single Stringer Area</t>
  </si>
  <si>
    <t>Step 5:</t>
  </si>
  <si>
    <t>Analyse the structure to check for failure</t>
  </si>
  <si>
    <t>1. Check stringer stress with yield and Euler buckling</t>
  </si>
  <si>
    <t>2. Check bay area between stringers  with yield and local plate buckling stress.</t>
  </si>
  <si>
    <t>Pressure Load</t>
  </si>
  <si>
    <t>Calculate the required material thicknesses for the fuselage pressure loads</t>
  </si>
  <si>
    <t>Fuselage Design Variables</t>
  </si>
  <si>
    <t>Define the fuselage design varibales</t>
  </si>
  <si>
    <t>Variable</t>
  </si>
  <si>
    <t>Units</t>
  </si>
  <si>
    <t>Pressure load</t>
    <phoneticPr fontId="1" type="noConversion"/>
  </si>
  <si>
    <t>P</t>
    <phoneticPr fontId="1" type="noConversion"/>
  </si>
  <si>
    <t>bar</t>
    <phoneticPr fontId="1" type="noConversion"/>
  </si>
  <si>
    <t>Atmospheric pressure</t>
    <phoneticPr fontId="1" type="noConversion"/>
  </si>
  <si>
    <t>atmo</t>
    <phoneticPr fontId="1" type="noConversion"/>
  </si>
  <si>
    <t>MPa</t>
  </si>
  <si>
    <t>σ_allow</t>
  </si>
  <si>
    <t>Fuselage Component Stresses</t>
  </si>
  <si>
    <t>Calculate the fuselage component stresses</t>
  </si>
  <si>
    <t>Component</t>
  </si>
  <si>
    <t>Value</t>
  </si>
  <si>
    <t>Hoop</t>
  </si>
  <si>
    <t>σ_H</t>
  </si>
  <si>
    <t xml:space="preserve">Longitudinal </t>
  </si>
  <si>
    <t>σ_L</t>
  </si>
  <si>
    <t xml:space="preserve">Spherical </t>
  </si>
  <si>
    <t>σ_S</t>
  </si>
  <si>
    <t>Component Thicknesses</t>
  </si>
  <si>
    <t>Calculate required material thicknesses</t>
  </si>
  <si>
    <t>Skin thickness required</t>
    <phoneticPr fontId="1" type="noConversion"/>
  </si>
  <si>
    <t>t_req</t>
    <phoneticPr fontId="1" type="noConversion"/>
  </si>
  <si>
    <t>mm</t>
    <phoneticPr fontId="1" type="noConversion"/>
  </si>
  <si>
    <t>Matched strains dome thickness ratio</t>
    <phoneticPr fontId="1" type="noConversion"/>
  </si>
  <si>
    <t>t_f/t_d</t>
  </si>
  <si>
    <t xml:space="preserve">Dome thickness </t>
    <phoneticPr fontId="1" type="noConversion"/>
  </si>
  <si>
    <t>t_d</t>
    <phoneticPr fontId="1" type="noConversion"/>
  </si>
  <si>
    <t>Light Frames</t>
  </si>
  <si>
    <t>To conduct a minimum area fuselage frame design analysis</t>
  </si>
  <si>
    <t>Frame Parameters</t>
  </si>
  <si>
    <t>Define frame geometric and material parameters</t>
  </si>
  <si>
    <t>Parameter</t>
  </si>
  <si>
    <t>Young's modulus</t>
    <phoneticPr fontId="1" type="noConversion"/>
  </si>
  <si>
    <t>E</t>
    <phoneticPr fontId="1" type="noConversion"/>
  </si>
  <si>
    <t xml:space="preserve">GPa </t>
    <phoneticPr fontId="1" type="noConversion"/>
  </si>
  <si>
    <t>Frame spacing</t>
    <phoneticPr fontId="1" type="noConversion"/>
  </si>
  <si>
    <t>L</t>
    <phoneticPr fontId="1" type="noConversion"/>
  </si>
  <si>
    <t>Bending moment on fuselage</t>
    <phoneticPr fontId="1" type="noConversion"/>
  </si>
  <si>
    <t>M_ult</t>
    <phoneticPr fontId="1" type="noConversion"/>
  </si>
  <si>
    <t>Empirical correction factor</t>
    <phoneticPr fontId="1" type="noConversion"/>
  </si>
  <si>
    <t>C_f</t>
    <phoneticPr fontId="1" type="noConversion"/>
  </si>
  <si>
    <t>Frame height</t>
    <phoneticPr fontId="1" type="noConversion"/>
  </si>
  <si>
    <t>h</t>
    <phoneticPr fontId="1" type="noConversion"/>
  </si>
  <si>
    <t>Calculate frame structural properties</t>
  </si>
  <si>
    <t>Structural Properties</t>
  </si>
  <si>
    <t>Property</t>
  </si>
  <si>
    <t>Frame stiffness</t>
  </si>
  <si>
    <t>EI</t>
    <phoneticPr fontId="1" type="noConversion"/>
  </si>
  <si>
    <t>N*m^2</t>
    <phoneticPr fontId="1" type="noConversion"/>
  </si>
  <si>
    <t>Moment of inertia of frame</t>
    <phoneticPr fontId="1" type="noConversion"/>
  </si>
  <si>
    <t>Moment of inertia of frame about x</t>
  </si>
  <si>
    <t>I_xx</t>
  </si>
  <si>
    <t>Frame width</t>
    <phoneticPr fontId="1" type="noConversion"/>
  </si>
  <si>
    <t>Frame cross-section area</t>
    <phoneticPr fontId="1" type="noConversion"/>
  </si>
  <si>
    <t>mm^2</t>
    <phoneticPr fontId="1" type="noConversion"/>
  </si>
  <si>
    <t xml:space="preserve">Mimimum Area Design </t>
  </si>
  <si>
    <t>Frame Thickness</t>
  </si>
  <si>
    <t>Web Height h (m)</t>
  </si>
  <si>
    <t>Conduct a minimum area fuselage frame design analysis</t>
  </si>
  <si>
    <t>Frame Area</t>
  </si>
  <si>
    <t>m^2</t>
  </si>
  <si>
    <t>Flange width b (m)</t>
  </si>
  <si>
    <t>Web Height</t>
  </si>
  <si>
    <t>Flange Width</t>
  </si>
  <si>
    <t>Web height h (m)</t>
  </si>
  <si>
    <t>Heavy Frames</t>
  </si>
  <si>
    <t>Calculate the stresses in a heavy frame due to an applied load</t>
  </si>
  <si>
    <t>Geometry</t>
  </si>
  <si>
    <t>Define geometry and physical properties</t>
  </si>
  <si>
    <t>Section width</t>
  </si>
  <si>
    <t>Section depth</t>
  </si>
  <si>
    <t>Frame section area</t>
  </si>
  <si>
    <t>A_f</t>
  </si>
  <si>
    <t>Distance to edge</t>
  </si>
  <si>
    <t>y_c</t>
  </si>
  <si>
    <t>Second moment of area of frame</t>
  </si>
  <si>
    <t>I_f</t>
  </si>
  <si>
    <t>m^4</t>
  </si>
  <si>
    <t xml:space="preserve">Shear yield stress =  Max shear stress, find skin thickness </t>
  </si>
  <si>
    <t>Loading</t>
  </si>
  <si>
    <t>Define load cases in tangential, radial and torsional components</t>
  </si>
  <si>
    <t>Tangential load</t>
  </si>
  <si>
    <t>N</t>
  </si>
  <si>
    <t>Radial load</t>
  </si>
  <si>
    <t>Q</t>
  </si>
  <si>
    <t>Moment</t>
  </si>
  <si>
    <t>T</t>
  </si>
  <si>
    <t>Nm</t>
  </si>
  <si>
    <t>Formulate equations for the shear, normal and bending moment loads caused by the applied loads</t>
  </si>
  <si>
    <t>§</t>
  </si>
  <si>
    <t>Tangential Load P</t>
  </si>
  <si>
    <t>Calculate shear, normal and bending moments from tangential load</t>
  </si>
  <si>
    <t>Angle deg</t>
  </si>
  <si>
    <t>rad</t>
  </si>
  <si>
    <t>S</t>
  </si>
  <si>
    <t>M</t>
  </si>
  <si>
    <t>Maximum Load</t>
  </si>
  <si>
    <t>Section normal load</t>
  </si>
  <si>
    <t>Section shear load</t>
  </si>
  <si>
    <t>Section moment load</t>
  </si>
  <si>
    <t>Max Direct stress</t>
  </si>
  <si>
    <t>sigma</t>
  </si>
  <si>
    <t>Mpa</t>
  </si>
  <si>
    <t>Max Shear stress</t>
  </si>
  <si>
    <t>Max Bending stress</t>
  </si>
  <si>
    <t>Stringer thickness</t>
  </si>
  <si>
    <t>Max direct stress</t>
  </si>
  <si>
    <t>Typical AL allowable stress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</si>
</sst>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000"/>
    <numFmt numFmtId="178" formatCode="0.000"/>
    <numFmt numFmtId="179" formatCode="0_ "/>
    <numFmt numFmtId="180" formatCode="0.00000"/>
    <numFmt numFmtId="181" formatCode="0.000000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等线"/>
      <family val="2"/>
      <scheme val="minor"/>
    </font>
    <font>
      <sz val="14"/>
      <color theme="0"/>
      <name val="Aptos"/>
      <family val="2"/>
    </font>
    <font>
      <b/>
      <sz val="14"/>
      <color theme="1"/>
      <name val="Aptos"/>
      <family val="2"/>
    </font>
    <font>
      <sz val="11"/>
      <color theme="1"/>
      <name val="Aptos"/>
      <family val="2"/>
    </font>
    <font>
      <u/>
      <sz val="11"/>
      <color theme="10"/>
      <name val="Aptos"/>
      <family val="2"/>
    </font>
    <font>
      <b/>
      <sz val="11"/>
      <color theme="1"/>
      <name val="Aptos"/>
      <family val="2"/>
    </font>
    <font>
      <sz val="11"/>
      <color theme="0"/>
      <name val="Aptos"/>
      <family val="2"/>
    </font>
    <font>
      <b/>
      <sz val="11"/>
      <color theme="0"/>
      <name val="Aptos"/>
      <family val="2"/>
    </font>
    <font>
      <b/>
      <sz val="14"/>
      <color theme="0"/>
      <name val="Aptos"/>
      <family val="2"/>
    </font>
    <font>
      <sz val="11"/>
      <name val="Aptos"/>
      <family val="2"/>
    </font>
    <font>
      <b/>
      <sz val="11"/>
      <name val="Aptos"/>
      <family val="2"/>
    </font>
    <font>
      <sz val="11"/>
      <color theme="1"/>
      <name val="Aptos"/>
      <family val="2"/>
    </font>
    <font>
      <sz val="11"/>
      <color theme="0"/>
      <name val="Aptos"/>
      <family val="2"/>
    </font>
    <font>
      <b/>
      <sz val="16"/>
      <color theme="1"/>
      <name val="Aptos"/>
      <family val="2"/>
    </font>
    <font>
      <b/>
      <sz val="11"/>
      <color theme="1"/>
      <name val="等线"/>
      <family val="2"/>
      <scheme val="minor"/>
    </font>
    <font>
      <i/>
      <sz val="11"/>
      <color theme="1"/>
      <name val="Aptos"/>
      <family val="2"/>
    </font>
    <font>
      <b/>
      <sz val="14"/>
      <color theme="1"/>
      <name val="等线"/>
      <family val="2"/>
      <scheme val="minor"/>
    </font>
    <font>
      <sz val="11"/>
      <color rgb="FF000000"/>
      <name val="Aptos"/>
      <family val="2"/>
    </font>
    <font>
      <sz val="14"/>
      <color theme="1"/>
      <name val="Aptos"/>
      <family val="2"/>
    </font>
    <font>
      <sz val="11"/>
      <color rgb="FFFF0000"/>
      <name val="Aptos"/>
      <family val="2"/>
    </font>
    <font>
      <b/>
      <sz val="11"/>
      <color rgb="FF00B0F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C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1" fontId="7" fillId="0" borderId="1" xfId="0" applyNumberFormat="1" applyFont="1" applyBorder="1" applyAlignment="1">
      <alignment horizontal="center"/>
    </xf>
    <xf numFmtId="0" fontId="8" fillId="0" borderId="0" xfId="1" applyFont="1"/>
    <xf numFmtId="0" fontId="5" fillId="6" borderId="9" xfId="0" applyFont="1" applyFill="1" applyBorder="1" applyAlignment="1">
      <alignment horizontal="justify" vertical="center"/>
    </xf>
    <xf numFmtId="0" fontId="7" fillId="4" borderId="7" xfId="0" applyFont="1" applyFill="1" applyBorder="1"/>
    <xf numFmtId="0" fontId="10" fillId="6" borderId="12" xfId="0" applyFont="1" applyFill="1" applyBorder="1"/>
    <xf numFmtId="0" fontId="7" fillId="0" borderId="7" xfId="0" applyFont="1" applyBorder="1"/>
    <xf numFmtId="0" fontId="7" fillId="0" borderId="3" xfId="0" applyFont="1" applyBorder="1"/>
    <xf numFmtId="0" fontId="4" fillId="0" borderId="1" xfId="1" applyBorder="1"/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1" xfId="0" applyFont="1" applyBorder="1"/>
    <xf numFmtId="178" fontId="7" fillId="0" borderId="1" xfId="0" applyNumberFormat="1" applyFont="1" applyBorder="1"/>
    <xf numFmtId="177" fontId="7" fillId="0" borderId="1" xfId="0" applyNumberFormat="1" applyFont="1" applyBorder="1"/>
    <xf numFmtId="178" fontId="7" fillId="4" borderId="1" xfId="0" applyNumberFormat="1" applyFont="1" applyFill="1" applyBorder="1"/>
    <xf numFmtId="2" fontId="7" fillId="3" borderId="1" xfId="0" applyNumberFormat="1" applyFont="1" applyFill="1" applyBorder="1"/>
    <xf numFmtId="176" fontId="7" fillId="4" borderId="1" xfId="0" applyNumberFormat="1" applyFont="1" applyFill="1" applyBorder="1"/>
    <xf numFmtId="2" fontId="7" fillId="0" borderId="1" xfId="0" applyNumberFormat="1" applyFont="1" applyBorder="1"/>
    <xf numFmtId="177" fontId="7" fillId="3" borderId="1" xfId="0" applyNumberFormat="1" applyFont="1" applyFill="1" applyBorder="1"/>
    <xf numFmtId="180" fontId="7" fillId="0" borderId="1" xfId="0" applyNumberFormat="1" applyFont="1" applyBorder="1"/>
    <xf numFmtId="0" fontId="7" fillId="4" borderId="1" xfId="0" applyFont="1" applyFill="1" applyBorder="1" applyAlignment="1">
      <alignment horizontal="center"/>
    </xf>
    <xf numFmtId="179" fontId="7" fillId="0" borderId="1" xfId="0" applyNumberFormat="1" applyFont="1" applyBorder="1"/>
    <xf numFmtId="178" fontId="7" fillId="3" borderId="1" xfId="0" applyNumberFormat="1" applyFont="1" applyFill="1" applyBorder="1"/>
    <xf numFmtId="11" fontId="7" fillId="3" borderId="1" xfId="0" applyNumberFormat="1" applyFont="1" applyFill="1" applyBorder="1"/>
    <xf numFmtId="0" fontId="7" fillId="2" borderId="1" xfId="0" applyFont="1" applyFill="1" applyBorder="1"/>
    <xf numFmtId="178" fontId="7" fillId="0" borderId="0" xfId="0" applyNumberFormat="1" applyFont="1"/>
    <xf numFmtId="177" fontId="7" fillId="0" borderId="0" xfId="0" applyNumberFormat="1" applyFont="1"/>
    <xf numFmtId="0" fontId="10" fillId="6" borderId="0" xfId="0" applyFont="1" applyFill="1"/>
    <xf numFmtId="0" fontId="12" fillId="6" borderId="0" xfId="0" applyFont="1" applyFill="1"/>
    <xf numFmtId="0" fontId="9" fillId="0" borderId="7" xfId="0" applyFont="1" applyBorder="1"/>
    <xf numFmtId="0" fontId="7" fillId="4" borderId="0" xfId="0" applyFont="1" applyFill="1"/>
    <xf numFmtId="11" fontId="7" fillId="4" borderId="1" xfId="0" applyNumberFormat="1" applyFont="1" applyFill="1" applyBorder="1"/>
    <xf numFmtId="11" fontId="7" fillId="0" borderId="1" xfId="0" applyNumberFormat="1" applyFont="1" applyBorder="1"/>
    <xf numFmtId="0" fontId="7" fillId="4" borderId="3" xfId="0" applyFont="1" applyFill="1" applyBorder="1" applyAlignment="1">
      <alignment horizontal="center"/>
    </xf>
    <xf numFmtId="11" fontId="7" fillId="4" borderId="6" xfId="0" applyNumberFormat="1" applyFont="1" applyFill="1" applyBorder="1"/>
    <xf numFmtId="11" fontId="7" fillId="0" borderId="6" xfId="0" applyNumberFormat="1" applyFont="1" applyBorder="1"/>
    <xf numFmtId="0" fontId="7" fillId="0" borderId="17" xfId="0" applyFont="1" applyBorder="1"/>
    <xf numFmtId="1" fontId="7" fillId="4" borderId="0" xfId="0" applyNumberFormat="1" applyFont="1" applyFill="1"/>
    <xf numFmtId="1" fontId="7" fillId="0" borderId="0" xfId="0" applyNumberFormat="1" applyFont="1"/>
    <xf numFmtId="0" fontId="7" fillId="4" borderId="18" xfId="0" applyFont="1" applyFill="1" applyBorder="1"/>
    <xf numFmtId="1" fontId="7" fillId="4" borderId="19" xfId="0" applyNumberFormat="1" applyFont="1" applyFill="1" applyBorder="1"/>
    <xf numFmtId="0" fontId="7" fillId="4" borderId="19" xfId="0" applyFont="1" applyFill="1" applyBorder="1"/>
    <xf numFmtId="1" fontId="7" fillId="4" borderId="20" xfId="0" applyNumberFormat="1" applyFont="1" applyFill="1" applyBorder="1"/>
    <xf numFmtId="0" fontId="7" fillId="4" borderId="21" xfId="0" applyFont="1" applyFill="1" applyBorder="1"/>
    <xf numFmtId="1" fontId="7" fillId="4" borderId="14" xfId="0" applyNumberFormat="1" applyFont="1" applyFill="1" applyBorder="1"/>
    <xf numFmtId="0" fontId="7" fillId="0" borderId="21" xfId="0" applyFont="1" applyBorder="1"/>
    <xf numFmtId="1" fontId="7" fillId="0" borderId="14" xfId="0" applyNumberFormat="1" applyFont="1" applyBorder="1"/>
    <xf numFmtId="0" fontId="7" fillId="0" borderId="16" xfId="0" applyFont="1" applyBorder="1"/>
    <xf numFmtId="1" fontId="7" fillId="0" borderId="13" xfId="0" applyNumberFormat="1" applyFont="1" applyBorder="1"/>
    <xf numFmtId="0" fontId="7" fillId="0" borderId="13" xfId="0" applyFont="1" applyBorder="1"/>
    <xf numFmtId="1" fontId="7" fillId="0" borderId="15" xfId="0" applyNumberFormat="1" applyFont="1" applyBorder="1"/>
    <xf numFmtId="0" fontId="10" fillId="6" borderId="7" xfId="0" applyFont="1" applyFill="1" applyBorder="1"/>
    <xf numFmtId="0" fontId="14" fillId="0" borderId="0" xfId="0" applyFont="1"/>
    <xf numFmtId="11" fontId="13" fillId="2" borderId="1" xfId="0" applyNumberFormat="1" applyFont="1" applyFill="1" applyBorder="1"/>
    <xf numFmtId="0" fontId="13" fillId="2" borderId="1" xfId="0" applyFont="1" applyFill="1" applyBorder="1"/>
    <xf numFmtId="178" fontId="13" fillId="2" borderId="1" xfId="0" applyNumberFormat="1" applyFont="1" applyFill="1" applyBorder="1"/>
    <xf numFmtId="177" fontId="13" fillId="0" borderId="1" xfId="0" applyNumberFormat="1" applyFont="1" applyBorder="1"/>
    <xf numFmtId="180" fontId="13" fillId="2" borderId="1" xfId="0" applyNumberFormat="1" applyFont="1" applyFill="1" applyBorder="1"/>
    <xf numFmtId="11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6" fillId="6" borderId="0" xfId="0" applyFont="1" applyFill="1"/>
    <xf numFmtId="0" fontId="15" fillId="0" borderId="0" xfId="0" applyFont="1"/>
    <xf numFmtId="0" fontId="19" fillId="0" borderId="3" xfId="0" applyFont="1" applyBorder="1" applyAlignment="1">
      <alignment horizontal="center"/>
    </xf>
    <xf numFmtId="0" fontId="19" fillId="0" borderId="2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1" fillId="0" borderId="22" xfId="0" applyFont="1" applyBorder="1"/>
    <xf numFmtId="0" fontId="5" fillId="6" borderId="0" xfId="0" applyFont="1" applyFill="1" applyAlignment="1">
      <alignment vertical="center" wrapText="1"/>
    </xf>
    <xf numFmtId="0" fontId="7" fillId="0" borderId="5" xfId="0" applyFont="1" applyBorder="1" applyAlignment="1">
      <alignment horizontal="center"/>
    </xf>
    <xf numFmtId="0" fontId="22" fillId="0" borderId="0" xfId="0" applyFont="1" applyAlignment="1">
      <alignment vertical="center" wrapText="1"/>
    </xf>
    <xf numFmtId="0" fontId="15" fillId="4" borderId="7" xfId="0" applyFont="1" applyFill="1" applyBorder="1"/>
    <xf numFmtId="0" fontId="15" fillId="0" borderId="7" xfId="0" applyFont="1" applyBorder="1"/>
    <xf numFmtId="0" fontId="15" fillId="4" borderId="10" xfId="0" applyFont="1" applyFill="1" applyBorder="1"/>
    <xf numFmtId="0" fontId="16" fillId="6" borderId="12" xfId="0" applyFont="1" applyFill="1" applyBorder="1" applyAlignment="1">
      <alignment horizontal="center"/>
    </xf>
    <xf numFmtId="0" fontId="24" fillId="2" borderId="1" xfId="0" applyFont="1" applyFill="1" applyBorder="1"/>
    <xf numFmtId="11" fontId="24" fillId="2" borderId="1" xfId="0" applyNumberFormat="1" applyFont="1" applyFill="1" applyBorder="1"/>
    <xf numFmtId="0" fontId="7" fillId="0" borderId="5" xfId="0" applyFont="1" applyBorder="1"/>
    <xf numFmtId="0" fontId="24" fillId="2" borderId="2" xfId="0" applyFont="1" applyFill="1" applyBorder="1"/>
    <xf numFmtId="2" fontId="23" fillId="0" borderId="0" xfId="0" applyNumberFormat="1" applyFont="1"/>
    <xf numFmtId="0" fontId="13" fillId="0" borderId="19" xfId="0" applyFont="1" applyBorder="1"/>
    <xf numFmtId="2" fontId="13" fillId="0" borderId="1" xfId="0" applyNumberFormat="1" applyFont="1" applyBorder="1"/>
    <xf numFmtId="0" fontId="5" fillId="6" borderId="0" xfId="0" applyFont="1" applyFill="1" applyAlignment="1">
      <alignment horizontal="justify" vertical="center"/>
    </xf>
    <xf numFmtId="0" fontId="12" fillId="6" borderId="12" xfId="0" applyFont="1" applyFill="1" applyBorder="1" applyAlignment="1">
      <alignment horizontal="center"/>
    </xf>
    <xf numFmtId="0" fontId="10" fillId="6" borderId="33" xfId="0" applyFont="1" applyFill="1" applyBorder="1"/>
    <xf numFmtId="0" fontId="12" fillId="6" borderId="0" xfId="0" applyFont="1" applyFill="1" applyAlignment="1">
      <alignment horizontal="center"/>
    </xf>
    <xf numFmtId="0" fontId="11" fillId="6" borderId="34" xfId="0" applyFont="1" applyFill="1" applyBorder="1"/>
    <xf numFmtId="0" fontId="10" fillId="6" borderId="34" xfId="0" applyFont="1" applyFill="1" applyBorder="1"/>
    <xf numFmtId="0" fontId="12" fillId="6" borderId="0" xfId="0" applyFont="1" applyFill="1" applyAlignment="1">
      <alignment horizontal="center" vertical="center" wrapText="1"/>
    </xf>
    <xf numFmtId="0" fontId="10" fillId="6" borderId="35" xfId="0" applyFont="1" applyFill="1" applyBorder="1"/>
    <xf numFmtId="0" fontId="5" fillId="6" borderId="0" xfId="0" applyFont="1" applyFill="1" applyAlignment="1">
      <alignment horizontal="center" vertical="center"/>
    </xf>
    <xf numFmtId="0" fontId="7" fillId="6" borderId="0" xfId="0" applyFont="1" applyFill="1"/>
    <xf numFmtId="0" fontId="10" fillId="6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4" fontId="7" fillId="0" borderId="0" xfId="0" applyNumberFormat="1" applyFont="1"/>
    <xf numFmtId="0" fontId="10" fillId="6" borderId="0" xfId="0" applyFont="1" applyFill="1" applyAlignment="1">
      <alignment horizontal="center"/>
    </xf>
    <xf numFmtId="0" fontId="7" fillId="0" borderId="1" xfId="0" applyFont="1" applyBorder="1" applyAlignment="1">
      <alignment horizontal="left"/>
    </xf>
    <xf numFmtId="0" fontId="5" fillId="6" borderId="9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0" fontId="7" fillId="0" borderId="22" xfId="0" applyFont="1" applyBorder="1"/>
    <xf numFmtId="11" fontId="7" fillId="0" borderId="22" xfId="0" applyNumberFormat="1" applyFont="1" applyBorder="1"/>
    <xf numFmtId="0" fontId="10" fillId="6" borderId="12" xfId="0" applyFont="1" applyFill="1" applyBorder="1" applyAlignment="1">
      <alignment horizontal="center" wrapText="1"/>
    </xf>
    <xf numFmtId="0" fontId="10" fillId="6" borderId="36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 vertical="center"/>
    </xf>
    <xf numFmtId="181" fontId="7" fillId="0" borderId="22" xfId="0" applyNumberFormat="1" applyFont="1" applyBorder="1"/>
    <xf numFmtId="0" fontId="10" fillId="6" borderId="12" xfId="0" applyFont="1" applyFill="1" applyBorder="1" applyAlignment="1">
      <alignment vertical="top" wrapText="1"/>
    </xf>
    <xf numFmtId="0" fontId="7" fillId="2" borderId="22" xfId="0" applyFont="1" applyFill="1" applyBorder="1"/>
    <xf numFmtId="0" fontId="10" fillId="0" borderId="0" xfId="0" applyFont="1"/>
    <xf numFmtId="181" fontId="7" fillId="0" borderId="26" xfId="0" applyNumberFormat="1" applyFont="1" applyBorder="1"/>
    <xf numFmtId="0" fontId="7" fillId="2" borderId="23" xfId="0" applyFont="1" applyFill="1" applyBorder="1"/>
    <xf numFmtId="181" fontId="7" fillId="0" borderId="25" xfId="0" applyNumberFormat="1" applyFont="1" applyBorder="1"/>
    <xf numFmtId="11" fontId="7" fillId="4" borderId="0" xfId="0" applyNumberFormat="1" applyFont="1" applyFill="1"/>
    <xf numFmtId="11" fontId="13" fillId="0" borderId="1" xfId="0" applyNumberFormat="1" applyFont="1" applyBorder="1"/>
    <xf numFmtId="11" fontId="7" fillId="0" borderId="0" xfId="0" applyNumberFormat="1" applyFont="1"/>
    <xf numFmtId="0" fontId="5" fillId="6" borderId="12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7" fillId="4" borderId="10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7" fillId="4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6" borderId="0" xfId="0" applyFont="1" applyFill="1" applyAlignment="1">
      <alignment horizontal="center" vertical="top" wrapText="1"/>
    </xf>
    <xf numFmtId="0" fontId="22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10" fillId="6" borderId="0" xfId="0" applyFont="1" applyFill="1" applyAlignment="1">
      <alignment horizontal="center" vertical="top" wrapText="1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left" vertical="center"/>
    </xf>
    <xf numFmtId="0" fontId="7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top" wrapText="1"/>
    </xf>
    <xf numFmtId="0" fontId="10" fillId="6" borderId="12" xfId="0" applyFont="1" applyFill="1" applyBorder="1" applyAlignment="1">
      <alignment horizontal="center" vertical="top" wrapText="1"/>
    </xf>
    <xf numFmtId="0" fontId="21" fillId="0" borderId="22" xfId="0" applyFont="1" applyBorder="1" applyAlignment="1">
      <alignment horizontal="center"/>
    </xf>
    <xf numFmtId="0" fontId="6" fillId="4" borderId="10" xfId="0" applyFont="1" applyFill="1" applyBorder="1" applyAlignment="1">
      <alignment horizontal="left" vertical="center"/>
    </xf>
    <xf numFmtId="0" fontId="20" fillId="4" borderId="10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 textRotation="90"/>
    </xf>
    <xf numFmtId="0" fontId="7" fillId="2" borderId="27" xfId="0" applyFont="1" applyFill="1" applyBorder="1" applyAlignment="1">
      <alignment horizontal="center" vertical="center" textRotation="90"/>
    </xf>
    <xf numFmtId="0" fontId="7" fillId="2" borderId="28" xfId="0" applyFont="1" applyFill="1" applyBorder="1" applyAlignment="1">
      <alignment horizontal="center" vertical="center" textRotation="90"/>
    </xf>
    <xf numFmtId="0" fontId="7" fillId="0" borderId="22" xfId="0" applyFont="1" applyBorder="1" applyAlignment="1">
      <alignment horizontal="left" vertical="center"/>
    </xf>
    <xf numFmtId="0" fontId="7" fillId="5" borderId="26" xfId="0" applyFont="1" applyFill="1" applyBorder="1" applyAlignment="1">
      <alignment horizontal="center" vertical="center" textRotation="90"/>
    </xf>
    <xf numFmtId="0" fontId="7" fillId="5" borderId="27" xfId="0" applyFont="1" applyFill="1" applyBorder="1" applyAlignment="1">
      <alignment horizontal="center" vertical="center" textRotation="90"/>
    </xf>
    <xf numFmtId="0" fontId="7" fillId="5" borderId="28" xfId="0" applyFont="1" applyFill="1" applyBorder="1" applyAlignment="1">
      <alignment horizontal="center" vertical="center" textRotation="90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CD"/>
      <color rgb="FF003E74"/>
      <color rgb="FF002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Shear flow around fuselage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Shear flow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'Stringer skin'!$C$44:$C$79</c:f>
              <c:numCache>
                <c:formatCode>General</c:formatCode>
                <c:ptCount val="36"/>
                <c:pt idx="0">
                  <c:v>180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40</c:v>
                </c:pt>
                <c:pt idx="15">
                  <c:v>30</c:v>
                </c:pt>
                <c:pt idx="16">
                  <c:v>20</c:v>
                </c:pt>
                <c:pt idx="17">
                  <c:v>10</c:v>
                </c:pt>
                <c:pt idx="18">
                  <c:v>0</c:v>
                </c:pt>
                <c:pt idx="19">
                  <c:v>350</c:v>
                </c:pt>
                <c:pt idx="20">
                  <c:v>340</c:v>
                </c:pt>
                <c:pt idx="21">
                  <c:v>330</c:v>
                </c:pt>
                <c:pt idx="22">
                  <c:v>320</c:v>
                </c:pt>
                <c:pt idx="23">
                  <c:v>310</c:v>
                </c:pt>
                <c:pt idx="24">
                  <c:v>300</c:v>
                </c:pt>
                <c:pt idx="25">
                  <c:v>290</c:v>
                </c:pt>
                <c:pt idx="26">
                  <c:v>280</c:v>
                </c:pt>
                <c:pt idx="27">
                  <c:v>270</c:v>
                </c:pt>
                <c:pt idx="28">
                  <c:v>260</c:v>
                </c:pt>
                <c:pt idx="29">
                  <c:v>250</c:v>
                </c:pt>
                <c:pt idx="30">
                  <c:v>240</c:v>
                </c:pt>
                <c:pt idx="31">
                  <c:v>230</c:v>
                </c:pt>
                <c:pt idx="32">
                  <c:v>220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</c:numCache>
            </c:numRef>
          </c:cat>
          <c:val>
            <c:numRef>
              <c:f>'Stringer skin'!$H$44:$H$79</c:f>
              <c:numCache>
                <c:formatCode>0.00E+00</c:formatCode>
                <c:ptCount val="36"/>
                <c:pt idx="0">
                  <c:v>1519762.7941376222</c:v>
                </c:pt>
                <c:pt idx="1">
                  <c:v>1530088.0322163368</c:v>
                </c:pt>
                <c:pt idx="2">
                  <c:v>1540085.8472645192</c:v>
                </c:pt>
                <c:pt idx="3">
                  <c:v>1549466.247359019</c:v>
                </c:pt>
                <c:pt idx="4">
                  <c:v>1557944.2556681708</c:v>
                </c:pt>
                <c:pt idx="5">
                  <c:v>1565262.3100493751</c:v>
                </c:pt>
                <c:pt idx="6">
                  <c:v>1571198.0877945919</c:v>
                </c:pt>
                <c:pt idx="7">
                  <c:v>1575571.2598007703</c:v>
                </c:pt>
                <c:pt idx="8">
                  <c:v>1578248.9689733195</c:v>
                </c:pt>
                <c:pt idx="9">
                  <c:v>1579149.8664285648</c:v>
                </c:pt>
                <c:pt idx="10">
                  <c:v>1578246.5828752322</c:v>
                </c:pt>
                <c:pt idx="11">
                  <c:v>1575566.5600943258</c:v>
                </c:pt>
                <c:pt idx="12">
                  <c:v>1571191.217257011</c:v>
                </c:pt>
                <c:pt idx="13">
                  <c:v>1565253.4774077919</c:v>
                </c:pt>
                <c:pt idx="14">
                  <c:v>1557933.7292584972</c:v>
                </c:pt>
                <c:pt idx="15">
                  <c:v>1549454.3469738918</c:v>
                </c:pt>
                <c:pt idx="16">
                  <c:v>1540072.9344379897</c:v>
                </c:pt>
                <c:pt idx="17">
                  <c:v>1530074.4992404557</c:v>
                </c:pt>
                <c:pt idx="18">
                  <c:v>1519762.7941376222</c:v>
                </c:pt>
                <c:pt idx="19">
                  <c:v>1509424.0236358875</c:v>
                </c:pt>
                <c:pt idx="20">
                  <c:v>1500573.1707276148</c:v>
                </c:pt>
                <c:pt idx="21">
                  <c:v>1509952.5578784423</c:v>
                </c:pt>
                <c:pt idx="22">
                  <c:v>1518429.1917581889</c:v>
                </c:pt>
                <c:pt idx="23">
                  <c:v>1525745.5519794608</c:v>
                </c:pt>
                <c:pt idx="24">
                  <c:v>1531679.3673028466</c:v>
                </c:pt>
                <c:pt idx="25">
                  <c:v>1536050.3682437285</c:v>
                </c:pt>
                <c:pt idx="26">
                  <c:v>1538725.7636645439</c:v>
                </c:pt>
                <c:pt idx="27">
                  <c:v>1539624.2749734635</c:v>
                </c:pt>
                <c:pt idx="28">
                  <c:v>1538718.6053704096</c:v>
                </c:pt>
                <c:pt idx="29">
                  <c:v>1536036.2691246467</c:v>
                </c:pt>
                <c:pt idx="30">
                  <c:v>1531658.7556904713</c:v>
                </c:pt>
                <c:pt idx="31">
                  <c:v>1525719.0540551839</c:v>
                </c:pt>
                <c:pt idx="32">
                  <c:v>1518397.6125297321</c:v>
                </c:pt>
                <c:pt idx="33">
                  <c:v>1509916.8567236979</c:v>
                </c:pt>
                <c:pt idx="34">
                  <c:v>1500534.4322487172</c:v>
                </c:pt>
                <c:pt idx="35">
                  <c:v>1509464.6225628061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6-4756-BA7D-1BDC49700154}"/>
            </c:ext>
          </c:extLst>
        </c:ser>
        <c:ser>
          <c:idx val="1"/>
          <c:order val="1"/>
          <c:tx>
            <c:v>Fuselage skin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'Stringer skin'!$C$44:$C$79</c:f>
              <c:numCache>
                <c:formatCode>General</c:formatCode>
                <c:ptCount val="36"/>
                <c:pt idx="0">
                  <c:v>180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40</c:v>
                </c:pt>
                <c:pt idx="15">
                  <c:v>30</c:v>
                </c:pt>
                <c:pt idx="16">
                  <c:v>20</c:v>
                </c:pt>
                <c:pt idx="17">
                  <c:v>10</c:v>
                </c:pt>
                <c:pt idx="18">
                  <c:v>0</c:v>
                </c:pt>
                <c:pt idx="19">
                  <c:v>350</c:v>
                </c:pt>
                <c:pt idx="20">
                  <c:v>340</c:v>
                </c:pt>
                <c:pt idx="21">
                  <c:v>330</c:v>
                </c:pt>
                <c:pt idx="22">
                  <c:v>320</c:v>
                </c:pt>
                <c:pt idx="23">
                  <c:v>310</c:v>
                </c:pt>
                <c:pt idx="24">
                  <c:v>300</c:v>
                </c:pt>
                <c:pt idx="25">
                  <c:v>290</c:v>
                </c:pt>
                <c:pt idx="26">
                  <c:v>280</c:v>
                </c:pt>
                <c:pt idx="27">
                  <c:v>270</c:v>
                </c:pt>
                <c:pt idx="28">
                  <c:v>260</c:v>
                </c:pt>
                <c:pt idx="29">
                  <c:v>250</c:v>
                </c:pt>
                <c:pt idx="30">
                  <c:v>240</c:v>
                </c:pt>
                <c:pt idx="31">
                  <c:v>230</c:v>
                </c:pt>
                <c:pt idx="32">
                  <c:v>220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</c:numCache>
            </c:numRef>
          </c:cat>
          <c:val>
            <c:numRef>
              <c:f>'Stringer skin'!$I$44:$I$79</c:f>
              <c:numCache>
                <c:formatCode>0.00E+00</c:formatCode>
                <c:ptCount val="36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1500000</c:v>
                </c:pt>
                <c:pt idx="19">
                  <c:v>1500000</c:v>
                </c:pt>
                <c:pt idx="20">
                  <c:v>1500000</c:v>
                </c:pt>
                <c:pt idx="21">
                  <c:v>1500000</c:v>
                </c:pt>
                <c:pt idx="22">
                  <c:v>1500000</c:v>
                </c:pt>
                <c:pt idx="23">
                  <c:v>1500000</c:v>
                </c:pt>
                <c:pt idx="24">
                  <c:v>1500000</c:v>
                </c:pt>
                <c:pt idx="25">
                  <c:v>1500000</c:v>
                </c:pt>
                <c:pt idx="26">
                  <c:v>1500000</c:v>
                </c:pt>
                <c:pt idx="27">
                  <c:v>1500000</c:v>
                </c:pt>
                <c:pt idx="28">
                  <c:v>1500000</c:v>
                </c:pt>
                <c:pt idx="29">
                  <c:v>1500000</c:v>
                </c:pt>
                <c:pt idx="30">
                  <c:v>1500000</c:v>
                </c:pt>
                <c:pt idx="31">
                  <c:v>1500000</c:v>
                </c:pt>
                <c:pt idx="32">
                  <c:v>1500000</c:v>
                </c:pt>
                <c:pt idx="33">
                  <c:v>1500000</c:v>
                </c:pt>
                <c:pt idx="34">
                  <c:v>1500000</c:v>
                </c:pt>
                <c:pt idx="35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6-4756-BA7D-1BDC4970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52496"/>
        <c:axId val="645059984"/>
      </c:radarChart>
      <c:catAx>
        <c:axId val="6450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59984"/>
        <c:crosses val="autoZero"/>
        <c:auto val="1"/>
        <c:lblAlgn val="ctr"/>
        <c:lblOffset val="100"/>
        <c:noMultiLvlLbl val="0"/>
      </c:catAx>
      <c:valAx>
        <c:axId val="64505998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52496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rgbClr val="0070C0"/>
              </a:solidFill>
            </c:spPr>
          </c:marker>
          <c:xVal>
            <c:numRef>
              <c:f>'Stringer skin'!$E$104:$E$165</c:f>
              <c:numCache>
                <c:formatCode>0.000</c:formatCode>
                <c:ptCount val="62"/>
                <c:pt idx="0">
                  <c:v>3.19</c:v>
                </c:pt>
                <c:pt idx="1">
                  <c:v>3.1736694611638345</c:v>
                </c:pt>
                <c:pt idx="2">
                  <c:v>3.1248450462219073</c:v>
                </c:pt>
                <c:pt idx="3">
                  <c:v>3.0440266479669233</c:v>
                </c:pt>
                <c:pt idx="4">
                  <c:v>2.9320417322241976</c:v>
                </c:pt>
                <c:pt idx="5">
                  <c:v>2.7900368657746726</c:v>
                </c:pt>
                <c:pt idx="6">
                  <c:v>2.6194659771365156</c:v>
                </c:pt>
                <c:pt idx="7">
                  <c:v>2.4220754703982701</c:v>
                </c:pt>
                <c:pt idx="8">
                  <c:v>2.1998863445167869</c:v>
                </c:pt>
                <c:pt idx="9">
                  <c:v>1.9551735011529956</c:v>
                </c:pt>
                <c:pt idx="10">
                  <c:v>1.6904424529039246</c:v>
                </c:pt>
                <c:pt idx="11">
                  <c:v>1.4084036704056686</c:v>
                </c:pt>
                <c:pt idx="12">
                  <c:v>1.1119448309565922</c:v>
                </c:pt>
                <c:pt idx="13">
                  <c:v>0.80410125279553379</c:v>
                </c:pt>
                <c:pt idx="14">
                  <c:v>0.48802481774608297</c:v>
                </c:pt>
                <c:pt idx="15">
                  <c:v>0.16695170041499266</c:v>
                </c:pt>
                <c:pt idx="16">
                  <c:v>-0.15583076564800422</c:v>
                </c:pt>
                <c:pt idx="17">
                  <c:v>-0.47701774558543181</c:v>
                </c:pt>
                <c:pt idx="18">
                  <c:v>-0.79332074005588427</c:v>
                </c:pt>
                <c:pt idx="19">
                  <c:v>-1.1015012548053233</c:v>
                </c:pt>
                <c:pt idx="20">
                  <c:v>-1.3984039582571548</c:v>
                </c:pt>
                <c:pt idx="21">
                  <c:v>-1.6809889876343991</c:v>
                </c:pt>
                <c:pt idx="22">
                  <c:v>-1.9463630728450412</c:v>
                </c:pt>
                <c:pt idx="23">
                  <c:v>-2.1918091594661071</c:v>
                </c:pt>
                <c:pt idx="24">
                  <c:v>-2.4148142275291007</c:v>
                </c:pt>
                <c:pt idx="25">
                  <c:v>-2.6130950212818829</c:v>
                </c:pt>
                <c:pt idx="26">
                  <c:v>-2.7846214264906926</c:v>
                </c:pt>
                <c:pt idx="27">
                  <c:v>-2.9276372559318991</c:v>
                </c:pt>
                <c:pt idx="28">
                  <c:v>-3.0406782302595015</c:v>
                </c:pt>
                <c:pt idx="29">
                  <c:v>-3.1225869701497753</c:v>
                </c:pt>
                <c:pt idx="30">
                  <c:v>-3.1725248462247921</c:v>
                </c:pt>
                <c:pt idx="31">
                  <c:v>-3.1899805654283515</c:v>
                </c:pt>
                <c:pt idx="32">
                  <c:v>-3.1747754059420412</c:v>
                </c:pt>
                <c:pt idx="33">
                  <c:v>-3.1270650470432919</c:v>
                </c:pt>
                <c:pt idx="34">
                  <c:v>-3.0473379751702749</c:v>
                </c:pt>
                <c:pt idx="35">
                  <c:v>-2.9364104825132835</c:v>
                </c:pt>
                <c:pt idx="36">
                  <c:v>-2.7954183093399227</c:v>
                </c:pt>
                <c:pt idx="37">
                  <c:v>-2.625805015624866</c:v>
                </c:pt>
                <c:pt idx="38">
                  <c:v>-2.4293072010421866</c:v>
                </c:pt>
                <c:pt idx="39">
                  <c:v>-2.2079367246465926</c:v>
                </c:pt>
                <c:pt idx="40">
                  <c:v>-1.9639601062888425</c:v>
                </c:pt>
                <c:pt idx="41">
                  <c:v>-1.6998753206656236</c:v>
                </c:pt>
                <c:pt idx="42">
                  <c:v>-1.4183862215999108</c:v>
                </c:pt>
                <c:pt idx="43">
                  <c:v>-1.1223748584109883</c:v>
                </c:pt>
                <c:pt idx="44">
                  <c:v>-0.81487196781516391</c:v>
                </c:pt>
                <c:pt idx="45">
                  <c:v>-0.49902594347832868</c:v>
                </c:pt>
                <c:pt idx="46">
                  <c:v>-0.17807060092818205</c:v>
                </c:pt>
                <c:pt idx="47">
                  <c:v>0.1447079321323298</c:v>
                </c:pt>
                <c:pt idx="48">
                  <c:v>0.46600486111410289</c:v>
                </c:pt>
                <c:pt idx="49">
                  <c:v>0.78253056095339235</c:v>
                </c:pt>
                <c:pt idx="50">
                  <c:v>1.091044257208895</c:v>
                </c:pt>
                <c:pt idx="51">
                  <c:v>1.3883872069977354</c:v>
                </c:pt>
                <c:pt idx="52">
                  <c:v>1.6715150400445646</c:v>
                </c:pt>
                <c:pt idx="53">
                  <c:v>1.9375289287172959</c:v>
                </c:pt>
                <c:pt idx="54">
                  <c:v>2.1837052679125271</c:v>
                </c:pt>
                <c:pt idx="55">
                  <c:v>2.4075235609106538</c:v>
                </c:pt>
                <c:pt idx="56">
                  <c:v>2.6066922256890677</c:v>
                </c:pt>
                <c:pt idx="57">
                  <c:v>2.7791720574734122</c:v>
                </c:pt>
                <c:pt idx="58">
                  <c:v>2.9231971073035505</c:v>
                </c:pt>
                <c:pt idx="59">
                  <c:v>3.0372927628474282</c:v>
                </c:pt>
                <c:pt idx="60">
                  <c:v>3.1202908463408434</c:v>
                </c:pt>
                <c:pt idx="61">
                  <c:v>3.171341575071688</c:v>
                </c:pt>
              </c:numCache>
            </c:numRef>
          </c:xVal>
          <c:yVal>
            <c:numRef>
              <c:f>'Stringer skin'!$F$104:$F$165</c:f>
              <c:numCache>
                <c:formatCode>0.000</c:formatCode>
                <c:ptCount val="62"/>
                <c:pt idx="0">
                  <c:v>0</c:v>
                </c:pt>
                <c:pt idx="1">
                  <c:v>0.32236958801359883</c:v>
                </c:pt>
                <c:pt idx="2">
                  <c:v>0.6414385684556273</c:v>
                </c:pt>
                <c:pt idx="3">
                  <c:v>0.95394012729691635</c:v>
                </c:pt>
                <c:pt idx="4">
                  <c:v>1.2566746915951339</c:v>
                </c:pt>
                <c:pt idx="5">
                  <c:v>1.5465426885858151</c:v>
                </c:pt>
                <c:pt idx="6">
                  <c:v>1.8205762809133368</c:v>
                </c:pt>
                <c:pt idx="7">
                  <c:v>2.0759697530780641</c:v>
                </c:pt>
                <c:pt idx="8">
                  <c:v>2.3101082379855207</c:v>
                </c:pt>
                <c:pt idx="9">
                  <c:v>2.5205944894784515</c:v>
                </c:pt>
                <c:pt idx="10">
                  <c:v>2.705273426738998</c:v>
                </c:pt>
                <c:pt idx="11">
                  <c:v>2.8622541992611072</c:v>
                </c:pt>
                <c:pt idx="12">
                  <c:v>2.9899295464791331</c:v>
                </c:pt>
                <c:pt idx="13">
                  <c:v>3.0869922538374879</c:v>
                </c:pt>
                <c:pt idx="14">
                  <c:v>3.1524485368145032</c:v>
                </c:pt>
                <c:pt idx="15">
                  <c:v>3.1856282158670903</c:v>
                </c:pt>
                <c:pt idx="16">
                  <c:v>3.1861915781191747</c:v>
                </c:pt>
                <c:pt idx="17">
                  <c:v>3.1541328555399488</c:v>
                </c:pt>
                <c:pt idx="18">
                  <c:v>3.0897802840003337</c:v>
                </c:pt>
                <c:pt idx="19">
                  <c:v>2.993792742602984</c:v>
                </c:pt>
                <c:pt idx="20">
                  <c:v>2.8671530076943439</c:v>
                </c:pt>
                <c:pt idx="21">
                  <c:v>2.7111576906280974</c:v>
                </c:pt>
                <c:pt idx="22">
                  <c:v>2.52740396230306</c:v>
                </c:pt>
                <c:pt idx="23">
                  <c:v>2.3177732003974154</c:v>
                </c:pt>
                <c:pt idx="24">
                  <c:v>2.084411726728439</c:v>
                </c:pt>
                <c:pt idx="25">
                  <c:v>1.829708831959838</c:v>
                </c:pt>
                <c:pt idx="26">
                  <c:v>1.5562723126525584</c:v>
                </c:pt>
                <c:pt idx="27">
                  <c:v>1.2669017711249515</c:v>
                </c:pt>
                <c:pt idx="28">
                  <c:v>0.96455995149391693</c:v>
                </c:pt>
                <c:pt idx="29">
                  <c:v>0.65234240537531174</c:v>
                </c:pt>
                <c:pt idx="30">
                  <c:v>0.33344579782381401</c:v>
                </c:pt>
                <c:pt idx="31">
                  <c:v>1.1135178014561988E-2</c:v>
                </c:pt>
                <c:pt idx="32">
                  <c:v>-0.31128945023168825</c:v>
                </c:pt>
                <c:pt idx="33">
                  <c:v>-0.630526915809415</c:v>
                </c:pt>
                <c:pt idx="34">
                  <c:v>-0.94330867964051257</c:v>
                </c:pt>
                <c:pt idx="35">
                  <c:v>-1.2464322998807864</c:v>
                </c:pt>
                <c:pt idx="36">
                  <c:v>-1.5367942203844758</c:v>
                </c:pt>
                <c:pt idx="37">
                  <c:v>-1.8114215467193977</c:v>
                </c:pt>
                <c:pt idx="38">
                  <c:v>-2.0675024843913916</c:v>
                </c:pt>
                <c:pt idx="39">
                  <c:v>-2.3024151276337799</c:v>
                </c:pt>
                <c:pt idx="40">
                  <c:v>-2.5137543040054489</c:v>
                </c:pt>
                <c:pt idx="41">
                  <c:v>-2.6993561999469322</c:v>
                </c:pt>
                <c:pt idx="42">
                  <c:v>-2.8573205151637309</c:v>
                </c:pt>
                <c:pt idx="43">
                  <c:v>-2.9860299190073287</c:v>
                </c:pt>
                <c:pt idx="44">
                  <c:v>-3.0841666096482276</c:v>
                </c:pt>
                <c:pt idx="45">
                  <c:v>-3.1507258064984907</c:v>
                </c:pt>
                <c:pt idx="46">
                  <c:v>-3.1850260377405197</c:v>
                </c:pt>
                <c:pt idx="47">
                  <c:v>-3.1867161176323795</c:v>
                </c:pt>
                <c:pt idx="48">
                  <c:v>-3.1557787421519312</c:v>
                </c:pt>
                <c:pt idx="49">
                  <c:v>-3.0925306661654899</c:v>
                </c:pt>
                <c:pt idx="50">
                  <c:v>-2.9976194603070434</c:v>
                </c:pt>
                <c:pt idx="51">
                  <c:v>-2.8720168807729918</c:v>
                </c:pt>
                <c:pt idx="52">
                  <c:v>-2.7170089199163141</c:v>
                </c:pt>
                <c:pt idx="53">
                  <c:v>-2.534182639507975</c:v>
                </c:pt>
                <c:pt idx="54">
                  <c:v>-2.3254099214742934</c:v>
                </c:pt>
                <c:pt idx="55">
                  <c:v>-2.0928283024797056</c:v>
                </c:pt>
                <c:pt idx="56">
                  <c:v>-1.8388190885816291</c:v>
                </c:pt>
                <c:pt idx="57">
                  <c:v>-1.5659829740322853</c:v>
                </c:pt>
                <c:pt idx="58">
                  <c:v>-1.2771134138564804</c:v>
                </c:pt>
                <c:pt idx="59">
                  <c:v>-0.97516802283228943</c:v>
                </c:pt>
                <c:pt idx="60">
                  <c:v>-0.66323829370863452</c:v>
                </c:pt>
                <c:pt idx="61">
                  <c:v>-0.3445179447021951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4-4679-9D71-A9DB4E5F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61344"/>
        <c:axId val="250363264"/>
      </c:scatterChart>
      <c:valAx>
        <c:axId val="2503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363264"/>
        <c:crosses val="autoZero"/>
        <c:crossBetween val="midCat"/>
      </c:valAx>
      <c:valAx>
        <c:axId val="250363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5036134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section</a:t>
            </a:r>
            <a:r>
              <a:rPr lang="en-GB" baseline="0"/>
              <a:t> sizing with constant Ixx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'Light frames'!$H$26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'Light frames'!$I$25:$P$25</c:f>
              <c:numCache>
                <c:formatCode>General</c:formatCode>
                <c:ptCount val="8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</c:numCache>
            </c:numRef>
          </c:cat>
          <c:val>
            <c:numRef>
              <c:f>'Light frames'!$I$26:$P$26</c:f>
              <c:numCache>
                <c:formatCode>0.000000</c:formatCode>
                <c:ptCount val="8"/>
                <c:pt idx="0">
                  <c:v>3.3881611491628615E-4</c:v>
                </c:pt>
                <c:pt idx="1">
                  <c:v>4.3987546699875466E-4</c:v>
                </c:pt>
                <c:pt idx="2">
                  <c:v>5.8547424657534228E-4</c:v>
                </c:pt>
                <c:pt idx="3">
                  <c:v>8.0311967980156729E-4</c:v>
                </c:pt>
                <c:pt idx="4">
                  <c:v>1.1435043878424654E-3</c:v>
                </c:pt>
                <c:pt idx="5">
                  <c:v>1.7069220016773827E-3</c:v>
                </c:pt>
                <c:pt idx="6">
                  <c:v>2.7105289193302892E-3</c:v>
                </c:pt>
                <c:pt idx="7">
                  <c:v>4.6837939726027383E-3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F-4492-A061-1F85AD8A66EA}"/>
            </c:ext>
          </c:extLst>
        </c:ser>
        <c:ser>
          <c:idx val="1"/>
          <c:order val="1"/>
          <c:tx>
            <c:strRef>
              <c:f>'Light frames'!$H$27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'Light frames'!$I$25:$P$25</c:f>
              <c:numCache>
                <c:formatCode>General</c:formatCode>
                <c:ptCount val="8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</c:numCache>
            </c:numRef>
          </c:cat>
          <c:val>
            <c:numRef>
              <c:f>'Light frames'!$I$27:$P$27</c:f>
              <c:numCache>
                <c:formatCode>0.000000</c:formatCode>
                <c:ptCount val="8"/>
                <c:pt idx="0">
                  <c:v>2.2587740994419077E-4</c:v>
                </c:pt>
                <c:pt idx="1">
                  <c:v>2.846253021756648E-4</c:v>
                </c:pt>
                <c:pt idx="2">
                  <c:v>3.6592140410958895E-4</c:v>
                </c:pt>
                <c:pt idx="3">
                  <c:v>4.818718078809403E-4</c:v>
                </c:pt>
                <c:pt idx="4">
                  <c:v>6.5343107876712325E-4</c:v>
                </c:pt>
                <c:pt idx="5">
                  <c:v>9.1911184705705245E-4</c:v>
                </c:pt>
                <c:pt idx="6">
                  <c:v>1.3552644596651446E-3</c:v>
                </c:pt>
                <c:pt idx="7">
                  <c:v>2.1289972602739722E-3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F-4492-A061-1F85AD8A66EA}"/>
            </c:ext>
          </c:extLst>
        </c:ser>
        <c:ser>
          <c:idx val="2"/>
          <c:order val="2"/>
          <c:tx>
            <c:strRef>
              <c:f>'Light frames'!$H$28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'Light frames'!$I$25:$P$25</c:f>
              <c:numCache>
                <c:formatCode>General</c:formatCode>
                <c:ptCount val="8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</c:numCache>
            </c:numRef>
          </c:cat>
          <c:val>
            <c:numRef>
              <c:f>'Light frames'!$I$28:$P$28</c:f>
              <c:numCache>
                <c:formatCode>0.000000</c:formatCode>
                <c:ptCount val="8"/>
                <c:pt idx="0">
                  <c:v>1.6940805745814308E-4</c:v>
                </c:pt>
                <c:pt idx="1">
                  <c:v>2.1037522334723047E-4</c:v>
                </c:pt>
                <c:pt idx="2">
                  <c:v>2.6612465753424652E-4</c:v>
                </c:pt>
                <c:pt idx="3">
                  <c:v>3.4419414848638593E-4</c:v>
                </c:pt>
                <c:pt idx="4">
                  <c:v>4.5740175513698617E-4</c:v>
                </c:pt>
                <c:pt idx="5">
                  <c:v>6.2886600061798326E-4</c:v>
                </c:pt>
                <c:pt idx="6">
                  <c:v>9.0350963977676307E-4</c:v>
                </c:pt>
                <c:pt idx="7">
                  <c:v>1.3775864625302171E-3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F-4492-A061-1F85AD8A66EA}"/>
            </c:ext>
          </c:extLst>
        </c:ser>
        <c:ser>
          <c:idx val="3"/>
          <c:order val="3"/>
          <c:tx>
            <c:strRef>
              <c:f>'Light frames'!$H$29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'Light frames'!$I$25:$P$25</c:f>
              <c:numCache>
                <c:formatCode>General</c:formatCode>
                <c:ptCount val="8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</c:numCache>
            </c:numRef>
          </c:cat>
          <c:val>
            <c:numRef>
              <c:f>'Light frames'!$I$29:$P$29</c:f>
              <c:numCache>
                <c:formatCode>0.000000</c:formatCode>
                <c:ptCount val="8"/>
                <c:pt idx="0">
                  <c:v>1.3552644596651447E-4</c:v>
                </c:pt>
                <c:pt idx="1">
                  <c:v>1.6684931506849316E-4</c:v>
                </c:pt>
                <c:pt idx="2">
                  <c:v>2.0909794520547939E-4</c:v>
                </c:pt>
                <c:pt idx="3">
                  <c:v>2.6770655993385573E-4</c:v>
                </c:pt>
                <c:pt idx="4">
                  <c:v>3.5184750395152788E-4</c:v>
                </c:pt>
                <c:pt idx="5">
                  <c:v>4.7793816046966719E-4</c:v>
                </c:pt>
                <c:pt idx="6">
                  <c:v>6.7763222983257231E-4</c:v>
                </c:pt>
                <c:pt idx="7">
                  <c:v>1.0182160810005953E-3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F-4492-A061-1F85AD8A66EA}"/>
            </c:ext>
          </c:extLst>
        </c:ser>
        <c:ser>
          <c:idx val="4"/>
          <c:order val="4"/>
          <c:tx>
            <c:strRef>
              <c:f>'Light frames'!$H$30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'Light frames'!$I$25:$P$25</c:f>
              <c:numCache>
                <c:formatCode>General</c:formatCode>
                <c:ptCount val="8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</c:numCache>
            </c:numRef>
          </c:cat>
          <c:val>
            <c:numRef>
              <c:f>'Light frames'!$I$30:$P$30</c:f>
              <c:numCache>
                <c:formatCode>0.000000</c:formatCode>
                <c:ptCount val="8"/>
                <c:pt idx="0">
                  <c:v>1.1293870497209538E-4</c:v>
                </c:pt>
                <c:pt idx="1">
                  <c:v>1.3824657534246577E-4</c:v>
                </c:pt>
                <c:pt idx="2">
                  <c:v>1.7219830781627714E-4</c:v>
                </c:pt>
                <c:pt idx="3">
                  <c:v>2.1903263994588196E-4</c:v>
                </c:pt>
                <c:pt idx="4">
                  <c:v>2.8587609696061636E-4</c:v>
                </c:pt>
                <c:pt idx="5">
                  <c:v>3.8543400037876384E-4</c:v>
                </c:pt>
                <c:pt idx="6">
                  <c:v>5.4210578386605776E-4</c:v>
                </c:pt>
                <c:pt idx="7">
                  <c:v>8.0755068493150667E-4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F-4492-A061-1F85AD8A66EA}"/>
            </c:ext>
          </c:extLst>
        </c:ser>
        <c:ser>
          <c:idx val="5"/>
          <c:order val="5"/>
          <c:tx>
            <c:strRef>
              <c:f>'Light frames'!$H$31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'Light frames'!$I$25:$P$25</c:f>
              <c:numCache>
                <c:formatCode>General</c:formatCode>
                <c:ptCount val="8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</c:numCache>
            </c:numRef>
          </c:cat>
          <c:val>
            <c:numRef>
              <c:f>'Light frames'!$I$31:$P$31</c:f>
              <c:numCache>
                <c:formatCode>0.000000</c:formatCode>
                <c:ptCount val="8"/>
                <c:pt idx="0">
                  <c:v>9.680460426179604E-5</c:v>
                </c:pt>
                <c:pt idx="1">
                  <c:v>1.1801536919478783E-4</c:v>
                </c:pt>
                <c:pt idx="2">
                  <c:v>1.4636856164383557E-4</c:v>
                </c:pt>
                <c:pt idx="3">
                  <c:v>1.8533531072343858E-4</c:v>
                </c:pt>
                <c:pt idx="4">
                  <c:v>2.4073776586157171E-4</c:v>
                </c:pt>
                <c:pt idx="5">
                  <c:v>3.2293118950653187E-4</c:v>
                </c:pt>
                <c:pt idx="6">
                  <c:v>4.5175481988838148E-4</c:v>
                </c:pt>
                <c:pt idx="7">
                  <c:v>6.6911342465753401E-4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F-4492-A061-1F85AD8A66EA}"/>
            </c:ext>
          </c:extLst>
        </c:ser>
        <c:ser>
          <c:idx val="6"/>
          <c:order val="6"/>
          <c:tx>
            <c:strRef>
              <c:f>'Light frames'!$H$32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'Light frames'!$I$25:$P$25</c:f>
              <c:numCache>
                <c:formatCode>General</c:formatCode>
                <c:ptCount val="8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</c:numCache>
            </c:numRef>
          </c:cat>
          <c:val>
            <c:numRef>
              <c:f>'Light frames'!$I$32:$P$32</c:f>
              <c:numCache>
                <c:formatCode>0.000000</c:formatCode>
                <c:ptCount val="8"/>
                <c:pt idx="0">
                  <c:v>8.4704028729071538E-5</c:v>
                </c:pt>
                <c:pt idx="1">
                  <c:v>1.0294957738268727E-4</c:v>
                </c:pt>
                <c:pt idx="2">
                  <c:v>1.2727701012507441E-4</c:v>
                </c:pt>
                <c:pt idx="3">
                  <c:v>1.6062393596031344E-4</c:v>
                </c:pt>
                <c:pt idx="4">
                  <c:v>2.0790988869863011E-4</c:v>
                </c:pt>
                <c:pt idx="5">
                  <c:v>2.7787102352887629E-4</c:v>
                </c:pt>
                <c:pt idx="6">
                  <c:v>3.8721841704718416E-4</c:v>
                </c:pt>
                <c:pt idx="7">
                  <c:v>5.7119438690277308E-4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AF-4492-A061-1F85AD8A66E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2422016"/>
        <c:axId val="252424192"/>
        <c:axId val="252066880"/>
      </c:surface3DChart>
      <c:catAx>
        <c:axId val="25242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h_f</a:t>
                </a:r>
              </a:p>
            </c:rich>
          </c:tx>
          <c:layout>
            <c:manualLayout>
              <c:xMode val="edge"/>
              <c:yMode val="edge"/>
              <c:x val="0.24003170328309062"/>
              <c:y val="0.750200962734263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24192"/>
        <c:crosses val="autoZero"/>
        <c:auto val="1"/>
        <c:lblAlgn val="ctr"/>
        <c:lblOffset val="100"/>
        <c:noMultiLvlLbl val="0"/>
      </c:catAx>
      <c:valAx>
        <c:axId val="252424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t_f, m</a:t>
                </a:r>
              </a:p>
            </c:rich>
          </c:tx>
          <c:layout>
            <c:manualLayout>
              <c:xMode val="edge"/>
              <c:yMode val="edge"/>
              <c:x val="0.91954338323250617"/>
              <c:y val="0.340541059655996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22016"/>
        <c:crosses val="autoZero"/>
        <c:crossBetween val="midCat"/>
      </c:valAx>
      <c:serAx>
        <c:axId val="2520668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b_f, m</a:t>
                </a:r>
              </a:p>
            </c:rich>
          </c:tx>
          <c:layout>
            <c:manualLayout>
              <c:xMode val="edge"/>
              <c:yMode val="edge"/>
              <c:x val="0.75623754942864208"/>
              <c:y val="0.7219774007336016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2419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Tangential load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'Heavy frames'!$C$87:$C$99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'Heavy frames'!$E$87:$E$99</c:f>
              <c:numCache>
                <c:formatCode>0.00</c:formatCode>
                <c:ptCount val="13"/>
                <c:pt idx="0">
                  <c:v>500000</c:v>
                </c:pt>
                <c:pt idx="1">
                  <c:v>321055.18247054232</c:v>
                </c:pt>
                <c:pt idx="2">
                  <c:v>97750.554738942723</c:v>
                </c:pt>
                <c:pt idx="3">
                  <c:v>-79577.471545947657</c:v>
                </c:pt>
                <c:pt idx="4">
                  <c:v>-152249.44526105732</c:v>
                </c:pt>
                <c:pt idx="5">
                  <c:v>-111957.51942167705</c:v>
                </c:pt>
                <c:pt idx="6">
                  <c:v>-9.7494216310052456E-12</c:v>
                </c:pt>
                <c:pt idx="7">
                  <c:v>111957.51942167712</c:v>
                </c:pt>
                <c:pt idx="8">
                  <c:v>152249.44526105738</c:v>
                </c:pt>
                <c:pt idx="9">
                  <c:v>79577.47154594773</c:v>
                </c:pt>
                <c:pt idx="10">
                  <c:v>-97750.554738942723</c:v>
                </c:pt>
                <c:pt idx="11">
                  <c:v>-321055.18247054203</c:v>
                </c:pt>
                <c:pt idx="12">
                  <c:v>-500000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F-44CC-BB83-F4306B1E04E8}"/>
            </c:ext>
          </c:extLst>
        </c:ser>
        <c:ser>
          <c:idx val="1"/>
          <c:order val="1"/>
          <c:tx>
            <c:v>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'Heavy frames'!$C$87:$C$99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'Heavy frames'!$F$87:$F$99</c:f>
              <c:numCache>
                <c:formatCode>0.00</c:formatCode>
                <c:ptCount val="13"/>
                <c:pt idx="0">
                  <c:v>238732.41463784303</c:v>
                </c:pt>
                <c:pt idx="1">
                  <c:v>19737.721686286055</c:v>
                </c:pt>
                <c:pt idx="2">
                  <c:v>-89731.455729943715</c:v>
                </c:pt>
                <c:pt idx="3">
                  <c:v>-90845.056908104656</c:v>
                </c:pt>
                <c:pt idx="4">
                  <c:v>-24971.359978484939</c:v>
                </c:pt>
                <c:pt idx="5">
                  <c:v>48572.164497504673</c:v>
                </c:pt>
                <c:pt idx="6">
                  <c:v>79577.471545947672</c:v>
                </c:pt>
                <c:pt idx="7">
                  <c:v>48572.164497504637</c:v>
                </c:pt>
                <c:pt idx="8">
                  <c:v>-24971.359978484885</c:v>
                </c:pt>
                <c:pt idx="9">
                  <c:v>-90845.056908104671</c:v>
                </c:pt>
                <c:pt idx="10">
                  <c:v>-89731.455729943715</c:v>
                </c:pt>
                <c:pt idx="11">
                  <c:v>19737.721686285844</c:v>
                </c:pt>
                <c:pt idx="12">
                  <c:v>238732.41463784291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F-44CC-BB83-F4306B1E04E8}"/>
            </c:ext>
          </c:extLst>
        </c:ser>
        <c:ser>
          <c:idx val="2"/>
          <c:order val="2"/>
          <c:tx>
            <c:v>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'Heavy frames'!$C$87:$C$99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'Heavy frames'!$G$87:$G$99</c:f>
              <c:numCache>
                <c:formatCode>0.00</c:formatCode>
                <c:ptCount val="13"/>
                <c:pt idx="0">
                  <c:v>0</c:v>
                </c:pt>
                <c:pt idx="1">
                  <c:v>-202703.6338775093</c:v>
                </c:pt>
                <c:pt idx="2">
                  <c:v>-127860.52448165214</c:v>
                </c:pt>
                <c:pt idx="3">
                  <c:v>35943.597305280673</c:v>
                </c:pt>
                <c:pt idx="4">
                  <c:v>137972.80885168121</c:v>
                </c:pt>
                <c:pt idx="5">
                  <c:v>115273.55182533698</c:v>
                </c:pt>
                <c:pt idx="6">
                  <c:v>-9.3301965008720197E-11</c:v>
                </c:pt>
                <c:pt idx="7">
                  <c:v>-115273.55182533716</c:v>
                </c:pt>
                <c:pt idx="8">
                  <c:v>-137972.80885168145</c:v>
                </c:pt>
                <c:pt idx="9">
                  <c:v>-35943.597305281015</c:v>
                </c:pt>
                <c:pt idx="10">
                  <c:v>127860.52448165214</c:v>
                </c:pt>
                <c:pt idx="11">
                  <c:v>202703.63387750927</c:v>
                </c:pt>
                <c:pt idx="12">
                  <c:v>1.8660393001744039E-10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F-44CC-BB83-F4306B1E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33216"/>
        <c:axId val="252235136"/>
      </c:scatterChart>
      <c:valAx>
        <c:axId val="25223321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35136"/>
        <c:crosses val="autoZero"/>
        <c:crossBetween val="midCat"/>
        <c:majorUnit val="30"/>
      </c:valAx>
      <c:valAx>
        <c:axId val="252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3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9.png"/><Relationship Id="rId3" Type="http://schemas.openxmlformats.org/officeDocument/2006/relationships/image" Target="../media/image12.emf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3.emf"/><Relationship Id="rId11" Type="http://schemas.openxmlformats.org/officeDocument/2006/relationships/image" Target="../media/image18.png"/><Relationship Id="rId5" Type="http://schemas.openxmlformats.org/officeDocument/2006/relationships/chart" Target="../charts/chart2.xml"/><Relationship Id="rId10" Type="http://schemas.openxmlformats.org/officeDocument/2006/relationships/image" Target="../media/image17.png"/><Relationship Id="rId4" Type="http://schemas.openxmlformats.org/officeDocument/2006/relationships/chart" Target="../charts/chart1.xml"/><Relationship Id="rId9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6" Type="http://schemas.openxmlformats.org/officeDocument/2006/relationships/image" Target="../media/image9.png"/><Relationship Id="rId5" Type="http://schemas.openxmlformats.org/officeDocument/2006/relationships/image" Target="../media/image24.png"/><Relationship Id="rId4" Type="http://schemas.openxmlformats.org/officeDocument/2006/relationships/image" Target="../media/image23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9.png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4.jpeg"/><Relationship Id="rId5" Type="http://schemas.openxmlformats.org/officeDocument/2006/relationships/image" Target="../media/image29.emf"/><Relationship Id="rId10" Type="http://schemas.openxmlformats.org/officeDocument/2006/relationships/image" Target="../media/image33.emf"/><Relationship Id="rId4" Type="http://schemas.openxmlformats.org/officeDocument/2006/relationships/image" Target="../media/image28.emf"/><Relationship Id="rId9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7.emf"/><Relationship Id="rId7" Type="http://schemas.openxmlformats.org/officeDocument/2006/relationships/image" Target="../media/image41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Relationship Id="rId6" Type="http://schemas.openxmlformats.org/officeDocument/2006/relationships/image" Target="../media/image40.emf"/><Relationship Id="rId11" Type="http://schemas.openxmlformats.org/officeDocument/2006/relationships/image" Target="../media/image9.png"/><Relationship Id="rId5" Type="http://schemas.openxmlformats.org/officeDocument/2006/relationships/image" Target="../media/image39.emf"/><Relationship Id="rId10" Type="http://schemas.openxmlformats.org/officeDocument/2006/relationships/image" Target="../media/image42.png"/><Relationship Id="rId4" Type="http://schemas.openxmlformats.org/officeDocument/2006/relationships/image" Target="../media/image38.emf"/><Relationship Id="rId9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53597</xdr:colOff>
      <xdr:row>15</xdr:row>
      <xdr:rowOff>133243</xdr:rowOff>
    </xdr:from>
    <xdr:to>
      <xdr:col>20</xdr:col>
      <xdr:colOff>420584</xdr:colOff>
      <xdr:row>25</xdr:row>
      <xdr:rowOff>126213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DAB2F-6F23-BDBB-1AB4-632099A94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5155" y="6157496"/>
          <a:ext cx="5970656" cy="3196833"/>
        </a:xfrm>
        <a:prstGeom prst="rect">
          <a:avLst/>
        </a:prstGeom>
      </xdr:spPr>
    </xdr:pic>
    <xdr:clientData/>
  </xdr:twoCellAnchor>
  <xdr:twoCellAnchor editAs="oneCell">
    <xdr:from>
      <xdr:col>2</xdr:col>
      <xdr:colOff>24427</xdr:colOff>
      <xdr:row>10</xdr:row>
      <xdr:rowOff>170051</xdr:rowOff>
    </xdr:from>
    <xdr:to>
      <xdr:col>8</xdr:col>
      <xdr:colOff>553487</xdr:colOff>
      <xdr:row>11</xdr:row>
      <xdr:rowOff>160127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44D8FE-3EDC-9B4B-E4B5-17C60D6D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0011" y="5254174"/>
          <a:ext cx="7666625" cy="584609"/>
        </a:xfrm>
        <a:prstGeom prst="rect">
          <a:avLst/>
        </a:prstGeom>
      </xdr:spPr>
    </xdr:pic>
    <xdr:clientData/>
  </xdr:twoCellAnchor>
  <xdr:twoCellAnchor editAs="oneCell">
    <xdr:from>
      <xdr:col>4</xdr:col>
      <xdr:colOff>343343</xdr:colOff>
      <xdr:row>4</xdr:row>
      <xdr:rowOff>28297</xdr:rowOff>
    </xdr:from>
    <xdr:to>
      <xdr:col>4</xdr:col>
      <xdr:colOff>1650263</xdr:colOff>
      <xdr:row>4</xdr:row>
      <xdr:rowOff>696119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3543CF-413F-EB43-1DAE-D17DF4E4C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26395" y="1202309"/>
          <a:ext cx="1306920" cy="667822"/>
        </a:xfrm>
        <a:prstGeom prst="rect">
          <a:avLst/>
        </a:prstGeom>
      </xdr:spPr>
    </xdr:pic>
    <xdr:clientData/>
  </xdr:twoCellAnchor>
  <xdr:twoCellAnchor editAs="oneCell">
    <xdr:from>
      <xdr:col>4</xdr:col>
      <xdr:colOff>155059</xdr:colOff>
      <xdr:row>5</xdr:row>
      <xdr:rowOff>77529</xdr:rowOff>
    </xdr:from>
    <xdr:to>
      <xdr:col>4</xdr:col>
      <xdr:colOff>1648708</xdr:colOff>
      <xdr:row>5</xdr:row>
      <xdr:rowOff>644506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92D650-AB34-382B-3F82-49E2FD071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38111" y="1960378"/>
          <a:ext cx="1493649" cy="566977"/>
        </a:xfrm>
        <a:prstGeom prst="rect">
          <a:avLst/>
        </a:prstGeom>
      </xdr:spPr>
    </xdr:pic>
    <xdr:clientData/>
  </xdr:twoCellAnchor>
  <xdr:twoCellAnchor editAs="oneCell">
    <xdr:from>
      <xdr:col>4</xdr:col>
      <xdr:colOff>299041</xdr:colOff>
      <xdr:row>6</xdr:row>
      <xdr:rowOff>22151</xdr:rowOff>
    </xdr:from>
    <xdr:to>
      <xdr:col>4</xdr:col>
      <xdr:colOff>1561022</xdr:colOff>
      <xdr:row>6</xdr:row>
      <xdr:rowOff>601321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074C57-DAEE-AB35-169E-FA556565C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2093" y="2635988"/>
          <a:ext cx="1261981" cy="579170"/>
        </a:xfrm>
        <a:prstGeom prst="rect">
          <a:avLst/>
        </a:prstGeom>
      </xdr:spPr>
    </xdr:pic>
    <xdr:clientData/>
  </xdr:twoCellAnchor>
  <xdr:twoCellAnchor editAs="oneCell">
    <xdr:from>
      <xdr:col>4</xdr:col>
      <xdr:colOff>321192</xdr:colOff>
      <xdr:row>7</xdr:row>
      <xdr:rowOff>77529</xdr:rowOff>
    </xdr:from>
    <xdr:to>
      <xdr:col>4</xdr:col>
      <xdr:colOff>1534401</xdr:colOff>
      <xdr:row>7</xdr:row>
      <xdr:rowOff>583541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E4A496-C47A-1E5D-6E01-D3CEB03D6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04244" y="3333750"/>
          <a:ext cx="1213209" cy="506012"/>
        </a:xfrm>
        <a:prstGeom prst="rect">
          <a:avLst/>
        </a:prstGeom>
      </xdr:spPr>
    </xdr:pic>
    <xdr:clientData/>
  </xdr:twoCellAnchor>
  <xdr:twoCellAnchor editAs="oneCell">
    <xdr:from>
      <xdr:col>4</xdr:col>
      <xdr:colOff>243663</xdr:colOff>
      <xdr:row>8</xdr:row>
      <xdr:rowOff>88604</xdr:rowOff>
    </xdr:from>
    <xdr:to>
      <xdr:col>4</xdr:col>
      <xdr:colOff>1639768</xdr:colOff>
      <xdr:row>8</xdr:row>
      <xdr:rowOff>619002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2AC4A5-7DF1-1BF0-BF48-1758892DB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6715" y="3998284"/>
          <a:ext cx="1396105" cy="530398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9</xdr:row>
      <xdr:rowOff>33227</xdr:rowOff>
    </xdr:from>
    <xdr:to>
      <xdr:col>4</xdr:col>
      <xdr:colOff>1549239</xdr:colOff>
      <xdr:row>9</xdr:row>
      <xdr:rowOff>551432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F8787B-3492-F660-6F5E-14A13E483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59302" y="4585291"/>
          <a:ext cx="1072989" cy="518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0</xdr:colOff>
      <xdr:row>0</xdr:row>
      <xdr:rowOff>358967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5FF0D4D-7934-2394-3FC4-5F3A590C3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1727791" cy="358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1926933</xdr:colOff>
      <xdr:row>27</xdr:row>
      <xdr:rowOff>221587</xdr:rowOff>
    </xdr:from>
    <xdr:to>
      <xdr:col>25</xdr:col>
      <xdr:colOff>574178</xdr:colOff>
      <xdr:row>51</xdr:row>
      <xdr:rowOff>2513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5457" y="5833304"/>
          <a:ext cx="5659022" cy="4478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71779</xdr:colOff>
      <xdr:row>63</xdr:row>
      <xdr:rowOff>183946</xdr:rowOff>
    </xdr:from>
    <xdr:to>
      <xdr:col>27</xdr:col>
      <xdr:colOff>383997</xdr:colOff>
      <xdr:row>78</xdr:row>
      <xdr:rowOff>73752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1207" y="12864819"/>
          <a:ext cx="6756549" cy="2799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40366</xdr:colOff>
      <xdr:row>179</xdr:row>
      <xdr:rowOff>182072</xdr:rowOff>
    </xdr:from>
    <xdr:to>
      <xdr:col>11</xdr:col>
      <xdr:colOff>492729</xdr:colOff>
      <xdr:row>195</xdr:row>
      <xdr:rowOff>773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9198" y="34099355"/>
          <a:ext cx="3160036" cy="2797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683</xdr:colOff>
      <xdr:row>50</xdr:row>
      <xdr:rowOff>3019</xdr:rowOff>
    </xdr:from>
    <xdr:to>
      <xdr:col>13</xdr:col>
      <xdr:colOff>451505</xdr:colOff>
      <xdr:row>78</xdr:row>
      <xdr:rowOff>42737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A90CA4-9106-43D9-BBD5-7C34AB293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13649</xdr:colOff>
      <xdr:row>102</xdr:row>
      <xdr:rowOff>13965</xdr:rowOff>
    </xdr:from>
    <xdr:to>
      <xdr:col>12</xdr:col>
      <xdr:colOff>146269</xdr:colOff>
      <xdr:row>120</xdr:row>
      <xdr:rowOff>126938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F50F77-F5C7-4BBF-8953-BC48D2FBA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536953</xdr:colOff>
      <xdr:row>52</xdr:row>
      <xdr:rowOff>55226</xdr:rowOff>
    </xdr:from>
    <xdr:to>
      <xdr:col>26</xdr:col>
      <xdr:colOff>644815</xdr:colOff>
      <xdr:row>61</xdr:row>
      <xdr:rowOff>78991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5185F02-ABC9-4560-996B-F626A37B3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6983" y="10590106"/>
          <a:ext cx="3228400" cy="1781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737877</xdr:colOff>
      <xdr:row>121</xdr:row>
      <xdr:rowOff>38625</xdr:rowOff>
    </xdr:from>
    <xdr:to>
      <xdr:col>12</xdr:col>
      <xdr:colOff>607107</xdr:colOff>
      <xdr:row>137</xdr:row>
      <xdr:rowOff>111293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1BAAD68-9EC2-4C5E-8DA3-30F6E18B9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01520" y="23950911"/>
          <a:ext cx="4706893" cy="2959199"/>
        </a:xfrm>
        <a:prstGeom prst="rect">
          <a:avLst/>
        </a:prstGeom>
      </xdr:spPr>
    </xdr:pic>
    <xdr:clientData/>
  </xdr:twoCellAnchor>
  <xdr:twoCellAnchor editAs="oneCell">
    <xdr:from>
      <xdr:col>17</xdr:col>
      <xdr:colOff>33093</xdr:colOff>
      <xdr:row>52</xdr:row>
      <xdr:rowOff>12522</xdr:rowOff>
    </xdr:from>
    <xdr:to>
      <xdr:col>21</xdr:col>
      <xdr:colOff>269309</xdr:colOff>
      <xdr:row>62</xdr:row>
      <xdr:rowOff>111803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FC129-5CA9-4675-90F2-025B7D23D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212521" y="10547402"/>
          <a:ext cx="2812260" cy="2042022"/>
        </a:xfrm>
        <a:prstGeom prst="rect">
          <a:avLst/>
        </a:prstGeom>
      </xdr:spPr>
    </xdr:pic>
    <xdr:clientData/>
  </xdr:twoCellAnchor>
  <xdr:twoCellAnchor editAs="oneCell">
    <xdr:from>
      <xdr:col>1</xdr:col>
      <xdr:colOff>607493</xdr:colOff>
      <xdr:row>200</xdr:row>
      <xdr:rowOff>9327</xdr:rowOff>
    </xdr:from>
    <xdr:to>
      <xdr:col>6</xdr:col>
      <xdr:colOff>264220</xdr:colOff>
      <xdr:row>219</xdr:row>
      <xdr:rowOff>116902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B59DB0-314D-4881-9AA8-E0791D083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6134" y="37840142"/>
          <a:ext cx="3492017" cy="3656553"/>
        </a:xfrm>
        <a:prstGeom prst="rect">
          <a:avLst/>
        </a:prstGeom>
      </xdr:spPr>
    </xdr:pic>
    <xdr:clientData/>
  </xdr:twoCellAnchor>
  <xdr:twoCellAnchor editAs="oneCell">
    <xdr:from>
      <xdr:col>7</xdr:col>
      <xdr:colOff>11562</xdr:colOff>
      <xdr:row>200</xdr:row>
      <xdr:rowOff>14579</xdr:rowOff>
    </xdr:from>
    <xdr:to>
      <xdr:col>10</xdr:col>
      <xdr:colOff>992558</xdr:colOff>
      <xdr:row>219</xdr:row>
      <xdr:rowOff>111570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B990009-EA73-4439-8835-061BA90E0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30339" y="37845394"/>
          <a:ext cx="3494303" cy="3626015"/>
        </a:xfrm>
        <a:prstGeom prst="rect">
          <a:avLst/>
        </a:prstGeom>
      </xdr:spPr>
    </xdr:pic>
    <xdr:clientData/>
  </xdr:twoCellAnchor>
  <xdr:twoCellAnchor editAs="oneCell">
    <xdr:from>
      <xdr:col>7</xdr:col>
      <xdr:colOff>98050</xdr:colOff>
      <xdr:row>2</xdr:row>
      <xdr:rowOff>225776</xdr:rowOff>
    </xdr:from>
    <xdr:to>
      <xdr:col>15</xdr:col>
      <xdr:colOff>759136</xdr:colOff>
      <xdr:row>23</xdr:row>
      <xdr:rowOff>3011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303372-5F21-32C3-0146-CD454BFCD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97462" y="912136"/>
          <a:ext cx="8614522" cy="4055655"/>
        </a:xfrm>
        <a:prstGeom prst="rect">
          <a:avLst/>
        </a:prstGeom>
      </xdr:spPr>
    </xdr:pic>
    <xdr:clientData/>
  </xdr:twoCellAnchor>
  <xdr:twoCellAnchor editAs="oneCell">
    <xdr:from>
      <xdr:col>10</xdr:col>
      <xdr:colOff>294155</xdr:colOff>
      <xdr:row>29</xdr:row>
      <xdr:rowOff>0</xdr:rowOff>
    </xdr:from>
    <xdr:to>
      <xdr:col>13</xdr:col>
      <xdr:colOff>993477</xdr:colOff>
      <xdr:row>47</xdr:row>
      <xdr:rowOff>79292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AFEDF-1186-DDF4-9104-89D2643AB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258861" y="6667500"/>
          <a:ext cx="4243184" cy="36091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35497</xdr:colOff>
      <xdr:row>0</xdr:row>
      <xdr:rowOff>421531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2E811E-E5CE-8402-5887-2EA6530A0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90043" cy="4342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27931</xdr:colOff>
      <xdr:row>11</xdr:row>
      <xdr:rowOff>64345</xdr:rowOff>
    </xdr:from>
    <xdr:to>
      <xdr:col>15</xdr:col>
      <xdr:colOff>682662</xdr:colOff>
      <xdr:row>29</xdr:row>
      <xdr:rowOff>35377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2931" y="2464645"/>
          <a:ext cx="3331038" cy="3390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5467</xdr:colOff>
      <xdr:row>11</xdr:row>
      <xdr:rowOff>23832</xdr:rowOff>
    </xdr:from>
    <xdr:to>
      <xdr:col>10</xdr:col>
      <xdr:colOff>226272</xdr:colOff>
      <xdr:row>20</xdr:row>
      <xdr:rowOff>3024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5000" y="2470699"/>
          <a:ext cx="2234666" cy="1737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670643</xdr:colOff>
      <xdr:row>20</xdr:row>
      <xdr:rowOff>189111</xdr:rowOff>
    </xdr:from>
    <xdr:to>
      <xdr:col>20</xdr:col>
      <xdr:colOff>225796</xdr:colOff>
      <xdr:row>24</xdr:row>
      <xdr:rowOff>114693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1143" y="4303911"/>
          <a:ext cx="2244834" cy="687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15975</xdr:colOff>
      <xdr:row>11</xdr:row>
      <xdr:rowOff>35771</xdr:rowOff>
    </xdr:from>
    <xdr:to>
      <xdr:col>24</xdr:col>
      <xdr:colOff>532208</xdr:colOff>
      <xdr:row>20</xdr:row>
      <xdr:rowOff>1027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9575" y="2436071"/>
          <a:ext cx="5227933" cy="1670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6984</xdr:colOff>
      <xdr:row>2</xdr:row>
      <xdr:rowOff>63322</xdr:rowOff>
    </xdr:from>
    <xdr:to>
      <xdr:col>13</xdr:col>
      <xdr:colOff>416073</xdr:colOff>
      <xdr:row>8</xdr:row>
      <xdr:rowOff>149291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C2710A-71AD-2E5B-2FA0-0E86E25B6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96517" y="757589"/>
          <a:ext cx="4454949" cy="1244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35679</xdr:colOff>
      <xdr:row>0</xdr:row>
      <xdr:rowOff>377836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3B1535-777D-3414-89B8-5295444E8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735667" cy="3606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19105</xdr:colOff>
      <xdr:row>23</xdr:row>
      <xdr:rowOff>24826</xdr:rowOff>
    </xdr:from>
    <xdr:to>
      <xdr:col>35</xdr:col>
      <xdr:colOff>512870</xdr:colOff>
      <xdr:row>41</xdr:row>
      <xdr:rowOff>129988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25005" y="4723826"/>
          <a:ext cx="7224765" cy="3534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144</xdr:colOff>
      <xdr:row>14</xdr:row>
      <xdr:rowOff>15351</xdr:rowOff>
    </xdr:from>
    <xdr:to>
      <xdr:col>10</xdr:col>
      <xdr:colOff>794</xdr:colOff>
      <xdr:row>19</xdr:row>
      <xdr:rowOff>10661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4923" y="2956895"/>
          <a:ext cx="2526351" cy="929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463479</xdr:colOff>
      <xdr:row>14</xdr:row>
      <xdr:rowOff>36530</xdr:rowOff>
    </xdr:from>
    <xdr:to>
      <xdr:col>17</xdr:col>
      <xdr:colOff>245685</xdr:colOff>
      <xdr:row>19</xdr:row>
      <xdr:rowOff>149411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7670" y="2978074"/>
          <a:ext cx="4762696" cy="104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25706</xdr:colOff>
      <xdr:row>13</xdr:row>
      <xdr:rowOff>183164</xdr:rowOff>
    </xdr:from>
    <xdr:to>
      <xdr:col>26</xdr:col>
      <xdr:colOff>27311</xdr:colOff>
      <xdr:row>20</xdr:row>
      <xdr:rowOff>3868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3018" y="2982626"/>
          <a:ext cx="4016444" cy="115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37975</xdr:colOff>
      <xdr:row>12</xdr:row>
      <xdr:rowOff>185957</xdr:rowOff>
    </xdr:from>
    <xdr:to>
      <xdr:col>37</xdr:col>
      <xdr:colOff>207753</xdr:colOff>
      <xdr:row>17</xdr:row>
      <xdr:rowOff>60573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1042" y="2742890"/>
          <a:ext cx="6943111" cy="80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14650</xdr:colOff>
      <xdr:row>13</xdr:row>
      <xdr:rowOff>7323</xdr:rowOff>
    </xdr:from>
    <xdr:to>
      <xdr:col>50</xdr:col>
      <xdr:colOff>317703</xdr:colOff>
      <xdr:row>16</xdr:row>
      <xdr:rowOff>125502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349" y="2715636"/>
          <a:ext cx="8382088" cy="669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15706</xdr:colOff>
      <xdr:row>29</xdr:row>
      <xdr:rowOff>13916</xdr:rowOff>
    </xdr:from>
    <xdr:to>
      <xdr:col>2</xdr:col>
      <xdr:colOff>1425173</xdr:colOff>
      <xdr:row>31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306" y="5855916"/>
          <a:ext cx="1409467" cy="379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13876</xdr:colOff>
      <xdr:row>2</xdr:row>
      <xdr:rowOff>10648</xdr:rowOff>
    </xdr:from>
    <xdr:to>
      <xdr:col>8</xdr:col>
      <xdr:colOff>448236</xdr:colOff>
      <xdr:row>9</xdr:row>
      <xdr:rowOff>93382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pSpPr/>
      </xdr:nvGrpSpPr>
      <xdr:grpSpPr>
        <a:xfrm>
          <a:off x="8114143" y="693078"/>
          <a:ext cx="1276837" cy="1393555"/>
          <a:chOff x="476250" y="4838700"/>
          <a:chExt cx="1933575" cy="26574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6250" y="4838700"/>
            <a:ext cx="1933575" cy="2657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/>
        </xdr:nvSpPr>
        <xdr:spPr>
          <a:xfrm>
            <a:off x="1152525" y="4876800"/>
            <a:ext cx="180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</a:p>
        </xdr:txBody>
      </xdr:sp>
    </xdr:grpSp>
    <xdr:clientData/>
  </xdr:twoCellAnchor>
  <xdr:twoCellAnchor>
    <xdr:from>
      <xdr:col>17</xdr:col>
      <xdr:colOff>4762</xdr:colOff>
      <xdr:row>23</xdr:row>
      <xdr:rowOff>6349</xdr:rowOff>
    </xdr:from>
    <xdr:to>
      <xdr:col>24</xdr:col>
      <xdr:colOff>336176</xdr:colOff>
      <xdr:row>41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7931</xdr:colOff>
      <xdr:row>23</xdr:row>
      <xdr:rowOff>41665</xdr:rowOff>
    </xdr:from>
    <xdr:to>
      <xdr:col>41</xdr:col>
      <xdr:colOff>546100</xdr:colOff>
      <xdr:row>42</xdr:row>
      <xdr:rowOff>30423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91031" y="4740665"/>
          <a:ext cx="3230569" cy="3608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12948</xdr:colOff>
      <xdr:row>2</xdr:row>
      <xdr:rowOff>15300</xdr:rowOff>
    </xdr:from>
    <xdr:to>
      <xdr:col>10</xdr:col>
      <xdr:colOff>99968</xdr:colOff>
      <xdr:row>9</xdr:row>
      <xdr:rowOff>183614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D9FFD41-62AD-BCEA-55B5-DCA526F06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7044" y="688553"/>
          <a:ext cx="929707" cy="145361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1701801</xdr:colOff>
      <xdr:row>0</xdr:row>
      <xdr:rowOff>353567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E72795F-05D3-4142-C9C6-103327706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0"/>
          <a:ext cx="1701800" cy="3535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74165</xdr:colOff>
      <xdr:row>38</xdr:row>
      <xdr:rowOff>40970</xdr:rowOff>
    </xdr:from>
    <xdr:to>
      <xdr:col>6</xdr:col>
      <xdr:colOff>155346</xdr:colOff>
      <xdr:row>59</xdr:row>
      <xdr:rowOff>2646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6040" y="7327595"/>
          <a:ext cx="4706248" cy="5583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111655</xdr:colOff>
      <xdr:row>59</xdr:row>
      <xdr:rowOff>93507</xdr:rowOff>
    </xdr:from>
    <xdr:to>
      <xdr:col>6</xdr:col>
      <xdr:colOff>191029</xdr:colOff>
      <xdr:row>68</xdr:row>
      <xdr:rowOff>149419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530" y="14349257"/>
          <a:ext cx="4698999" cy="1764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158044</xdr:colOff>
      <xdr:row>67</xdr:row>
      <xdr:rowOff>146332</xdr:rowOff>
    </xdr:from>
    <xdr:to>
      <xdr:col>6</xdr:col>
      <xdr:colOff>229798</xdr:colOff>
      <xdr:row>73</xdr:row>
      <xdr:rowOff>41088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919" y="15926082"/>
          <a:ext cx="4691379" cy="1043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42418</xdr:colOff>
      <xdr:row>16</xdr:row>
      <xdr:rowOff>100220</xdr:rowOff>
    </xdr:from>
    <xdr:to>
      <xdr:col>22</xdr:col>
      <xdr:colOff>78977</xdr:colOff>
      <xdr:row>30</xdr:row>
      <xdr:rowOff>3086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4543" y="3529220"/>
          <a:ext cx="4753248" cy="3620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27712</xdr:colOff>
      <xdr:row>38</xdr:row>
      <xdr:rowOff>27781</xdr:rowOff>
    </xdr:from>
    <xdr:to>
      <xdr:col>15</xdr:col>
      <xdr:colOff>340827</xdr:colOff>
      <xdr:row>73</xdr:row>
      <xdr:rowOff>73046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9462" y="7314406"/>
          <a:ext cx="5170865" cy="8322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361350</xdr:colOff>
      <xdr:row>38</xdr:row>
      <xdr:rowOff>51487</xdr:rowOff>
    </xdr:from>
    <xdr:to>
      <xdr:col>24</xdr:col>
      <xdr:colOff>459993</xdr:colOff>
      <xdr:row>73</xdr:row>
      <xdr:rowOff>40602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0850" y="7338112"/>
          <a:ext cx="5660335" cy="828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512198</xdr:colOff>
      <xdr:row>38</xdr:row>
      <xdr:rowOff>77230</xdr:rowOff>
    </xdr:from>
    <xdr:to>
      <xdr:col>32</xdr:col>
      <xdr:colOff>498233</xdr:colOff>
      <xdr:row>73</xdr:row>
      <xdr:rowOff>35499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7948" y="7363855"/>
          <a:ext cx="4981669" cy="822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46878</xdr:colOff>
      <xdr:row>84</xdr:row>
      <xdr:rowOff>7656</xdr:rowOff>
    </xdr:from>
    <xdr:to>
      <xdr:col>15</xdr:col>
      <xdr:colOff>22412</xdr:colOff>
      <xdr:row>102</xdr:row>
      <xdr:rowOff>169021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12102</xdr:colOff>
      <xdr:row>2</xdr:row>
      <xdr:rowOff>25504</xdr:rowOff>
    </xdr:from>
    <xdr:to>
      <xdr:col>15</xdr:col>
      <xdr:colOff>416716</xdr:colOff>
      <xdr:row>10</xdr:row>
      <xdr:rowOff>149696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2102" y="761527"/>
          <a:ext cx="5247356" cy="1681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86503</xdr:colOff>
      <xdr:row>21</xdr:row>
      <xdr:rowOff>82076</xdr:rowOff>
    </xdr:from>
    <xdr:to>
      <xdr:col>13</xdr:col>
      <xdr:colOff>307946</xdr:colOff>
      <xdr:row>35</xdr:row>
      <xdr:rowOff>35471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19430" y="5363417"/>
          <a:ext cx="10558158" cy="2637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1679209</xdr:colOff>
      <xdr:row>0</xdr:row>
      <xdr:rowOff>345623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F2F1B6-E32D-DB4C-EA8A-58522EA6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1681023" cy="34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atweb.com/search/QuickText.aspx?SearchText=aluminium%202024" TargetMode="External"/><Relationship Id="rId1" Type="http://schemas.openxmlformats.org/officeDocument/2006/relationships/hyperlink" Target="https://www.ansys.com/content/dam/amp/2021/august/webpage-requests/education-resources-dam-upload-batch-6/performance-indices-booklet-bokpeien22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zoomScale="70" zoomScaleNormal="7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ColWidth="9.1640625" defaultRowHeight="14.5" x14ac:dyDescent="0.35"/>
  <cols>
    <col min="1" max="1" width="25.83203125" style="10" customWidth="1"/>
    <col min="2" max="2" width="9.1640625" style="1"/>
    <col min="3" max="3" width="30.25" style="1" customWidth="1"/>
    <col min="4" max="4" width="14" style="1" customWidth="1"/>
    <col min="5" max="5" width="29" style="1" customWidth="1"/>
    <col min="6" max="6" width="15.83203125" style="1" customWidth="1"/>
    <col min="7" max="11" width="9.1640625" style="1"/>
    <col min="12" max="12" width="10" style="1" customWidth="1"/>
    <col min="13" max="16" width="9.1640625" style="1"/>
    <col min="17" max="17" width="10.1640625" style="1" bestFit="1" customWidth="1"/>
    <col min="18" max="18" width="9.25" style="1" bestFit="1" customWidth="1"/>
    <col min="19" max="16384" width="9.1640625" style="1"/>
  </cols>
  <sheetData>
    <row r="1" spans="1:26" s="9" customFormat="1" ht="39" customHeight="1" thickBot="1" x14ac:dyDescent="0.4">
      <c r="A1" s="88"/>
      <c r="B1" s="128" t="s">
        <v>0</v>
      </c>
      <c r="C1" s="128"/>
      <c r="D1" s="128"/>
      <c r="E1" s="129"/>
      <c r="F1" s="130" t="s">
        <v>1</v>
      </c>
      <c r="G1" s="130"/>
      <c r="H1" s="131" t="s">
        <v>2</v>
      </c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3" spans="1:26" ht="18.5" x14ac:dyDescent="0.45">
      <c r="A3" s="89" t="s">
        <v>3</v>
      </c>
      <c r="C3" s="127" t="s">
        <v>4</v>
      </c>
      <c r="D3" s="127"/>
      <c r="E3" s="127"/>
      <c r="F3" s="13" t="s">
        <v>5</v>
      </c>
    </row>
    <row r="4" spans="1:26" ht="18.75" customHeight="1" x14ac:dyDescent="0.35">
      <c r="A4" s="125" t="s">
        <v>6</v>
      </c>
      <c r="C4" s="3" t="s">
        <v>7</v>
      </c>
      <c r="D4" s="3" t="s">
        <v>8</v>
      </c>
      <c r="E4" s="3" t="s">
        <v>9</v>
      </c>
    </row>
    <row r="5" spans="1:26" ht="55.5" customHeight="1" x14ac:dyDescent="0.35">
      <c r="A5" s="125"/>
      <c r="C5" s="3" t="s">
        <v>10</v>
      </c>
      <c r="D5" s="3" t="s">
        <v>11</v>
      </c>
      <c r="E5" s="3"/>
    </row>
    <row r="6" spans="1:26" ht="57.75" customHeight="1" x14ac:dyDescent="0.35">
      <c r="A6" s="125"/>
      <c r="C6" s="3" t="s">
        <v>12</v>
      </c>
      <c r="D6" s="3" t="s">
        <v>13</v>
      </c>
      <c r="E6" s="3"/>
    </row>
    <row r="7" spans="1:26" ht="51" customHeight="1" x14ac:dyDescent="0.35">
      <c r="A7" s="125"/>
      <c r="C7" s="3" t="s">
        <v>14</v>
      </c>
      <c r="D7" s="3" t="s">
        <v>15</v>
      </c>
      <c r="E7" s="3"/>
    </row>
    <row r="8" spans="1:26" ht="51.75" customHeight="1" x14ac:dyDescent="0.35">
      <c r="C8" s="3" t="s">
        <v>16</v>
      </c>
      <c r="D8" s="3" t="s">
        <v>17</v>
      </c>
      <c r="E8" s="3"/>
    </row>
    <row r="9" spans="1:26" ht="51" customHeight="1" x14ac:dyDescent="0.35">
      <c r="C9" s="3" t="s">
        <v>18</v>
      </c>
      <c r="D9" s="3" t="s">
        <v>19</v>
      </c>
      <c r="E9" s="3"/>
    </row>
    <row r="10" spans="1:26" ht="47.25" customHeight="1" x14ac:dyDescent="0.35">
      <c r="C10" s="3" t="s">
        <v>20</v>
      </c>
      <c r="D10" s="3" t="s">
        <v>21</v>
      </c>
      <c r="E10" s="3"/>
    </row>
    <row r="11" spans="1:26" ht="49" customHeight="1" x14ac:dyDescent="0.35"/>
    <row r="15" spans="1:26" s="11" customFormat="1" ht="15" thickBot="1" x14ac:dyDescent="0.4">
      <c r="A15" s="90"/>
    </row>
    <row r="17" spans="1:11" ht="18.5" x14ac:dyDescent="0.45">
      <c r="A17" s="89" t="s">
        <v>22</v>
      </c>
      <c r="C17" s="127" t="s">
        <v>23</v>
      </c>
      <c r="D17" s="127"/>
      <c r="E17" s="127"/>
      <c r="F17" s="127"/>
      <c r="I17" s="1" t="s">
        <v>24</v>
      </c>
      <c r="J17" s="126" t="s">
        <v>25</v>
      </c>
      <c r="K17" s="126"/>
    </row>
    <row r="18" spans="1:11" ht="93.75" customHeight="1" x14ac:dyDescent="0.35">
      <c r="A18" s="125" t="s">
        <v>26</v>
      </c>
      <c r="C18" s="3" t="s">
        <v>27</v>
      </c>
      <c r="D18" s="3" t="s">
        <v>28</v>
      </c>
      <c r="E18" s="3" t="s">
        <v>29</v>
      </c>
      <c r="F18" s="3" t="s">
        <v>30</v>
      </c>
    </row>
    <row r="19" spans="1:11" ht="18.75" customHeight="1" x14ac:dyDescent="0.35">
      <c r="A19" s="125"/>
      <c r="C19" s="3" t="s">
        <v>31</v>
      </c>
      <c r="D19" s="3" t="s">
        <v>32</v>
      </c>
      <c r="E19" s="3"/>
      <c r="F19" s="3"/>
    </row>
    <row r="20" spans="1:11" ht="18.75" customHeight="1" x14ac:dyDescent="0.35">
      <c r="A20" s="125"/>
      <c r="C20" s="3" t="s">
        <v>33</v>
      </c>
      <c r="D20" s="3" t="s">
        <v>34</v>
      </c>
      <c r="E20" s="3"/>
      <c r="F20" s="3"/>
    </row>
    <row r="21" spans="1:11" ht="18.75" customHeight="1" x14ac:dyDescent="0.35">
      <c r="A21" s="125"/>
      <c r="C21" s="3" t="s">
        <v>35</v>
      </c>
      <c r="D21" s="3" t="s">
        <v>36</v>
      </c>
      <c r="E21" s="3"/>
      <c r="F21" s="3"/>
    </row>
    <row r="22" spans="1:11" ht="18.75" customHeight="1" x14ac:dyDescent="0.35">
      <c r="A22" s="125"/>
      <c r="C22" s="3" t="s">
        <v>37</v>
      </c>
      <c r="D22" s="3" t="s">
        <v>38</v>
      </c>
      <c r="E22" s="3"/>
      <c r="F22" s="3"/>
    </row>
    <row r="23" spans="1:11" ht="18.75" customHeight="1" x14ac:dyDescent="0.35">
      <c r="A23" s="125"/>
      <c r="C23" s="3" t="s">
        <v>39</v>
      </c>
      <c r="D23" s="3" t="s">
        <v>36</v>
      </c>
      <c r="E23" s="3"/>
      <c r="F23" s="3"/>
    </row>
    <row r="24" spans="1:11" ht="18.75" customHeight="1" x14ac:dyDescent="0.35">
      <c r="A24" s="125"/>
    </row>
    <row r="25" spans="1:11" x14ac:dyDescent="0.35">
      <c r="A25" s="125"/>
      <c r="C25" s="127" t="s">
        <v>40</v>
      </c>
      <c r="D25" s="127"/>
      <c r="E25" s="127"/>
      <c r="F25" s="127"/>
    </row>
    <row r="26" spans="1:11" x14ac:dyDescent="0.35">
      <c r="A26" s="125"/>
      <c r="C26" s="3" t="s">
        <v>41</v>
      </c>
      <c r="D26" s="3" t="s">
        <v>28</v>
      </c>
      <c r="E26" s="3" t="s">
        <v>29</v>
      </c>
      <c r="F26" s="3" t="s">
        <v>30</v>
      </c>
    </row>
    <row r="27" spans="1:11" x14ac:dyDescent="0.35">
      <c r="A27" s="125"/>
      <c r="C27" s="3" t="s">
        <v>31</v>
      </c>
      <c r="D27" s="3" t="s">
        <v>42</v>
      </c>
      <c r="E27" s="3"/>
      <c r="F27" s="3"/>
    </row>
    <row r="28" spans="1:11" x14ac:dyDescent="0.35">
      <c r="A28" s="125"/>
      <c r="C28" s="3" t="s">
        <v>33</v>
      </c>
      <c r="D28" s="3" t="s">
        <v>43</v>
      </c>
      <c r="E28" s="3"/>
      <c r="F28" s="3"/>
    </row>
    <row r="29" spans="1:11" x14ac:dyDescent="0.35">
      <c r="A29" s="125"/>
      <c r="C29" s="3" t="s">
        <v>44</v>
      </c>
      <c r="D29" s="3" t="s">
        <v>45</v>
      </c>
      <c r="E29" s="3"/>
      <c r="F29" s="3"/>
    </row>
    <row r="30" spans="1:11" x14ac:dyDescent="0.35">
      <c r="C30" s="3" t="s">
        <v>46</v>
      </c>
      <c r="D30" s="3" t="s">
        <v>45</v>
      </c>
      <c r="E30" s="3"/>
      <c r="F30" s="3"/>
    </row>
    <row r="31" spans="1:11" x14ac:dyDescent="0.35">
      <c r="C31" s="3" t="s">
        <v>47</v>
      </c>
      <c r="D31" s="3" t="s">
        <v>45</v>
      </c>
      <c r="E31" s="3"/>
      <c r="F31" s="3"/>
    </row>
    <row r="33" spans="1:7" s="11" customFormat="1" ht="15" thickBot="1" x14ac:dyDescent="0.4">
      <c r="A33" s="90"/>
    </row>
    <row r="35" spans="1:7" ht="18.5" x14ac:dyDescent="0.45">
      <c r="A35" s="89" t="s">
        <v>48</v>
      </c>
      <c r="C35" s="127" t="s">
        <v>49</v>
      </c>
      <c r="D35" s="127"/>
      <c r="E35" s="127"/>
      <c r="F35" s="127"/>
      <c r="G35" s="13" t="s">
        <v>50</v>
      </c>
    </row>
    <row r="36" spans="1:7" x14ac:dyDescent="0.35">
      <c r="A36" s="125" t="s">
        <v>51</v>
      </c>
      <c r="C36" s="2" t="s">
        <v>52</v>
      </c>
      <c r="D36" s="2" t="s">
        <v>53</v>
      </c>
      <c r="E36" s="2">
        <v>72000</v>
      </c>
      <c r="F36" s="3" t="s">
        <v>54</v>
      </c>
    </row>
    <row r="37" spans="1:7" ht="18.75" customHeight="1" x14ac:dyDescent="0.35">
      <c r="A37" s="125"/>
      <c r="C37" s="2" t="s">
        <v>55</v>
      </c>
      <c r="D37" s="2" t="s">
        <v>56</v>
      </c>
      <c r="E37" s="2">
        <v>0.33</v>
      </c>
      <c r="F37" s="2"/>
    </row>
    <row r="38" spans="1:7" ht="18.75" customHeight="1" x14ac:dyDescent="0.35">
      <c r="A38" s="125"/>
      <c r="C38" s="2" t="s">
        <v>57</v>
      </c>
      <c r="D38" s="2" t="s">
        <v>58</v>
      </c>
      <c r="E38" s="4">
        <f>28000</f>
        <v>28000</v>
      </c>
      <c r="F38" s="3" t="s">
        <v>54</v>
      </c>
    </row>
    <row r="39" spans="1:7" ht="18.75" customHeight="1" x14ac:dyDescent="0.35">
      <c r="A39" s="125"/>
      <c r="C39" s="2" t="s">
        <v>59</v>
      </c>
      <c r="D39" s="2" t="s">
        <v>60</v>
      </c>
      <c r="E39" s="4">
        <f>71000</f>
        <v>71000</v>
      </c>
      <c r="F39" s="3" t="s">
        <v>54</v>
      </c>
    </row>
    <row r="40" spans="1:7" ht="18.75" customHeight="1" x14ac:dyDescent="0.35">
      <c r="A40" s="125"/>
    </row>
    <row r="41" spans="1:7" x14ac:dyDescent="0.35">
      <c r="A41" s="125"/>
      <c r="C41" s="14" t="s">
        <v>61</v>
      </c>
      <c r="D41" s="15">
        <v>455</v>
      </c>
      <c r="E41" s="16" t="s">
        <v>62</v>
      </c>
    </row>
    <row r="42" spans="1:7" x14ac:dyDescent="0.35">
      <c r="A42" s="125"/>
      <c r="C42" s="2" t="s">
        <v>63</v>
      </c>
      <c r="D42" s="5">
        <f>D41/SQRT(3)</f>
        <v>262.69437248127974</v>
      </c>
      <c r="E42" s="3" t="s">
        <v>62</v>
      </c>
    </row>
    <row r="43" spans="1:7" x14ac:dyDescent="0.35">
      <c r="A43" s="125"/>
      <c r="C43" s="2" t="s">
        <v>64</v>
      </c>
      <c r="D43" s="6">
        <v>2780</v>
      </c>
      <c r="E43" s="3" t="s">
        <v>65</v>
      </c>
    </row>
    <row r="45" spans="1:7" x14ac:dyDescent="0.35">
      <c r="C45" s="7"/>
    </row>
    <row r="47" spans="1:7" x14ac:dyDescent="0.35">
      <c r="C47" s="7"/>
    </row>
  </sheetData>
  <mergeCells count="11">
    <mergeCell ref="B1:E1"/>
    <mergeCell ref="F1:G1"/>
    <mergeCell ref="H1:Z1"/>
    <mergeCell ref="C3:E3"/>
    <mergeCell ref="C17:F17"/>
    <mergeCell ref="A4:A7"/>
    <mergeCell ref="A18:A29"/>
    <mergeCell ref="A36:A43"/>
    <mergeCell ref="J17:K17"/>
    <mergeCell ref="C35:F35"/>
    <mergeCell ref="C25:F25"/>
  </mergeCells>
  <phoneticPr fontId="1" type="noConversion"/>
  <hyperlinks>
    <hyperlink ref="F3" r:id="rId1" xr:uid="{06505E72-5D9C-41D3-B9E1-08CB8B3AA529}"/>
    <hyperlink ref="G35" r:id="rId2" xr:uid="{131A482A-151D-4575-9A04-2DA5A4B347BA}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3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6" sqref="D46"/>
    </sheetView>
  </sheetViews>
  <sheetFormatPr defaultColWidth="9.1640625" defaultRowHeight="14.5" x14ac:dyDescent="0.35"/>
  <cols>
    <col min="1" max="1" width="30.83203125" style="35" customWidth="1"/>
    <col min="2" max="2" width="9.1640625" style="1"/>
    <col min="3" max="3" width="9.25" style="1" bestFit="1" customWidth="1"/>
    <col min="4" max="4" width="15.1640625" style="1" customWidth="1"/>
    <col min="5" max="5" width="12.4140625" style="1" bestFit="1" customWidth="1"/>
    <col min="6" max="6" width="11.25" style="1" bestFit="1" customWidth="1"/>
    <col min="7" max="7" width="10.25" style="1" customWidth="1"/>
    <col min="8" max="8" width="13.83203125" style="1" bestFit="1" customWidth="1"/>
    <col min="9" max="9" width="12.4140625" style="1" bestFit="1" customWidth="1"/>
    <col min="10" max="10" width="11.25" style="1" bestFit="1" customWidth="1"/>
    <col min="11" max="11" width="29.4140625" style="1" customWidth="1"/>
    <col min="12" max="12" width="10.4140625" style="1" customWidth="1"/>
    <col min="13" max="13" width="13.1640625" style="1" bestFit="1" customWidth="1"/>
    <col min="14" max="14" width="19" style="1" customWidth="1"/>
    <col min="15" max="15" width="9.83203125" style="1" customWidth="1"/>
    <col min="16" max="16" width="12.1640625" style="1" bestFit="1" customWidth="1"/>
    <col min="17" max="17" width="29.25" style="1" customWidth="1"/>
    <col min="18" max="18" width="9.1640625" style="1"/>
    <col min="19" max="19" width="11.1640625" style="1" customWidth="1"/>
    <col min="20" max="21" width="9.1640625" style="1" customWidth="1"/>
    <col min="22" max="22" width="9.1640625" style="1"/>
    <col min="23" max="23" width="9.25" style="1" bestFit="1" customWidth="1"/>
    <col min="24" max="26" width="9.4140625" style="1" bestFit="1" customWidth="1"/>
    <col min="27" max="27" width="11.1640625" style="1" customWidth="1"/>
    <col min="28" max="28" width="15" style="1" bestFit="1" customWidth="1"/>
    <col min="29" max="29" width="16.25" style="1" bestFit="1" customWidth="1"/>
    <col min="30" max="16384" width="9.1640625" style="1"/>
  </cols>
  <sheetData>
    <row r="1" spans="1:26" s="9" customFormat="1" ht="39" customHeight="1" thickBot="1" x14ac:dyDescent="0.4">
      <c r="A1" s="8"/>
      <c r="B1" s="135" t="s">
        <v>66</v>
      </c>
      <c r="C1" s="128"/>
      <c r="D1" s="128"/>
      <c r="E1" s="129"/>
      <c r="F1" s="130" t="s">
        <v>1</v>
      </c>
      <c r="G1" s="130"/>
      <c r="H1" s="131" t="s">
        <v>67</v>
      </c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3" spans="1:26" ht="18.5" x14ac:dyDescent="0.45">
      <c r="A3" s="91" t="s">
        <v>3</v>
      </c>
      <c r="C3" s="133" t="s">
        <v>68</v>
      </c>
      <c r="D3" s="133"/>
      <c r="E3" s="133"/>
      <c r="F3" s="133"/>
      <c r="H3" s="127"/>
      <c r="I3" s="127"/>
      <c r="J3" s="127"/>
      <c r="K3" s="127"/>
      <c r="L3" s="127"/>
      <c r="M3" s="127"/>
      <c r="N3" s="127"/>
      <c r="O3" s="127"/>
      <c r="P3" s="127"/>
      <c r="Q3" s="139" t="s">
        <v>69</v>
      </c>
    </row>
    <row r="4" spans="1:26" x14ac:dyDescent="0.35">
      <c r="A4" s="138" t="s">
        <v>70</v>
      </c>
      <c r="C4" s="136" t="s">
        <v>71</v>
      </c>
      <c r="D4" s="136"/>
      <c r="E4" s="136"/>
      <c r="F4" s="136"/>
      <c r="H4" s="127"/>
      <c r="I4" s="127"/>
      <c r="J4" s="127"/>
      <c r="K4" s="127"/>
      <c r="L4" s="127"/>
      <c r="M4" s="127"/>
      <c r="N4" s="127"/>
      <c r="O4" s="127"/>
      <c r="P4" s="127"/>
      <c r="Q4" s="139"/>
    </row>
    <row r="5" spans="1:26" x14ac:dyDescent="0.35">
      <c r="A5" s="138"/>
      <c r="C5" s="136"/>
      <c r="D5" s="136"/>
      <c r="E5" s="136"/>
      <c r="F5" s="136"/>
      <c r="H5" s="127"/>
      <c r="I5" s="127"/>
      <c r="J5" s="127"/>
      <c r="K5" s="127"/>
      <c r="L5" s="127"/>
      <c r="M5" s="127"/>
      <c r="N5" s="127"/>
      <c r="O5" s="127"/>
      <c r="P5" s="127"/>
      <c r="Q5" s="139"/>
    </row>
    <row r="6" spans="1:26" ht="18.75" customHeight="1" x14ac:dyDescent="0.35">
      <c r="A6" s="138"/>
      <c r="C6" s="137" t="s">
        <v>72</v>
      </c>
      <c r="D6" s="137"/>
      <c r="E6" s="137"/>
      <c r="F6" s="137"/>
      <c r="H6" s="127"/>
      <c r="I6" s="127"/>
      <c r="J6" s="127"/>
      <c r="K6" s="127"/>
      <c r="L6" s="127"/>
      <c r="M6" s="127"/>
      <c r="N6" s="127"/>
      <c r="O6" s="127"/>
      <c r="P6" s="127"/>
      <c r="Q6" s="139"/>
    </row>
    <row r="7" spans="1:26" ht="18.75" customHeight="1" x14ac:dyDescent="0.35">
      <c r="A7" s="138"/>
      <c r="C7" s="137"/>
      <c r="D7" s="137"/>
      <c r="E7" s="137"/>
      <c r="F7" s="137"/>
      <c r="H7" s="127"/>
      <c r="I7" s="127"/>
      <c r="J7" s="127"/>
      <c r="K7" s="127"/>
      <c r="L7" s="127"/>
      <c r="M7" s="127"/>
      <c r="N7" s="127"/>
      <c r="O7" s="127"/>
      <c r="P7" s="127"/>
      <c r="Q7" s="139"/>
    </row>
    <row r="8" spans="1:26" ht="18.75" customHeight="1" x14ac:dyDescent="0.35">
      <c r="A8" s="138"/>
      <c r="H8" s="127"/>
      <c r="I8" s="127"/>
      <c r="J8" s="127"/>
      <c r="K8" s="127"/>
      <c r="L8" s="127"/>
      <c r="M8" s="127"/>
      <c r="N8" s="127"/>
      <c r="O8" s="127"/>
      <c r="P8" s="127"/>
      <c r="Q8" s="139"/>
    </row>
    <row r="9" spans="1:26" x14ac:dyDescent="0.35">
      <c r="A9" s="138"/>
      <c r="H9" s="127"/>
      <c r="I9" s="127"/>
      <c r="J9" s="127"/>
      <c r="K9" s="127"/>
      <c r="L9" s="127"/>
      <c r="M9" s="127"/>
      <c r="N9" s="127"/>
      <c r="O9" s="127"/>
      <c r="P9" s="127"/>
      <c r="Q9" s="139"/>
    </row>
    <row r="10" spans="1:26" x14ac:dyDescent="0.35">
      <c r="A10" s="138"/>
      <c r="H10" s="127"/>
      <c r="I10" s="127"/>
      <c r="J10" s="127"/>
      <c r="K10" s="127"/>
      <c r="L10" s="127"/>
      <c r="M10" s="127"/>
      <c r="N10" s="127"/>
      <c r="O10" s="127"/>
      <c r="P10" s="127"/>
      <c r="Q10" s="139"/>
    </row>
    <row r="11" spans="1:26" x14ac:dyDescent="0.35">
      <c r="A11" s="138"/>
      <c r="H11" s="127"/>
      <c r="I11" s="127"/>
      <c r="J11" s="127"/>
      <c r="K11" s="127"/>
      <c r="L11" s="127"/>
      <c r="M11" s="127"/>
      <c r="N11" s="127"/>
      <c r="O11" s="127"/>
      <c r="P11" s="127"/>
      <c r="Q11" s="139"/>
    </row>
    <row r="12" spans="1:26" x14ac:dyDescent="0.35">
      <c r="A12" s="138"/>
      <c r="H12" s="127"/>
      <c r="I12" s="127"/>
      <c r="J12" s="127"/>
      <c r="K12" s="127"/>
      <c r="L12" s="127"/>
      <c r="M12" s="127"/>
      <c r="N12" s="127"/>
      <c r="O12" s="127"/>
      <c r="P12" s="127"/>
      <c r="Q12" s="139"/>
    </row>
    <row r="13" spans="1:26" x14ac:dyDescent="0.35">
      <c r="A13" s="138"/>
      <c r="H13" s="127"/>
      <c r="I13" s="127"/>
      <c r="J13" s="127"/>
      <c r="K13" s="127"/>
      <c r="L13" s="127"/>
      <c r="M13" s="127"/>
      <c r="N13" s="127"/>
      <c r="O13" s="127"/>
      <c r="P13" s="127"/>
      <c r="Q13" s="139"/>
    </row>
    <row r="14" spans="1:26" x14ac:dyDescent="0.35">
      <c r="H14" s="127"/>
      <c r="I14" s="127"/>
      <c r="J14" s="127"/>
      <c r="K14" s="127"/>
      <c r="L14" s="127"/>
      <c r="M14" s="127"/>
      <c r="N14" s="127"/>
      <c r="O14" s="127"/>
      <c r="P14" s="127"/>
      <c r="Q14" s="139"/>
    </row>
    <row r="15" spans="1:26" x14ac:dyDescent="0.35">
      <c r="H15" s="127"/>
      <c r="I15" s="127"/>
      <c r="J15" s="127"/>
      <c r="K15" s="127"/>
      <c r="L15" s="127"/>
      <c r="M15" s="127"/>
      <c r="N15" s="127"/>
      <c r="O15" s="127"/>
      <c r="P15" s="127"/>
      <c r="Q15" s="139"/>
    </row>
    <row r="16" spans="1:26" x14ac:dyDescent="0.35">
      <c r="H16" s="127"/>
      <c r="I16" s="127"/>
      <c r="J16" s="127"/>
      <c r="K16" s="127"/>
      <c r="L16" s="127"/>
      <c r="M16" s="127"/>
      <c r="N16" s="127"/>
      <c r="O16" s="127"/>
      <c r="P16" s="127"/>
      <c r="Q16" s="139"/>
    </row>
    <row r="17" spans="1:17" x14ac:dyDescent="0.35">
      <c r="H17" s="127"/>
      <c r="I17" s="127"/>
      <c r="J17" s="127"/>
      <c r="K17" s="127"/>
      <c r="L17" s="127"/>
      <c r="M17" s="127"/>
      <c r="N17" s="127"/>
      <c r="O17" s="127"/>
      <c r="P17" s="127"/>
      <c r="Q17" s="139"/>
    </row>
    <row r="18" spans="1:17" x14ac:dyDescent="0.35">
      <c r="H18" s="127"/>
      <c r="I18" s="127"/>
      <c r="J18" s="127"/>
      <c r="K18" s="127"/>
      <c r="L18" s="127"/>
      <c r="M18" s="127"/>
      <c r="N18" s="127"/>
      <c r="O18" s="127"/>
      <c r="P18" s="127"/>
      <c r="Q18" s="139"/>
    </row>
    <row r="19" spans="1:17" x14ac:dyDescent="0.35">
      <c r="H19" s="127"/>
      <c r="I19" s="127"/>
      <c r="J19" s="127"/>
      <c r="K19" s="127"/>
      <c r="L19" s="127"/>
      <c r="M19" s="127"/>
      <c r="N19" s="127"/>
      <c r="O19" s="127"/>
      <c r="P19" s="127"/>
      <c r="Q19" s="139"/>
    </row>
    <row r="20" spans="1:17" x14ac:dyDescent="0.35">
      <c r="H20" s="127"/>
      <c r="I20" s="127"/>
      <c r="J20" s="127"/>
      <c r="K20" s="127"/>
      <c r="L20" s="127"/>
      <c r="M20" s="127"/>
      <c r="N20" s="127"/>
      <c r="O20" s="127"/>
      <c r="P20" s="127"/>
      <c r="Q20" s="139"/>
    </row>
    <row r="21" spans="1:17" x14ac:dyDescent="0.35">
      <c r="H21" s="127"/>
      <c r="I21" s="127"/>
      <c r="J21" s="127"/>
      <c r="K21" s="127"/>
      <c r="L21" s="127"/>
      <c r="M21" s="127"/>
      <c r="N21" s="127"/>
      <c r="O21" s="127"/>
      <c r="P21" s="127"/>
      <c r="Q21" s="139"/>
    </row>
    <row r="22" spans="1:17" x14ac:dyDescent="0.35">
      <c r="H22" s="127"/>
      <c r="I22" s="127"/>
      <c r="J22" s="127"/>
      <c r="K22" s="127"/>
      <c r="L22" s="127"/>
      <c r="M22" s="127"/>
      <c r="N22" s="127"/>
      <c r="O22" s="127"/>
      <c r="P22" s="127"/>
      <c r="Q22" s="139"/>
    </row>
    <row r="23" spans="1:17" x14ac:dyDescent="0.35">
      <c r="H23" s="127"/>
      <c r="I23" s="127"/>
      <c r="J23" s="127"/>
      <c r="K23" s="127"/>
      <c r="L23" s="127"/>
      <c r="M23" s="127"/>
      <c r="N23" s="127"/>
      <c r="O23" s="127"/>
      <c r="P23" s="127"/>
      <c r="Q23" s="139"/>
    </row>
    <row r="24" spans="1:17" x14ac:dyDescent="0.35">
      <c r="H24" s="127"/>
      <c r="I24" s="127"/>
      <c r="J24" s="127"/>
      <c r="K24" s="127"/>
      <c r="L24" s="127"/>
      <c r="M24" s="127"/>
      <c r="N24" s="127"/>
      <c r="O24" s="127"/>
      <c r="P24" s="127"/>
      <c r="Q24" s="139"/>
    </row>
    <row r="27" spans="1:17" s="37" customFormat="1" ht="15" thickBot="1" x14ac:dyDescent="0.4">
      <c r="A27" s="92"/>
    </row>
    <row r="29" spans="1:17" ht="15" customHeight="1" x14ac:dyDescent="0.45">
      <c r="A29" s="91" t="s">
        <v>22</v>
      </c>
      <c r="D29" s="133" t="s">
        <v>73</v>
      </c>
      <c r="E29" s="133"/>
      <c r="F29" s="133"/>
      <c r="G29" s="133"/>
      <c r="H29" s="133"/>
      <c r="I29" s="133"/>
      <c r="K29" s="127"/>
      <c r="L29" s="127"/>
      <c r="M29" s="127"/>
      <c r="N29" s="127"/>
      <c r="O29" s="139" t="s">
        <v>74</v>
      </c>
      <c r="P29" s="139"/>
    </row>
    <row r="30" spans="1:17" ht="15" customHeight="1" x14ac:dyDescent="0.35">
      <c r="A30" s="138" t="s">
        <v>75</v>
      </c>
      <c r="D30" s="127"/>
      <c r="E30" s="127"/>
      <c r="F30" s="41" t="s">
        <v>76</v>
      </c>
      <c r="G30" s="144" t="s">
        <v>77</v>
      </c>
      <c r="H30" s="145"/>
      <c r="I30" s="146"/>
      <c r="K30" s="127"/>
      <c r="L30" s="127"/>
      <c r="M30" s="127"/>
      <c r="N30" s="127"/>
      <c r="O30" s="139"/>
      <c r="P30" s="139"/>
    </row>
    <row r="31" spans="1:17" ht="15" customHeight="1" x14ac:dyDescent="0.35">
      <c r="A31" s="138"/>
      <c r="D31" s="140" t="s">
        <v>78</v>
      </c>
      <c r="E31" s="140"/>
      <c r="F31" s="28" t="s">
        <v>79</v>
      </c>
      <c r="G31" s="28" t="s">
        <v>80</v>
      </c>
      <c r="H31" s="28" t="s">
        <v>81</v>
      </c>
      <c r="I31" s="28" t="s">
        <v>82</v>
      </c>
      <c r="K31" s="127"/>
      <c r="L31" s="127"/>
      <c r="M31" s="127"/>
      <c r="N31" s="127"/>
      <c r="O31" s="139"/>
      <c r="P31" s="139"/>
    </row>
    <row r="32" spans="1:17" ht="15" customHeight="1" x14ac:dyDescent="0.35">
      <c r="A32" s="138"/>
      <c r="D32" s="140" t="s">
        <v>83</v>
      </c>
      <c r="E32" s="140"/>
      <c r="F32" s="28">
        <v>3.19</v>
      </c>
      <c r="G32" s="66">
        <v>595158.27217094298</v>
      </c>
      <c r="H32" s="67">
        <v>0</v>
      </c>
      <c r="I32" s="66">
        <v>1263599.89527777</v>
      </c>
      <c r="K32" s="127"/>
      <c r="L32" s="127"/>
      <c r="M32" s="127"/>
      <c r="N32" s="127"/>
      <c r="O32" s="139"/>
      <c r="P32" s="139"/>
    </row>
    <row r="33" spans="1:16" ht="15" customHeight="1" x14ac:dyDescent="0.35">
      <c r="A33" s="138"/>
      <c r="K33" s="127"/>
      <c r="L33" s="127"/>
      <c r="M33" s="127"/>
      <c r="N33" s="127"/>
      <c r="O33" s="139"/>
      <c r="P33" s="139"/>
    </row>
    <row r="34" spans="1:16" ht="15" customHeight="1" x14ac:dyDescent="0.35">
      <c r="A34" s="138"/>
      <c r="D34" s="133" t="s">
        <v>84</v>
      </c>
      <c r="E34" s="133"/>
      <c r="F34" s="133"/>
      <c r="G34" s="133"/>
      <c r="K34" s="127"/>
      <c r="L34" s="127"/>
      <c r="M34" s="127"/>
      <c r="N34" s="127"/>
      <c r="O34" s="139"/>
      <c r="P34" s="139"/>
    </row>
    <row r="35" spans="1:16" ht="15" customHeight="1" x14ac:dyDescent="0.35">
      <c r="A35" s="138"/>
      <c r="D35" s="17" t="s">
        <v>85</v>
      </c>
      <c r="E35" s="17" t="s">
        <v>86</v>
      </c>
      <c r="F35" s="17" t="s">
        <v>87</v>
      </c>
      <c r="G35" s="17" t="s">
        <v>88</v>
      </c>
      <c r="K35" s="127"/>
      <c r="L35" s="127"/>
      <c r="M35" s="127"/>
      <c r="N35" s="127"/>
      <c r="O35" s="139"/>
      <c r="P35" s="139"/>
    </row>
    <row r="36" spans="1:16" ht="15" customHeight="1" x14ac:dyDescent="0.35">
      <c r="A36" s="138"/>
      <c r="D36" s="3" t="s">
        <v>89</v>
      </c>
      <c r="E36" s="2" t="s">
        <v>90</v>
      </c>
      <c r="F36" s="123">
        <f>G32</f>
        <v>595158.27217094298</v>
      </c>
      <c r="G36" s="3" t="s">
        <v>91</v>
      </c>
      <c r="K36" s="127"/>
      <c r="L36" s="127"/>
      <c r="M36" s="127"/>
      <c r="N36" s="127"/>
      <c r="O36" s="139"/>
      <c r="P36" s="139"/>
    </row>
    <row r="37" spans="1:16" ht="15" customHeight="1" x14ac:dyDescent="0.35">
      <c r="D37" s="3" t="s">
        <v>92</v>
      </c>
      <c r="E37" s="2" t="s">
        <v>93</v>
      </c>
      <c r="F37" s="19">
        <f>H32</f>
        <v>0</v>
      </c>
      <c r="G37" s="3" t="s">
        <v>94</v>
      </c>
      <c r="K37" s="127"/>
      <c r="L37" s="127"/>
      <c r="M37" s="127"/>
      <c r="N37" s="127"/>
      <c r="O37" s="139"/>
      <c r="P37" s="139"/>
    </row>
    <row r="38" spans="1:16" ht="15" customHeight="1" x14ac:dyDescent="0.35">
      <c r="D38" s="3" t="s">
        <v>95</v>
      </c>
      <c r="E38" s="2" t="s">
        <v>96</v>
      </c>
      <c r="F38" s="123">
        <f>I32</f>
        <v>1263599.89527777</v>
      </c>
      <c r="G38" s="3" t="s">
        <v>94</v>
      </c>
      <c r="K38" s="127"/>
      <c r="L38" s="127"/>
      <c r="M38" s="127"/>
      <c r="N38" s="127"/>
      <c r="O38" s="139"/>
      <c r="P38" s="139"/>
    </row>
    <row r="39" spans="1:16" ht="15" customHeight="1" x14ac:dyDescent="0.35">
      <c r="K39" s="127"/>
      <c r="L39" s="127"/>
      <c r="M39" s="127"/>
      <c r="N39" s="127"/>
      <c r="O39" s="139"/>
      <c r="P39" s="139"/>
    </row>
    <row r="40" spans="1:16" ht="15" customHeight="1" x14ac:dyDescent="0.35">
      <c r="K40" s="127"/>
      <c r="L40" s="127"/>
      <c r="M40" s="127"/>
      <c r="N40" s="127"/>
      <c r="O40" s="139"/>
      <c r="P40" s="139"/>
    </row>
    <row r="41" spans="1:16" ht="15" customHeight="1" x14ac:dyDescent="0.35">
      <c r="K41" s="127"/>
      <c r="L41" s="127"/>
      <c r="M41" s="127"/>
      <c r="N41" s="127"/>
      <c r="O41" s="139"/>
      <c r="P41" s="139"/>
    </row>
    <row r="42" spans="1:16" ht="15" customHeight="1" x14ac:dyDescent="0.35">
      <c r="C42" s="141" t="s">
        <v>97</v>
      </c>
      <c r="D42" s="142"/>
      <c r="E42" s="142"/>
      <c r="F42" s="142"/>
      <c r="G42" s="142"/>
      <c r="H42" s="142"/>
      <c r="I42" s="143"/>
      <c r="K42" s="127"/>
      <c r="L42" s="127"/>
      <c r="M42" s="127"/>
      <c r="N42" s="127"/>
      <c r="O42" s="139"/>
      <c r="P42" s="139"/>
    </row>
    <row r="43" spans="1:16" ht="15" customHeight="1" x14ac:dyDescent="0.35">
      <c r="C43" s="3" t="s">
        <v>98</v>
      </c>
      <c r="D43" s="44" t="s">
        <v>99</v>
      </c>
      <c r="E43" s="44" t="s">
        <v>100</v>
      </c>
      <c r="F43" s="44" t="s">
        <v>101</v>
      </c>
      <c r="G43" s="44" t="s">
        <v>102</v>
      </c>
      <c r="H43" s="12" t="s">
        <v>103</v>
      </c>
      <c r="I43" s="3" t="s">
        <v>104</v>
      </c>
      <c r="K43" s="127"/>
      <c r="L43" s="127"/>
      <c r="M43" s="127"/>
      <c r="N43" s="127"/>
      <c r="O43" s="139"/>
      <c r="P43" s="139"/>
    </row>
    <row r="44" spans="1:16" ht="15" customHeight="1" x14ac:dyDescent="0.35">
      <c r="C44" s="47">
        <v>180</v>
      </c>
      <c r="D44" s="48">
        <v>0</v>
      </c>
      <c r="E44" s="49">
        <f>$H$32*COS(C44/57.3)/PI()/$F$32</f>
        <v>0</v>
      </c>
      <c r="F44" s="49">
        <f t="shared" ref="F44:F80" si="0">($I$32+$H$32*$F$32)/(2*PI()*$F$32^2)</f>
        <v>19762.79413762231</v>
      </c>
      <c r="G44" s="50">
        <f>D44+E44+F44</f>
        <v>19762.79413762231</v>
      </c>
      <c r="H44" s="42">
        <f>IF((G44+I44)&lt;I44,ABS(G44)+I44,G44+I44)</f>
        <v>1519762.7941376222</v>
      </c>
      <c r="I44" s="39">
        <v>1500000</v>
      </c>
      <c r="K44" s="127"/>
      <c r="L44" s="127"/>
      <c r="M44" s="127"/>
      <c r="N44" s="127"/>
      <c r="O44" s="139"/>
      <c r="P44" s="139"/>
    </row>
    <row r="45" spans="1:16" ht="15" customHeight="1" x14ac:dyDescent="0.35">
      <c r="C45" s="51">
        <v>170</v>
      </c>
      <c r="D45" s="45">
        <f t="shared" ref="D45:D80" si="1">$G$32*SIN(C45/57.3)/PI()/$F$32</f>
        <v>10325.238078714408</v>
      </c>
      <c r="E45" s="38">
        <f t="shared" ref="E45:E80" si="2">$H$32*COS(C45/57.3)/PI()/$F$32</f>
        <v>0</v>
      </c>
      <c r="F45" s="38">
        <f t="shared" si="0"/>
        <v>19762.79413762231</v>
      </c>
      <c r="G45" s="52">
        <f t="shared" ref="G45:G80" si="3">D45+E45+F45</f>
        <v>30088.032216336716</v>
      </c>
      <c r="H45" s="42">
        <f t="shared" ref="H45:H80" si="4">IF((G45+I45)&lt;I45,ABS(G45)+I45,G45+I45)</f>
        <v>1530088.0322163368</v>
      </c>
      <c r="I45" s="39">
        <v>1500000</v>
      </c>
      <c r="K45" s="127"/>
      <c r="L45" s="127"/>
      <c r="M45" s="127"/>
      <c r="N45" s="127"/>
      <c r="O45" s="139"/>
      <c r="P45" s="139"/>
    </row>
    <row r="46" spans="1:16" ht="15" customHeight="1" x14ac:dyDescent="0.35">
      <c r="C46" s="51">
        <v>160</v>
      </c>
      <c r="D46" s="45">
        <f>$G$32*SIN(C46/57.3)/PI()/$F$32</f>
        <v>20323.053126896983</v>
      </c>
      <c r="E46" s="38">
        <f t="shared" si="2"/>
        <v>0</v>
      </c>
      <c r="F46" s="38">
        <f>($I$32+$H$32*$F$32)/(2*PI()*$F$32^2)</f>
        <v>19762.79413762231</v>
      </c>
      <c r="G46" s="52">
        <f t="shared" si="3"/>
        <v>40085.847264519296</v>
      </c>
      <c r="H46" s="42">
        <f t="shared" si="4"/>
        <v>1540085.8472645192</v>
      </c>
      <c r="I46" s="39">
        <v>1500000</v>
      </c>
      <c r="K46" s="127"/>
      <c r="L46" s="127"/>
      <c r="M46" s="127"/>
      <c r="N46" s="127"/>
      <c r="O46" s="139"/>
      <c r="P46" s="139"/>
    </row>
    <row r="47" spans="1:16" ht="15" customHeight="1" x14ac:dyDescent="0.35">
      <c r="C47" s="51">
        <v>150</v>
      </c>
      <c r="D47" s="45">
        <f t="shared" si="1"/>
        <v>29703.453221396772</v>
      </c>
      <c r="E47" s="38">
        <f t="shared" si="2"/>
        <v>0</v>
      </c>
      <c r="F47" s="38">
        <f>($I$32+$H$32*$F$32)/(2*PI()*$F$32^2)</f>
        <v>19762.79413762231</v>
      </c>
      <c r="G47" s="52">
        <f t="shared" si="3"/>
        <v>49466.247359019078</v>
      </c>
      <c r="H47" s="42">
        <f t="shared" si="4"/>
        <v>1549466.247359019</v>
      </c>
      <c r="I47" s="39">
        <v>1500000</v>
      </c>
      <c r="K47" s="127"/>
      <c r="L47" s="127"/>
      <c r="M47" s="127"/>
      <c r="N47" s="127"/>
      <c r="O47" s="139"/>
      <c r="P47" s="139"/>
    </row>
    <row r="48" spans="1:16" ht="15" customHeight="1" x14ac:dyDescent="0.35">
      <c r="C48" s="51">
        <v>140</v>
      </c>
      <c r="D48" s="45">
        <f t="shared" si="1"/>
        <v>38181.461530548389</v>
      </c>
      <c r="E48" s="38">
        <f t="shared" si="2"/>
        <v>0</v>
      </c>
      <c r="F48" s="38">
        <f t="shared" si="0"/>
        <v>19762.79413762231</v>
      </c>
      <c r="G48" s="52">
        <f t="shared" si="3"/>
        <v>57944.255668170699</v>
      </c>
      <c r="H48" s="42">
        <f t="shared" si="4"/>
        <v>1557944.2556681708</v>
      </c>
      <c r="I48" s="39">
        <v>1500000</v>
      </c>
      <c r="K48" s="127"/>
      <c r="L48" s="127"/>
      <c r="M48" s="127"/>
      <c r="N48" s="127"/>
      <c r="O48" s="139"/>
      <c r="P48" s="139"/>
    </row>
    <row r="49" spans="3:16" ht="15" customHeight="1" x14ac:dyDescent="0.35">
      <c r="C49" s="51">
        <v>130</v>
      </c>
      <c r="D49" s="45">
        <f t="shared" si="1"/>
        <v>45499.515911752816</v>
      </c>
      <c r="E49" s="38">
        <f t="shared" si="2"/>
        <v>0</v>
      </c>
      <c r="F49" s="38">
        <f t="shared" si="0"/>
        <v>19762.79413762231</v>
      </c>
      <c r="G49" s="52">
        <f t="shared" si="3"/>
        <v>65262.310049375126</v>
      </c>
      <c r="H49" s="42">
        <f t="shared" si="4"/>
        <v>1565262.3100493751</v>
      </c>
      <c r="I49" s="39">
        <v>1500000</v>
      </c>
      <c r="K49" s="127"/>
      <c r="L49" s="127"/>
      <c r="M49" s="127"/>
      <c r="N49" s="127"/>
      <c r="O49" s="139"/>
      <c r="P49" s="139"/>
    </row>
    <row r="50" spans="3:16" ht="15" customHeight="1" x14ac:dyDescent="0.35">
      <c r="C50" s="51">
        <v>120</v>
      </c>
      <c r="D50" s="45">
        <f t="shared" si="1"/>
        <v>51435.29365696969</v>
      </c>
      <c r="E50" s="38">
        <f t="shared" si="2"/>
        <v>0</v>
      </c>
      <c r="F50" s="38">
        <f t="shared" si="0"/>
        <v>19762.79413762231</v>
      </c>
      <c r="G50" s="52">
        <f>D50+E50+F50</f>
        <v>71198.087794591993</v>
      </c>
      <c r="H50" s="42">
        <f t="shared" si="4"/>
        <v>1571198.0877945919</v>
      </c>
      <c r="I50" s="39">
        <v>1500000</v>
      </c>
      <c r="O50" s="76"/>
      <c r="P50" s="76"/>
    </row>
    <row r="51" spans="3:16" x14ac:dyDescent="0.35">
      <c r="C51" s="51">
        <v>110</v>
      </c>
      <c r="D51" s="45">
        <f t="shared" si="1"/>
        <v>55808.465663147901</v>
      </c>
      <c r="E51" s="38">
        <f t="shared" si="2"/>
        <v>0</v>
      </c>
      <c r="F51" s="38">
        <f t="shared" si="0"/>
        <v>19762.79413762231</v>
      </c>
      <c r="G51" s="52">
        <f t="shared" si="3"/>
        <v>75571.259800770204</v>
      </c>
      <c r="H51" s="42">
        <f t="shared" si="4"/>
        <v>1575571.2598007703</v>
      </c>
      <c r="I51" s="39">
        <v>1500000</v>
      </c>
    </row>
    <row r="52" spans="3:16" x14ac:dyDescent="0.35">
      <c r="C52" s="51">
        <v>100</v>
      </c>
      <c r="D52" s="45">
        <f t="shared" si="1"/>
        <v>58486.174835697238</v>
      </c>
      <c r="E52" s="38">
        <f t="shared" si="2"/>
        <v>0</v>
      </c>
      <c r="F52" s="38">
        <f t="shared" si="0"/>
        <v>19762.79413762231</v>
      </c>
      <c r="G52" s="52">
        <f t="shared" si="3"/>
        <v>78248.968973319541</v>
      </c>
      <c r="H52" s="42">
        <f t="shared" si="4"/>
        <v>1578248.9689733195</v>
      </c>
      <c r="I52" s="39">
        <v>1500000</v>
      </c>
    </row>
    <row r="53" spans="3:16" x14ac:dyDescent="0.35">
      <c r="C53" s="51">
        <v>90</v>
      </c>
      <c r="D53" s="45">
        <f t="shared" si="1"/>
        <v>59387.072290942495</v>
      </c>
      <c r="E53" s="38">
        <f t="shared" si="2"/>
        <v>0</v>
      </c>
      <c r="F53" s="38">
        <f t="shared" si="0"/>
        <v>19762.79413762231</v>
      </c>
      <c r="G53" s="52">
        <f t="shared" si="3"/>
        <v>79149.866428564797</v>
      </c>
      <c r="H53" s="42">
        <f>IF((G53+I53)&lt;I53,ABS(G53)+I53,G53+I53)</f>
        <v>1579149.8664285648</v>
      </c>
      <c r="I53" s="39">
        <v>1500000</v>
      </c>
    </row>
    <row r="54" spans="3:16" x14ac:dyDescent="0.35">
      <c r="C54" s="51">
        <v>80</v>
      </c>
      <c r="D54" s="45">
        <f t="shared" si="1"/>
        <v>58483.788737609852</v>
      </c>
      <c r="E54" s="38">
        <f t="shared" si="2"/>
        <v>0</v>
      </c>
      <c r="F54" s="38">
        <f t="shared" si="0"/>
        <v>19762.79413762231</v>
      </c>
      <c r="G54" s="52">
        <f t="shared" si="3"/>
        <v>78246.582875232154</v>
      </c>
      <c r="H54" s="42">
        <f t="shared" si="4"/>
        <v>1578246.5828752322</v>
      </c>
      <c r="I54" s="39">
        <v>1500000</v>
      </c>
    </row>
    <row r="55" spans="3:16" x14ac:dyDescent="0.35">
      <c r="C55" s="51">
        <v>70</v>
      </c>
      <c r="D55" s="45">
        <f t="shared" si="1"/>
        <v>55803.765956703442</v>
      </c>
      <c r="E55" s="38">
        <f t="shared" si="2"/>
        <v>0</v>
      </c>
      <c r="F55" s="38">
        <f t="shared" si="0"/>
        <v>19762.79413762231</v>
      </c>
      <c r="G55" s="52">
        <f t="shared" si="3"/>
        <v>75566.560094325745</v>
      </c>
      <c r="H55" s="42">
        <f t="shared" si="4"/>
        <v>1575566.5600943258</v>
      </c>
      <c r="I55" s="39">
        <v>1500000</v>
      </c>
    </row>
    <row r="56" spans="3:16" x14ac:dyDescent="0.35">
      <c r="C56" s="51">
        <v>60</v>
      </c>
      <c r="D56" s="45">
        <f t="shared" si="1"/>
        <v>51428.423119388615</v>
      </c>
      <c r="E56" s="38">
        <f t="shared" si="2"/>
        <v>0</v>
      </c>
      <c r="F56" s="38">
        <f t="shared" si="0"/>
        <v>19762.79413762231</v>
      </c>
      <c r="G56" s="52">
        <f t="shared" si="3"/>
        <v>71191.217257010925</v>
      </c>
      <c r="H56" s="42">
        <f t="shared" si="4"/>
        <v>1571191.217257011</v>
      </c>
      <c r="I56" s="39">
        <v>1500000</v>
      </c>
    </row>
    <row r="57" spans="3:16" x14ac:dyDescent="0.35">
      <c r="C57" s="51">
        <v>50</v>
      </c>
      <c r="D57" s="45">
        <f t="shared" si="1"/>
        <v>45490.683270169568</v>
      </c>
      <c r="E57" s="38">
        <f t="shared" si="2"/>
        <v>0</v>
      </c>
      <c r="F57" s="122">
        <f>($I$32+$H$32*$F$32)/(2*PI()*$F$32^2)</f>
        <v>19762.79413762231</v>
      </c>
      <c r="G57" s="52">
        <f t="shared" si="3"/>
        <v>65253.477407791877</v>
      </c>
      <c r="H57" s="42">
        <f t="shared" si="4"/>
        <v>1565253.4774077919</v>
      </c>
      <c r="I57" s="39">
        <v>1500000</v>
      </c>
    </row>
    <row r="58" spans="3:16" x14ac:dyDescent="0.35">
      <c r="C58" s="51">
        <v>40</v>
      </c>
      <c r="D58" s="45">
        <f t="shared" si="1"/>
        <v>38170.935120874914</v>
      </c>
      <c r="E58" s="38">
        <f t="shared" si="2"/>
        <v>0</v>
      </c>
      <c r="F58" s="38">
        <f t="shared" si="0"/>
        <v>19762.79413762231</v>
      </c>
      <c r="G58" s="52">
        <f t="shared" si="3"/>
        <v>57933.729258497224</v>
      </c>
      <c r="H58" s="42">
        <f t="shared" si="4"/>
        <v>1557933.7292584972</v>
      </c>
      <c r="I58" s="39">
        <v>1500000</v>
      </c>
    </row>
    <row r="59" spans="3:16" x14ac:dyDescent="0.35">
      <c r="C59" s="51">
        <v>30</v>
      </c>
      <c r="D59" s="45">
        <f t="shared" si="1"/>
        <v>29691.552836269555</v>
      </c>
      <c r="E59" s="38">
        <f t="shared" si="2"/>
        <v>0</v>
      </c>
      <c r="F59" s="38">
        <f t="shared" si="0"/>
        <v>19762.79413762231</v>
      </c>
      <c r="G59" s="52">
        <f t="shared" si="3"/>
        <v>49454.346973891865</v>
      </c>
      <c r="H59" s="42">
        <f t="shared" si="4"/>
        <v>1549454.3469738918</v>
      </c>
      <c r="I59" s="39">
        <v>1500000</v>
      </c>
    </row>
    <row r="60" spans="3:16" x14ac:dyDescent="0.35">
      <c r="C60" s="51">
        <v>20</v>
      </c>
      <c r="D60" s="45">
        <f t="shared" si="1"/>
        <v>20310.140300367319</v>
      </c>
      <c r="E60" s="38">
        <f t="shared" si="2"/>
        <v>0</v>
      </c>
      <c r="F60" s="38">
        <f t="shared" si="0"/>
        <v>19762.79413762231</v>
      </c>
      <c r="G60" s="52">
        <f t="shared" si="3"/>
        <v>40072.934437989628</v>
      </c>
      <c r="H60" s="42">
        <f t="shared" si="4"/>
        <v>1540072.9344379897</v>
      </c>
      <c r="I60" s="39">
        <v>1500000</v>
      </c>
    </row>
    <row r="61" spans="3:16" x14ac:dyDescent="0.35">
      <c r="C61" s="51">
        <v>10</v>
      </c>
      <c r="D61" s="45">
        <f t="shared" si="1"/>
        <v>10311.705102833326</v>
      </c>
      <c r="E61" s="38">
        <f t="shared" si="2"/>
        <v>0</v>
      </c>
      <c r="F61" s="38">
        <f t="shared" si="0"/>
        <v>19762.79413762231</v>
      </c>
      <c r="G61" s="52">
        <f t="shared" si="3"/>
        <v>30074.499240455636</v>
      </c>
      <c r="H61" s="42">
        <f t="shared" si="4"/>
        <v>1530074.4992404557</v>
      </c>
      <c r="I61" s="39">
        <v>1500000</v>
      </c>
    </row>
    <row r="62" spans="3:16" x14ac:dyDescent="0.35">
      <c r="C62" s="51">
        <v>0</v>
      </c>
      <c r="D62" s="45">
        <f t="shared" si="1"/>
        <v>0</v>
      </c>
      <c r="E62" s="38">
        <f t="shared" si="2"/>
        <v>0</v>
      </c>
      <c r="F62" s="38">
        <f t="shared" si="0"/>
        <v>19762.79413762231</v>
      </c>
      <c r="G62" s="52">
        <f t="shared" si="3"/>
        <v>19762.79413762231</v>
      </c>
      <c r="H62" s="42">
        <f t="shared" si="4"/>
        <v>1519762.7941376222</v>
      </c>
      <c r="I62" s="39">
        <v>1500000</v>
      </c>
    </row>
    <row r="63" spans="3:16" x14ac:dyDescent="0.35">
      <c r="C63" s="51">
        <v>350</v>
      </c>
      <c r="D63" s="45">
        <f t="shared" si="1"/>
        <v>-10338.770501734825</v>
      </c>
      <c r="E63" s="38">
        <f t="shared" si="2"/>
        <v>0</v>
      </c>
      <c r="F63" s="38">
        <f t="shared" si="0"/>
        <v>19762.79413762231</v>
      </c>
      <c r="G63" s="52">
        <f t="shared" si="3"/>
        <v>9424.0236358874845</v>
      </c>
      <c r="H63" s="42">
        <f t="shared" si="4"/>
        <v>1509424.0236358875</v>
      </c>
      <c r="I63" s="39">
        <v>1500000</v>
      </c>
    </row>
    <row r="64" spans="3:16" x14ac:dyDescent="0.35">
      <c r="C64" s="51">
        <v>340</v>
      </c>
      <c r="D64" s="45">
        <f t="shared" si="1"/>
        <v>-20335.964865237045</v>
      </c>
      <c r="E64" s="38">
        <f t="shared" si="2"/>
        <v>0</v>
      </c>
      <c r="F64" s="38">
        <f t="shared" si="0"/>
        <v>19762.79413762231</v>
      </c>
      <c r="G64" s="52">
        <f t="shared" si="3"/>
        <v>-573.17072761473537</v>
      </c>
      <c r="H64" s="42">
        <f t="shared" si="4"/>
        <v>1500573.1707276148</v>
      </c>
      <c r="I64" s="39">
        <v>1500000</v>
      </c>
    </row>
    <row r="65" spans="3:9" x14ac:dyDescent="0.35">
      <c r="C65" s="51">
        <v>330</v>
      </c>
      <c r="D65" s="45">
        <f t="shared" si="1"/>
        <v>-29715.352016064728</v>
      </c>
      <c r="E65" s="38">
        <f t="shared" si="2"/>
        <v>0</v>
      </c>
      <c r="F65" s="38">
        <f t="shared" si="0"/>
        <v>19762.79413762231</v>
      </c>
      <c r="G65" s="52">
        <f t="shared" si="3"/>
        <v>-9952.5578784424179</v>
      </c>
      <c r="H65" s="42">
        <f t="shared" si="4"/>
        <v>1509952.5578784423</v>
      </c>
      <c r="I65" s="39">
        <v>1500000</v>
      </c>
    </row>
    <row r="66" spans="3:9" x14ac:dyDescent="0.35">
      <c r="C66" s="51">
        <v>320</v>
      </c>
      <c r="D66" s="45">
        <f t="shared" si="1"/>
        <v>-38191.985895811093</v>
      </c>
      <c r="E66" s="38">
        <f t="shared" si="2"/>
        <v>0</v>
      </c>
      <c r="F66" s="38">
        <f t="shared" si="0"/>
        <v>19762.79413762231</v>
      </c>
      <c r="G66" s="52">
        <f t="shared" si="3"/>
        <v>-18429.191758188783</v>
      </c>
      <c r="H66" s="42">
        <f t="shared" si="4"/>
        <v>1518429.1917581889</v>
      </c>
      <c r="I66" s="39">
        <v>1500000</v>
      </c>
    </row>
    <row r="67" spans="3:9" x14ac:dyDescent="0.35">
      <c r="C67" s="51">
        <v>310</v>
      </c>
      <c r="D67" s="45">
        <f t="shared" si="1"/>
        <v>-45508.346117083027</v>
      </c>
      <c r="E67" s="38">
        <f t="shared" si="2"/>
        <v>0</v>
      </c>
      <c r="F67" s="38">
        <f t="shared" si="0"/>
        <v>19762.79413762231</v>
      </c>
      <c r="G67" s="52">
        <f t="shared" si="3"/>
        <v>-25745.551979460717</v>
      </c>
      <c r="H67" s="42">
        <f t="shared" si="4"/>
        <v>1525745.5519794608</v>
      </c>
      <c r="I67" s="39">
        <v>1500000</v>
      </c>
    </row>
    <row r="68" spans="3:9" x14ac:dyDescent="0.35">
      <c r="C68" s="51">
        <v>300</v>
      </c>
      <c r="D68" s="45">
        <f t="shared" si="1"/>
        <v>-51442.161440468917</v>
      </c>
      <c r="E68" s="38">
        <f t="shared" si="2"/>
        <v>0</v>
      </c>
      <c r="F68" s="38">
        <f t="shared" si="0"/>
        <v>19762.79413762231</v>
      </c>
      <c r="G68" s="52">
        <f t="shared" si="3"/>
        <v>-31679.367302846607</v>
      </c>
      <c r="H68" s="42">
        <f t="shared" si="4"/>
        <v>1531679.3673028466</v>
      </c>
      <c r="I68" s="39">
        <v>1500000</v>
      </c>
    </row>
    <row r="69" spans="3:9" x14ac:dyDescent="0.35">
      <c r="C69" s="51">
        <v>290</v>
      </c>
      <c r="D69" s="45">
        <f t="shared" si="1"/>
        <v>-55813.162381350798</v>
      </c>
      <c r="E69" s="38">
        <f t="shared" si="2"/>
        <v>0</v>
      </c>
      <c r="F69" s="38">
        <f t="shared" si="0"/>
        <v>19762.79413762231</v>
      </c>
      <c r="G69" s="52">
        <f t="shared" si="3"/>
        <v>-36050.368243728488</v>
      </c>
      <c r="H69" s="42">
        <f t="shared" si="4"/>
        <v>1536050.3682437285</v>
      </c>
      <c r="I69" s="39">
        <v>1500000</v>
      </c>
    </row>
    <row r="70" spans="3:9" x14ac:dyDescent="0.35">
      <c r="C70" s="53">
        <v>280</v>
      </c>
      <c r="D70" s="46">
        <f t="shared" si="1"/>
        <v>-58488.557802166222</v>
      </c>
      <c r="E70" s="1">
        <f t="shared" si="2"/>
        <v>0</v>
      </c>
      <c r="F70" s="1">
        <f t="shared" si="0"/>
        <v>19762.79413762231</v>
      </c>
      <c r="G70" s="54">
        <f t="shared" si="3"/>
        <v>-38725.763664543912</v>
      </c>
      <c r="H70" s="43">
        <f t="shared" si="4"/>
        <v>1538725.7636645439</v>
      </c>
      <c r="I70" s="39">
        <v>1500000</v>
      </c>
    </row>
    <row r="71" spans="3:9" x14ac:dyDescent="0.35">
      <c r="C71" s="53">
        <v>270</v>
      </c>
      <c r="D71" s="46">
        <f t="shared" si="1"/>
        <v>-59387.069111085919</v>
      </c>
      <c r="E71" s="1">
        <f t="shared" si="2"/>
        <v>0</v>
      </c>
      <c r="F71" s="1">
        <f t="shared" si="0"/>
        <v>19762.79413762231</v>
      </c>
      <c r="G71" s="54">
        <f t="shared" si="3"/>
        <v>-39624.274973463609</v>
      </c>
      <c r="H71" s="43">
        <f t="shared" si="4"/>
        <v>1539624.2749734635</v>
      </c>
      <c r="I71" s="39">
        <v>1500000</v>
      </c>
    </row>
    <row r="72" spans="3:9" x14ac:dyDescent="0.35">
      <c r="C72" s="53">
        <v>260</v>
      </c>
      <c r="D72" s="46">
        <f t="shared" si="1"/>
        <v>-58481.399508031849</v>
      </c>
      <c r="E72" s="1">
        <f t="shared" si="2"/>
        <v>0</v>
      </c>
      <c r="F72" s="1">
        <f t="shared" si="0"/>
        <v>19762.79413762231</v>
      </c>
      <c r="G72" s="54">
        <f t="shared" si="3"/>
        <v>-38718.605370409539</v>
      </c>
      <c r="H72" s="43">
        <f t="shared" si="4"/>
        <v>1538718.6053704096</v>
      </c>
      <c r="I72" s="39">
        <v>1500000</v>
      </c>
    </row>
    <row r="73" spans="3:9" x14ac:dyDescent="0.35">
      <c r="C73" s="53">
        <v>250</v>
      </c>
      <c r="D73" s="46">
        <f t="shared" si="1"/>
        <v>-55799.06326226909</v>
      </c>
      <c r="E73" s="1">
        <f t="shared" si="2"/>
        <v>0</v>
      </c>
      <c r="F73" s="1">
        <f t="shared" si="0"/>
        <v>19762.79413762231</v>
      </c>
      <c r="G73" s="54">
        <f t="shared" si="3"/>
        <v>-36036.26912464678</v>
      </c>
      <c r="H73" s="43">
        <f t="shared" si="4"/>
        <v>1536036.2691246467</v>
      </c>
      <c r="I73" s="39">
        <v>1500000</v>
      </c>
    </row>
    <row r="74" spans="3:9" x14ac:dyDescent="0.35">
      <c r="C74" s="53">
        <v>240</v>
      </c>
      <c r="D74" s="46">
        <f t="shared" si="1"/>
        <v>-51421.549828093594</v>
      </c>
      <c r="E74" s="1">
        <f t="shared" si="2"/>
        <v>0</v>
      </c>
      <c r="F74" s="1">
        <f t="shared" si="0"/>
        <v>19762.79413762231</v>
      </c>
      <c r="G74" s="54">
        <f t="shared" si="3"/>
        <v>-31658.755690471284</v>
      </c>
      <c r="H74" s="43">
        <f t="shared" si="4"/>
        <v>1531658.7556904713</v>
      </c>
      <c r="I74" s="39">
        <v>1500000</v>
      </c>
    </row>
    <row r="75" spans="3:9" x14ac:dyDescent="0.35">
      <c r="C75" s="53">
        <v>230</v>
      </c>
      <c r="D75" s="46">
        <f t="shared" si="1"/>
        <v>-45481.848192806232</v>
      </c>
      <c r="E75" s="1">
        <f t="shared" si="2"/>
        <v>0</v>
      </c>
      <c r="F75" s="1">
        <f t="shared" si="0"/>
        <v>19762.79413762231</v>
      </c>
      <c r="G75" s="54">
        <f t="shared" si="3"/>
        <v>-25719.054055183922</v>
      </c>
      <c r="H75" s="43">
        <f t="shared" si="4"/>
        <v>1525719.0540551839</v>
      </c>
      <c r="I75" s="39">
        <v>1500000</v>
      </c>
    </row>
    <row r="76" spans="3:9" x14ac:dyDescent="0.35">
      <c r="C76" s="53">
        <v>220</v>
      </c>
      <c r="D76" s="46">
        <f t="shared" si="1"/>
        <v>-38160.406667354284</v>
      </c>
      <c r="E76" s="1">
        <f t="shared" si="2"/>
        <v>0</v>
      </c>
      <c r="F76" s="1">
        <f t="shared" si="0"/>
        <v>19762.79413762231</v>
      </c>
      <c r="G76" s="54">
        <f t="shared" si="3"/>
        <v>-18397.612529731974</v>
      </c>
      <c r="H76" s="43">
        <f t="shared" si="4"/>
        <v>1518397.6125297321</v>
      </c>
      <c r="I76" s="39">
        <v>1500000</v>
      </c>
    </row>
    <row r="77" spans="3:9" x14ac:dyDescent="0.35">
      <c r="C77" s="53">
        <v>210</v>
      </c>
      <c r="D77" s="46">
        <f t="shared" si="1"/>
        <v>-29679.650861320239</v>
      </c>
      <c r="E77" s="1">
        <f t="shared" si="2"/>
        <v>0</v>
      </c>
      <c r="F77" s="1">
        <f t="shared" si="0"/>
        <v>19762.79413762231</v>
      </c>
      <c r="G77" s="54">
        <f t="shared" si="3"/>
        <v>-9916.8567236979288</v>
      </c>
      <c r="H77" s="43">
        <f t="shared" si="4"/>
        <v>1509916.8567236979</v>
      </c>
      <c r="I77" s="39">
        <v>1500000</v>
      </c>
    </row>
    <row r="78" spans="3:9" x14ac:dyDescent="0.35">
      <c r="C78" s="53">
        <v>200</v>
      </c>
      <c r="D78" s="46">
        <f t="shared" si="1"/>
        <v>-20297.226386339476</v>
      </c>
      <c r="E78" s="1">
        <f t="shared" si="2"/>
        <v>0</v>
      </c>
      <c r="F78" s="1">
        <f t="shared" si="0"/>
        <v>19762.79413762231</v>
      </c>
      <c r="G78" s="54">
        <f t="shared" si="3"/>
        <v>-534.43224871716666</v>
      </c>
      <c r="H78" s="43">
        <f t="shared" si="4"/>
        <v>1500534.4322487172</v>
      </c>
      <c r="I78" s="39">
        <v>1500000</v>
      </c>
    </row>
    <row r="79" spans="3:9" x14ac:dyDescent="0.35">
      <c r="C79" s="53">
        <v>190</v>
      </c>
      <c r="D79" s="46">
        <f t="shared" si="1"/>
        <v>-10298.171574816202</v>
      </c>
      <c r="E79" s="1">
        <f t="shared" si="2"/>
        <v>0</v>
      </c>
      <c r="F79" s="1">
        <f t="shared" si="0"/>
        <v>19762.79413762231</v>
      </c>
      <c r="G79" s="54">
        <f t="shared" si="3"/>
        <v>9464.6225628061075</v>
      </c>
      <c r="H79" s="43">
        <f t="shared" si="4"/>
        <v>1509464.6225628061</v>
      </c>
      <c r="I79" s="39">
        <v>1500000</v>
      </c>
    </row>
    <row r="80" spans="3:9" x14ac:dyDescent="0.35">
      <c r="C80" s="55">
        <v>180</v>
      </c>
      <c r="D80" s="56">
        <f t="shared" si="1"/>
        <v>13.741993025913709</v>
      </c>
      <c r="E80" s="57">
        <f t="shared" si="2"/>
        <v>0</v>
      </c>
      <c r="F80" s="57">
        <f t="shared" si="0"/>
        <v>19762.79413762231</v>
      </c>
      <c r="G80" s="58">
        <f t="shared" si="3"/>
        <v>19776.536130648223</v>
      </c>
      <c r="H80" s="40">
        <f t="shared" si="4"/>
        <v>1519776.5361306481</v>
      </c>
      <c r="I80" s="39">
        <v>1500000</v>
      </c>
    </row>
    <row r="82" spans="1:8" x14ac:dyDescent="0.35">
      <c r="C82" s="147" t="s">
        <v>105</v>
      </c>
      <c r="D82" s="147"/>
      <c r="E82" s="147"/>
      <c r="F82" s="147"/>
    </row>
    <row r="83" spans="1:8" x14ac:dyDescent="0.35">
      <c r="C83" s="148" t="s">
        <v>106</v>
      </c>
      <c r="D83" s="149"/>
      <c r="E83" s="23">
        <f>IF(MAX(G44:G80)&lt;ABS(MIN(G44:G80)),MIN(G44:G80),MAX(G44:G80))</f>
        <v>79149.866428564797</v>
      </c>
      <c r="F83" s="3" t="s">
        <v>107</v>
      </c>
    </row>
    <row r="84" spans="1:8" x14ac:dyDescent="0.35">
      <c r="C84" s="3" t="s">
        <v>63</v>
      </c>
      <c r="D84" s="3"/>
      <c r="E84" s="25">
        <f>'Material Property'!D42</f>
        <v>262.69437248127974</v>
      </c>
      <c r="F84" s="3" t="s">
        <v>108</v>
      </c>
    </row>
    <row r="85" spans="1:8" x14ac:dyDescent="0.35">
      <c r="C85" s="3" t="s">
        <v>109</v>
      </c>
      <c r="D85" s="3"/>
      <c r="E85" s="26">
        <f>ABS(E83/(E84*10^6))</f>
        <v>3.0130019794849321E-4</v>
      </c>
      <c r="F85" s="3" t="s">
        <v>110</v>
      </c>
      <c r="H85" s="1">
        <f>E85*1000</f>
        <v>0.30130019794849322</v>
      </c>
    </row>
    <row r="87" spans="1:8" s="11" customFormat="1" ht="15" thickBot="1" x14ac:dyDescent="0.4">
      <c r="A87" s="93"/>
    </row>
    <row r="89" spans="1:8" ht="18.5" x14ac:dyDescent="0.45">
      <c r="A89" s="91" t="s">
        <v>48</v>
      </c>
      <c r="C89" s="133" t="s">
        <v>111</v>
      </c>
      <c r="D89" s="133"/>
      <c r="E89" s="133"/>
      <c r="F89" s="133"/>
      <c r="G89" s="133"/>
    </row>
    <row r="90" spans="1:8" ht="75" customHeight="1" x14ac:dyDescent="0.35">
      <c r="A90" s="138" t="s">
        <v>112</v>
      </c>
      <c r="C90" s="133" t="s">
        <v>85</v>
      </c>
      <c r="D90" s="133"/>
      <c r="E90" s="17" t="s">
        <v>86</v>
      </c>
      <c r="F90" s="17" t="s">
        <v>87</v>
      </c>
      <c r="G90" s="17" t="s">
        <v>88</v>
      </c>
    </row>
    <row r="91" spans="1:8" ht="18.75" customHeight="1" x14ac:dyDescent="0.35">
      <c r="A91" s="138"/>
      <c r="C91" s="127" t="s">
        <v>113</v>
      </c>
      <c r="D91" s="127"/>
      <c r="E91" s="2" t="s">
        <v>114</v>
      </c>
      <c r="F91" s="61">
        <v>-5067912.6481687604</v>
      </c>
      <c r="G91" s="3" t="s">
        <v>94</v>
      </c>
    </row>
    <row r="92" spans="1:8" ht="18.75" customHeight="1" x14ac:dyDescent="0.35">
      <c r="A92" s="138"/>
      <c r="C92" s="127" t="s">
        <v>115</v>
      </c>
      <c r="D92" s="127"/>
      <c r="E92" s="2" t="s">
        <v>116</v>
      </c>
      <c r="F92" s="62">
        <v>6.38</v>
      </c>
      <c r="G92" s="3" t="s">
        <v>117</v>
      </c>
    </row>
    <row r="93" spans="1:8" ht="18.75" customHeight="1" x14ac:dyDescent="0.35">
      <c r="A93" s="138"/>
      <c r="C93" s="127" t="s">
        <v>118</v>
      </c>
      <c r="D93" s="127"/>
      <c r="E93" s="2" t="s">
        <v>119</v>
      </c>
      <c r="F93" s="22">
        <f>F92*PI()</f>
        <v>20.04336112990288</v>
      </c>
      <c r="G93" s="3" t="s">
        <v>117</v>
      </c>
    </row>
    <row r="94" spans="1:8" ht="18.75" customHeight="1" x14ac:dyDescent="0.35">
      <c r="A94" s="138"/>
      <c r="C94" s="127" t="s">
        <v>120</v>
      </c>
      <c r="D94" s="127"/>
      <c r="E94" s="2" t="s">
        <v>121</v>
      </c>
      <c r="F94" s="63">
        <v>0.15782174118033801</v>
      </c>
      <c r="G94" s="3" t="s">
        <v>117</v>
      </c>
    </row>
    <row r="95" spans="1:8" ht="18.75" customHeight="1" x14ac:dyDescent="0.35">
      <c r="A95" s="138"/>
      <c r="C95" s="127" t="s">
        <v>122</v>
      </c>
      <c r="D95" s="127"/>
      <c r="E95" s="2"/>
      <c r="F95" s="24">
        <f>F93/F94</f>
        <v>126.9999999999997</v>
      </c>
      <c r="G95" s="3"/>
    </row>
    <row r="96" spans="1:8" ht="18.75" customHeight="1" x14ac:dyDescent="0.35">
      <c r="A96" s="138"/>
      <c r="C96" s="127" t="s">
        <v>123</v>
      </c>
      <c r="D96" s="127"/>
      <c r="E96" s="2" t="s">
        <v>124</v>
      </c>
      <c r="F96" s="64">
        <f>0.001701668478581</f>
        <v>1.7016684785810001E-3</v>
      </c>
      <c r="G96" s="3" t="s">
        <v>117</v>
      </c>
    </row>
    <row r="97" spans="1:22" ht="18.5" x14ac:dyDescent="0.35">
      <c r="A97" s="74"/>
      <c r="C97" s="127" t="s">
        <v>125</v>
      </c>
      <c r="D97" s="127"/>
      <c r="E97" s="2"/>
      <c r="F97" s="65">
        <v>9.8800887265784799E-5</v>
      </c>
      <c r="G97" s="3" t="s">
        <v>126</v>
      </c>
    </row>
    <row r="98" spans="1:22" x14ac:dyDescent="0.35">
      <c r="C98" s="127" t="s">
        <v>127</v>
      </c>
      <c r="D98" s="127"/>
      <c r="E98" s="3"/>
      <c r="F98" s="124">
        <v>2.6845074686568902E-4</v>
      </c>
      <c r="G98" s="3" t="s">
        <v>126</v>
      </c>
      <c r="I98" s="1">
        <v>2.1368193686149999E-3</v>
      </c>
      <c r="J98" s="1">
        <f>15*F96*F96</f>
        <v>4.3435134164942631E-5</v>
      </c>
    </row>
    <row r="99" spans="1:22" x14ac:dyDescent="0.35">
      <c r="C99" s="127" t="s">
        <v>128</v>
      </c>
      <c r="D99" s="127"/>
      <c r="E99" s="2" t="s">
        <v>129</v>
      </c>
      <c r="F99" s="27">
        <f>F97+F98</f>
        <v>3.6725163413147381E-4</v>
      </c>
      <c r="G99" s="3" t="s">
        <v>126</v>
      </c>
    </row>
    <row r="102" spans="1:22" x14ac:dyDescent="0.35">
      <c r="C102" s="133" t="s">
        <v>130</v>
      </c>
      <c r="D102" s="127"/>
      <c r="E102" s="127"/>
      <c r="F102" s="127"/>
      <c r="G102" s="127"/>
      <c r="H102" s="127"/>
    </row>
    <row r="103" spans="1:22" x14ac:dyDescent="0.35">
      <c r="C103" s="17" t="s">
        <v>131</v>
      </c>
      <c r="D103" s="17" t="s">
        <v>132</v>
      </c>
      <c r="E103" s="17" t="s">
        <v>133</v>
      </c>
      <c r="F103" s="17" t="s">
        <v>134</v>
      </c>
      <c r="G103" s="17" t="s">
        <v>135</v>
      </c>
      <c r="H103" s="17" t="s">
        <v>136</v>
      </c>
    </row>
    <row r="104" spans="1:22" x14ac:dyDescent="0.35">
      <c r="C104" s="3">
        <v>1</v>
      </c>
      <c r="D104" s="3">
        <v>0</v>
      </c>
      <c r="E104" s="20">
        <f t="shared" ref="E104:E135" si="5">$F$92/2*COS(D104*PI()/180)</f>
        <v>3.19</v>
      </c>
      <c r="F104" s="20">
        <f t="shared" ref="F104:F135" si="6">$F$92/2*SIN(D104*PI()/180)</f>
        <v>0</v>
      </c>
      <c r="G104" s="21">
        <f>$F$99*F104</f>
        <v>0</v>
      </c>
      <c r="H104" s="3">
        <f>$F$99*F104^2</f>
        <v>0</v>
      </c>
    </row>
    <row r="105" spans="1:22" x14ac:dyDescent="0.35">
      <c r="C105" s="3">
        <v>2</v>
      </c>
      <c r="D105" s="3">
        <f>D104+5.8</f>
        <v>5.8</v>
      </c>
      <c r="E105" s="20">
        <f t="shared" si="5"/>
        <v>3.1736694611638345</v>
      </c>
      <c r="F105" s="20">
        <f>$F$92/2*SIN(D105*PI()/180)</f>
        <v>0.32236958801359883</v>
      </c>
      <c r="G105" s="21">
        <f>$F$99*F105</f>
        <v>1.1839075799228414E-4</v>
      </c>
      <c r="H105" s="3">
        <f>$F$99*F105^2</f>
        <v>3.816557987859032E-5</v>
      </c>
    </row>
    <row r="106" spans="1:22" x14ac:dyDescent="0.35">
      <c r="C106" s="3">
        <v>3</v>
      </c>
      <c r="D106" s="3">
        <f t="shared" ref="D106:D165" si="7">D105+5.8</f>
        <v>11.6</v>
      </c>
      <c r="E106" s="20">
        <f t="shared" si="5"/>
        <v>3.1248450462219073</v>
      </c>
      <c r="F106" s="20">
        <f t="shared" si="6"/>
        <v>0.6414385684556273</v>
      </c>
      <c r="G106" s="21">
        <f t="shared" ref="G106:G135" si="8">$F$99*F106</f>
        <v>2.3556936246028236E-4</v>
      </c>
      <c r="H106" s="3">
        <f>$F$99*F106^2</f>
        <v>1.5110327462852831E-4</v>
      </c>
      <c r="V106" s="18"/>
    </row>
    <row r="107" spans="1:22" x14ac:dyDescent="0.35">
      <c r="C107" s="3">
        <v>4</v>
      </c>
      <c r="D107" s="3">
        <f>D106+5.8</f>
        <v>17.399999999999999</v>
      </c>
      <c r="E107" s="20">
        <f>$F$92/2*COS(D107*PI()/180)</f>
        <v>3.0440266479669233</v>
      </c>
      <c r="F107" s="20">
        <f t="shared" si="6"/>
        <v>0.95394012729691635</v>
      </c>
      <c r="G107" s="21">
        <f t="shared" si="8"/>
        <v>3.5033607061337867E-4</v>
      </c>
      <c r="H107" s="3">
        <f>$F$99*F107^2</f>
        <v>3.341996357976279E-4</v>
      </c>
      <c r="V107" s="18"/>
    </row>
    <row r="108" spans="1:22" x14ac:dyDescent="0.35">
      <c r="C108" s="3">
        <v>5</v>
      </c>
      <c r="D108" s="3">
        <f t="shared" si="7"/>
        <v>23.2</v>
      </c>
      <c r="E108" s="20">
        <f t="shared" si="5"/>
        <v>2.9320417322241976</v>
      </c>
      <c r="F108" s="20">
        <f>$F$92/2*SIN(D108*PI()/180)</f>
        <v>1.2566746915951339</v>
      </c>
      <c r="G108" s="21">
        <f t="shared" si="8"/>
        <v>4.6151583405997881E-4</v>
      </c>
      <c r="H108" s="3">
        <f t="shared" ref="H108:H135" si="9">$F$99*F108^2</f>
        <v>5.7997526843359484E-4</v>
      </c>
    </row>
    <row r="109" spans="1:22" x14ac:dyDescent="0.35">
      <c r="C109" s="3">
        <v>6</v>
      </c>
      <c r="D109" s="3">
        <f t="shared" si="7"/>
        <v>29</v>
      </c>
      <c r="E109" s="20">
        <f t="shared" si="5"/>
        <v>2.7900368657746726</v>
      </c>
      <c r="F109" s="20">
        <f t="shared" si="6"/>
        <v>1.5465426885858151</v>
      </c>
      <c r="G109" s="21">
        <f t="shared" si="8"/>
        <v>5.6797032963722366E-4</v>
      </c>
      <c r="H109" s="3">
        <f t="shared" si="9"/>
        <v>8.7839036063412353E-4</v>
      </c>
    </row>
    <row r="110" spans="1:22" x14ac:dyDescent="0.35">
      <c r="C110" s="3">
        <v>7</v>
      </c>
      <c r="D110" s="3">
        <f t="shared" si="7"/>
        <v>34.799999999999997</v>
      </c>
      <c r="E110" s="20">
        <f t="shared" si="5"/>
        <v>2.6194659771365156</v>
      </c>
      <c r="F110" s="20">
        <f t="shared" si="6"/>
        <v>1.8205762809133368</v>
      </c>
      <c r="G110" s="21">
        <f t="shared" si="8"/>
        <v>6.6860961422642408E-4</v>
      </c>
      <c r="H110" s="3">
        <f t="shared" si="9"/>
        <v>1.2172548048512439E-3</v>
      </c>
    </row>
    <row r="111" spans="1:22" x14ac:dyDescent="0.35">
      <c r="C111" s="3">
        <v>8</v>
      </c>
      <c r="D111" s="3">
        <f t="shared" si="7"/>
        <v>40.599999999999994</v>
      </c>
      <c r="E111" s="20">
        <f t="shared" si="5"/>
        <v>2.4220754703982701</v>
      </c>
      <c r="F111" s="20">
        <f t="shared" si="6"/>
        <v>2.0759697530780641</v>
      </c>
      <c r="G111" s="21">
        <f t="shared" si="8"/>
        <v>7.6240328422543121E-4</v>
      </c>
      <c r="H111" s="3">
        <f>$F$99*F111^2</f>
        <v>1.5827261576993733E-3</v>
      </c>
    </row>
    <row r="112" spans="1:22" x14ac:dyDescent="0.35">
      <c r="C112" s="3">
        <v>9</v>
      </c>
      <c r="D112" s="3">
        <f t="shared" si="7"/>
        <v>46.399999999999991</v>
      </c>
      <c r="E112" s="20">
        <f t="shared" si="5"/>
        <v>2.1998863445167869</v>
      </c>
      <c r="F112" s="20">
        <f t="shared" si="6"/>
        <v>2.3101082379855207</v>
      </c>
      <c r="G112" s="21">
        <f>$F$99*F112</f>
        <v>8.4839102542076206E-4</v>
      </c>
      <c r="H112" s="3">
        <f t="shared" si="9"/>
        <v>1.9598750968574858E-3</v>
      </c>
    </row>
    <row r="113" spans="3:23" x14ac:dyDescent="0.35">
      <c r="C113" s="3">
        <v>10</v>
      </c>
      <c r="D113" s="3">
        <f t="shared" si="7"/>
        <v>52.199999999999989</v>
      </c>
      <c r="E113" s="20">
        <f t="shared" si="5"/>
        <v>1.9551735011529956</v>
      </c>
      <c r="F113" s="20">
        <f t="shared" si="6"/>
        <v>2.5205944894784515</v>
      </c>
      <c r="G113" s="21">
        <f t="shared" si="8"/>
        <v>9.256924452437493E-4</v>
      </c>
      <c r="H113" s="3">
        <f t="shared" si="9"/>
        <v>2.3332952764332279E-3</v>
      </c>
    </row>
    <row r="114" spans="3:23" x14ac:dyDescent="0.35">
      <c r="C114" s="3">
        <v>11</v>
      </c>
      <c r="D114" s="3">
        <f t="shared" si="7"/>
        <v>57.999999999999986</v>
      </c>
      <c r="E114" s="20">
        <f t="shared" si="5"/>
        <v>1.6904424529039246</v>
      </c>
      <c r="F114" s="20">
        <f t="shared" si="6"/>
        <v>2.705273426738998</v>
      </c>
      <c r="G114" s="21">
        <f t="shared" si="8"/>
        <v>9.9351608674234882E-4</v>
      </c>
      <c r="H114" s="3">
        <f t="shared" si="9"/>
        <v>2.6877326685017938E-3</v>
      </c>
    </row>
    <row r="115" spans="3:23" x14ac:dyDescent="0.35">
      <c r="C115" s="3">
        <v>12</v>
      </c>
      <c r="D115" s="3">
        <f t="shared" si="7"/>
        <v>63.799999999999983</v>
      </c>
      <c r="E115" s="20">
        <f t="shared" si="5"/>
        <v>1.4084036704056686</v>
      </c>
      <c r="F115" s="20">
        <f t="shared" si="6"/>
        <v>2.8622541992611072</v>
      </c>
      <c r="G115" s="21">
        <f t="shared" si="8"/>
        <v>1.0511675319783147E-3</v>
      </c>
      <c r="H115" s="3">
        <f t="shared" si="9"/>
        <v>3.0087086825318654E-3</v>
      </c>
    </row>
    <row r="116" spans="3:23" x14ac:dyDescent="0.35">
      <c r="C116" s="3">
        <v>13</v>
      </c>
      <c r="D116" s="3">
        <f t="shared" si="7"/>
        <v>69.59999999999998</v>
      </c>
      <c r="E116" s="20">
        <f t="shared" si="5"/>
        <v>1.1119448309565922</v>
      </c>
      <c r="F116" s="20">
        <f t="shared" si="6"/>
        <v>2.9899295464791331</v>
      </c>
      <c r="G116" s="21">
        <f t="shared" si="8"/>
        <v>1.0980565118824379E-3</v>
      </c>
      <c r="H116" s="3">
        <f t="shared" si="9"/>
        <v>3.2831116085811169E-3</v>
      </c>
    </row>
    <row r="117" spans="3:23" x14ac:dyDescent="0.35">
      <c r="C117" s="3">
        <v>14</v>
      </c>
      <c r="D117" s="3">
        <f t="shared" si="7"/>
        <v>75.399999999999977</v>
      </c>
      <c r="E117" s="20">
        <f t="shared" si="5"/>
        <v>0.80410125279553379</v>
      </c>
      <c r="F117" s="20">
        <f t="shared" si="6"/>
        <v>3.0869922538374879</v>
      </c>
      <c r="G117" s="21">
        <f t="shared" si="8"/>
        <v>1.1337029497730188E-3</v>
      </c>
      <c r="H117" s="3">
        <f t="shared" si="9"/>
        <v>3.4997322241020192E-3</v>
      </c>
    </row>
    <row r="118" spans="3:23" x14ac:dyDescent="0.35">
      <c r="C118" s="3">
        <v>15</v>
      </c>
      <c r="D118" s="3">
        <f t="shared" si="7"/>
        <v>81.199999999999974</v>
      </c>
      <c r="E118" s="20">
        <f t="shared" si="5"/>
        <v>0.48802481774608297</v>
      </c>
      <c r="F118" s="20">
        <f t="shared" si="6"/>
        <v>3.1524485368145032</v>
      </c>
      <c r="G118" s="21">
        <f t="shared" si="8"/>
        <v>1.1577418766604999E-3</v>
      </c>
      <c r="H118" s="3">
        <f t="shared" si="9"/>
        <v>3.6497216850872698E-3</v>
      </c>
    </row>
    <row r="119" spans="3:23" x14ac:dyDescent="0.35">
      <c r="C119" s="3">
        <v>16</v>
      </c>
      <c r="D119" s="3">
        <f t="shared" si="7"/>
        <v>86.999999999999972</v>
      </c>
      <c r="E119" s="20">
        <f t="shared" si="5"/>
        <v>0.16695170041499266</v>
      </c>
      <c r="F119" s="20">
        <f t="shared" si="6"/>
        <v>3.1856282158670903</v>
      </c>
      <c r="G119" s="21">
        <f t="shared" si="8"/>
        <v>1.1699271680125204E-3</v>
      </c>
      <c r="H119" s="3">
        <f t="shared" si="9"/>
        <v>3.7269529969301629E-3</v>
      </c>
    </row>
    <row r="120" spans="3:23" x14ac:dyDescent="0.35">
      <c r="C120" s="3">
        <v>17</v>
      </c>
      <c r="D120" s="3">
        <f t="shared" si="7"/>
        <v>92.799999999999969</v>
      </c>
      <c r="E120" s="20">
        <f t="shared" si="5"/>
        <v>-0.15583076564800422</v>
      </c>
      <c r="F120" s="20">
        <f t="shared" si="6"/>
        <v>3.1861915781191747</v>
      </c>
      <c r="G120" s="21">
        <f t="shared" si="8"/>
        <v>1.1701340637202064E-3</v>
      </c>
      <c r="H120" s="3">
        <f t="shared" si="9"/>
        <v>3.7282712990956875E-3</v>
      </c>
    </row>
    <row r="121" spans="3:23" x14ac:dyDescent="0.35">
      <c r="C121" s="3">
        <v>18</v>
      </c>
      <c r="D121" s="3">
        <f t="shared" si="7"/>
        <v>98.599999999999966</v>
      </c>
      <c r="E121" s="20">
        <f t="shared" si="5"/>
        <v>-0.47701774558543181</v>
      </c>
      <c r="F121" s="20">
        <f t="shared" si="6"/>
        <v>3.1541328555399488</v>
      </c>
      <c r="G121" s="21">
        <f t="shared" si="8"/>
        <v>1.158360445464818E-3</v>
      </c>
      <c r="H121" s="3">
        <f t="shared" si="9"/>
        <v>3.6536227395984736E-3</v>
      </c>
    </row>
    <row r="122" spans="3:23" x14ac:dyDescent="0.35">
      <c r="C122" s="3">
        <v>19</v>
      </c>
      <c r="D122" s="3">
        <f t="shared" si="7"/>
        <v>104.39999999999996</v>
      </c>
      <c r="E122" s="20">
        <f t="shared" si="5"/>
        <v>-0.79332074005588427</v>
      </c>
      <c r="F122" s="20">
        <f t="shared" si="6"/>
        <v>3.0897802840003337</v>
      </c>
      <c r="G122" s="21">
        <f t="shared" si="8"/>
        <v>1.1347268584063319E-3</v>
      </c>
      <c r="H122" s="3">
        <f t="shared" si="9"/>
        <v>3.5060566748295221E-3</v>
      </c>
    </row>
    <row r="123" spans="3:23" x14ac:dyDescent="0.35">
      <c r="C123" s="3">
        <v>20</v>
      </c>
      <c r="D123" s="3">
        <f t="shared" si="7"/>
        <v>110.19999999999996</v>
      </c>
      <c r="E123" s="20">
        <f t="shared" si="5"/>
        <v>-1.1015012548053233</v>
      </c>
      <c r="F123" s="20">
        <f t="shared" si="6"/>
        <v>2.993792742602984</v>
      </c>
      <c r="G123" s="21">
        <f t="shared" si="8"/>
        <v>1.0994752769718926E-3</v>
      </c>
      <c r="H123" s="3">
        <f t="shared" si="9"/>
        <v>3.2916011048698579E-3</v>
      </c>
    </row>
    <row r="124" spans="3:23" x14ac:dyDescent="0.35">
      <c r="C124" s="3">
        <v>21</v>
      </c>
      <c r="D124" s="3">
        <f t="shared" si="7"/>
        <v>115.99999999999996</v>
      </c>
      <c r="E124" s="20">
        <f t="shared" si="5"/>
        <v>-1.3984039582571548</v>
      </c>
      <c r="F124" s="20">
        <f t="shared" si="6"/>
        <v>2.8671530076943439</v>
      </c>
      <c r="G124" s="21">
        <f t="shared" si="8"/>
        <v>1.0529666273807179E-3</v>
      </c>
      <c r="H124" s="3">
        <f t="shared" si="9"/>
        <v>3.0190164326963946E-3</v>
      </c>
      <c r="W124" s="1" t="s">
        <v>137</v>
      </c>
    </row>
    <row r="125" spans="3:23" x14ac:dyDescent="0.35">
      <c r="C125" s="3">
        <v>22</v>
      </c>
      <c r="D125" s="3">
        <f t="shared" si="7"/>
        <v>121.79999999999995</v>
      </c>
      <c r="E125" s="20">
        <f t="shared" si="5"/>
        <v>-1.6809889876343991</v>
      </c>
      <c r="F125" s="20">
        <f t="shared" si="6"/>
        <v>2.7111576906280974</v>
      </c>
      <c r="G125" s="21">
        <f t="shared" si="8"/>
        <v>9.9567709227128148E-4</v>
      </c>
      <c r="H125" s="3">
        <f t="shared" si="9"/>
        <v>2.6994376060935068E-3</v>
      </c>
    </row>
    <row r="126" spans="3:23" x14ac:dyDescent="0.35">
      <c r="C126" s="3">
        <v>23</v>
      </c>
      <c r="D126" s="3">
        <f t="shared" si="7"/>
        <v>127.59999999999995</v>
      </c>
      <c r="E126" s="20">
        <f t="shared" si="5"/>
        <v>-1.9463630728450412</v>
      </c>
      <c r="F126" s="20">
        <f t="shared" si="6"/>
        <v>2.52740396230306</v>
      </c>
      <c r="G126" s="21">
        <f t="shared" si="8"/>
        <v>9.2819323526616062E-4</v>
      </c>
      <c r="H126" s="3">
        <f t="shared" si="9"/>
        <v>2.3459192605945907E-3</v>
      </c>
    </row>
    <row r="127" spans="3:23" x14ac:dyDescent="0.35">
      <c r="C127" s="3">
        <v>24</v>
      </c>
      <c r="D127" s="3">
        <f t="shared" si="7"/>
        <v>133.39999999999995</v>
      </c>
      <c r="E127" s="20">
        <f t="shared" si="5"/>
        <v>-2.1918091594661071</v>
      </c>
      <c r="F127" s="20">
        <f t="shared" si="6"/>
        <v>2.3177732003974154</v>
      </c>
      <c r="G127" s="21">
        <f t="shared" si="8"/>
        <v>8.5120599539208674E-4</v>
      </c>
      <c r="H127" s="3">
        <f t="shared" si="9"/>
        <v>1.9729024441373848E-3</v>
      </c>
      <c r="V127" s="18"/>
    </row>
    <row r="128" spans="3:23" x14ac:dyDescent="0.35">
      <c r="C128" s="3">
        <v>25</v>
      </c>
      <c r="D128" s="3">
        <f t="shared" si="7"/>
        <v>139.19999999999996</v>
      </c>
      <c r="E128" s="20">
        <f t="shared" si="5"/>
        <v>-2.4148142275291007</v>
      </c>
      <c r="F128" s="20">
        <f t="shared" si="6"/>
        <v>2.084411726728439</v>
      </c>
      <c r="G128" s="21">
        <f t="shared" si="8"/>
        <v>7.655036128438262E-4</v>
      </c>
      <c r="H128" s="3">
        <f t="shared" si="9"/>
        <v>1.5956247074646584E-3</v>
      </c>
    </row>
    <row r="129" spans="3:39" x14ac:dyDescent="0.35">
      <c r="C129" s="3">
        <v>26</v>
      </c>
      <c r="D129" s="3">
        <f t="shared" si="7"/>
        <v>144.99999999999997</v>
      </c>
      <c r="E129" s="20">
        <f t="shared" si="5"/>
        <v>-2.6130950212818829</v>
      </c>
      <c r="F129" s="20">
        <f t="shared" si="6"/>
        <v>1.829708831959838</v>
      </c>
      <c r="G129" s="21">
        <f t="shared" si="8"/>
        <v>6.7196355852204071E-4</v>
      </c>
      <c r="H129" s="3">
        <f t="shared" si="9"/>
        <v>1.2294976577829394E-3</v>
      </c>
    </row>
    <row r="130" spans="3:39" x14ac:dyDescent="0.35">
      <c r="C130" s="3">
        <v>27</v>
      </c>
      <c r="D130" s="3">
        <f t="shared" si="7"/>
        <v>150.79999999999998</v>
      </c>
      <c r="E130" s="20">
        <f t="shared" si="5"/>
        <v>-2.7846214264906926</v>
      </c>
      <c r="F130" s="20">
        <f t="shared" si="6"/>
        <v>1.5562723126525584</v>
      </c>
      <c r="G130" s="21">
        <f t="shared" si="8"/>
        <v>5.7154354997521997E-4</v>
      </c>
      <c r="H130" s="3">
        <f t="shared" si="9"/>
        <v>8.8947740230158859E-4</v>
      </c>
    </row>
    <row r="131" spans="3:39" x14ac:dyDescent="0.35">
      <c r="C131" s="3">
        <v>28</v>
      </c>
      <c r="D131" s="3">
        <f t="shared" si="7"/>
        <v>156.6</v>
      </c>
      <c r="E131" s="20">
        <f t="shared" si="5"/>
        <v>-2.9276372559318991</v>
      </c>
      <c r="F131" s="20">
        <f t="shared" si="6"/>
        <v>1.2669017711249515</v>
      </c>
      <c r="G131" s="21">
        <f t="shared" si="8"/>
        <v>4.6527174572969686E-4</v>
      </c>
      <c r="H131" s="3">
        <f t="shared" si="9"/>
        <v>5.8945359871935099E-4</v>
      </c>
    </row>
    <row r="132" spans="3:39" x14ac:dyDescent="0.35">
      <c r="C132" s="3">
        <v>29</v>
      </c>
      <c r="D132" s="3">
        <f t="shared" si="7"/>
        <v>162.4</v>
      </c>
      <c r="E132" s="20">
        <f t="shared" si="5"/>
        <v>-3.0406782302595015</v>
      </c>
      <c r="F132" s="20">
        <f t="shared" si="6"/>
        <v>0.96455995149391693</v>
      </c>
      <c r="G132" s="21">
        <f t="shared" si="8"/>
        <v>3.5423621840391612E-4</v>
      </c>
      <c r="H132" s="3">
        <f t="shared" si="9"/>
        <v>3.4168206964106987E-4</v>
      </c>
    </row>
    <row r="133" spans="3:39" x14ac:dyDescent="0.35">
      <c r="C133" s="3">
        <v>30</v>
      </c>
      <c r="D133" s="3">
        <f t="shared" si="7"/>
        <v>168.20000000000002</v>
      </c>
      <c r="E133" s="20">
        <f t="shared" si="5"/>
        <v>-3.1225869701497753</v>
      </c>
      <c r="F133" s="20">
        <f t="shared" si="6"/>
        <v>0.65234240537531174</v>
      </c>
      <c r="G133" s="21">
        <f t="shared" si="8"/>
        <v>2.3957381438733955E-4</v>
      </c>
      <c r="H133" s="3">
        <f t="shared" si="9"/>
        <v>1.5628415834237556E-4</v>
      </c>
    </row>
    <row r="134" spans="3:39" x14ac:dyDescent="0.35">
      <c r="C134" s="3">
        <v>31</v>
      </c>
      <c r="D134" s="3">
        <f t="shared" si="7"/>
        <v>174.00000000000003</v>
      </c>
      <c r="E134" s="20">
        <f t="shared" si="5"/>
        <v>-3.1725248462247921</v>
      </c>
      <c r="F134" s="20">
        <f t="shared" si="6"/>
        <v>0.33344579782381401</v>
      </c>
      <c r="G134" s="21">
        <f t="shared" si="8"/>
        <v>1.2245851414506874E-4</v>
      </c>
      <c r="H134" s="3">
        <f t="shared" si="9"/>
        <v>4.0833276949421255E-5</v>
      </c>
      <c r="AH134" s="18"/>
      <c r="AI134" s="18"/>
      <c r="AJ134" s="18"/>
      <c r="AK134" s="18"/>
      <c r="AL134" s="18"/>
      <c r="AM134" s="18"/>
    </row>
    <row r="135" spans="3:39" x14ac:dyDescent="0.35">
      <c r="C135" s="3">
        <v>32</v>
      </c>
      <c r="D135" s="3">
        <f t="shared" si="7"/>
        <v>179.80000000000004</v>
      </c>
      <c r="E135" s="20">
        <f t="shared" si="5"/>
        <v>-3.1899805654283515</v>
      </c>
      <c r="F135" s="20">
        <f t="shared" si="6"/>
        <v>1.1135178014561988E-2</v>
      </c>
      <c r="G135" s="21">
        <f t="shared" si="8"/>
        <v>4.0894123221927497E-6</v>
      </c>
      <c r="H135" s="3">
        <f t="shared" si="9"/>
        <v>4.5536334182559594E-8</v>
      </c>
      <c r="AJ135" s="33"/>
      <c r="AK135" s="33"/>
      <c r="AL135" s="34"/>
    </row>
    <row r="136" spans="3:39" x14ac:dyDescent="0.35">
      <c r="C136" s="3">
        <v>33</v>
      </c>
      <c r="D136" s="3">
        <f t="shared" si="7"/>
        <v>185.60000000000005</v>
      </c>
      <c r="E136" s="20">
        <f t="shared" ref="E136:E166" si="10">$F$92/2*COS(D136*PI()/180)</f>
        <v>-3.1747754059420412</v>
      </c>
      <c r="F136" s="20">
        <f t="shared" ref="F136:F166" si="11">$F$92/2*SIN(D136*PI()/180)</f>
        <v>-0.31128945023168825</v>
      </c>
      <c r="G136" s="21">
        <f t="shared" ref="G136:G165" si="12">$F$99*F136</f>
        <v>-1.143215592854756E-4</v>
      </c>
      <c r="H136" s="3">
        <f t="shared" ref="H136:H164" si="13">$F$99*F136^2</f>
        <v>3.5587095339605056E-5</v>
      </c>
      <c r="AJ136" s="33"/>
      <c r="AK136" s="33"/>
      <c r="AL136" s="34"/>
    </row>
    <row r="137" spans="3:39" x14ac:dyDescent="0.35">
      <c r="C137" s="3">
        <v>34</v>
      </c>
      <c r="D137" s="3">
        <f t="shared" si="7"/>
        <v>191.40000000000006</v>
      </c>
      <c r="E137" s="20">
        <f t="shared" si="10"/>
        <v>-3.1270650470432919</v>
      </c>
      <c r="F137" s="20">
        <f t="shared" si="11"/>
        <v>-0.630526915809415</v>
      </c>
      <c r="G137" s="21">
        <f t="shared" si="12"/>
        <v>-2.3156204019488588E-4</v>
      </c>
      <c r="H137" s="3">
        <f t="shared" si="13"/>
        <v>1.4600609902261718E-4</v>
      </c>
      <c r="AJ137" s="33"/>
      <c r="AK137" s="33"/>
      <c r="AL137" s="34"/>
    </row>
    <row r="138" spans="3:39" x14ac:dyDescent="0.35">
      <c r="C138" s="3">
        <v>35</v>
      </c>
      <c r="D138" s="3">
        <f t="shared" si="7"/>
        <v>197.20000000000007</v>
      </c>
      <c r="E138" s="20">
        <f t="shared" si="10"/>
        <v>-3.0473379751702749</v>
      </c>
      <c r="F138" s="20">
        <f t="shared" si="11"/>
        <v>-0.94330867964051257</v>
      </c>
      <c r="G138" s="21">
        <f t="shared" si="12"/>
        <v>-3.4643165408838119E-4</v>
      </c>
      <c r="H138" s="3">
        <f t="shared" si="13"/>
        <v>3.2679198620378963E-4</v>
      </c>
      <c r="AJ138" s="33"/>
      <c r="AK138" s="33"/>
      <c r="AL138" s="34"/>
    </row>
    <row r="139" spans="3:39" x14ac:dyDescent="0.35">
      <c r="C139" s="3">
        <v>36</v>
      </c>
      <c r="D139" s="3">
        <f t="shared" si="7"/>
        <v>203.00000000000009</v>
      </c>
      <c r="E139" s="20">
        <f t="shared" si="10"/>
        <v>-2.9364104825132835</v>
      </c>
      <c r="F139" s="20">
        <f t="shared" si="11"/>
        <v>-1.2464322998807864</v>
      </c>
      <c r="G139" s="21">
        <f t="shared" si="12"/>
        <v>-4.5775429896547E-4</v>
      </c>
      <c r="H139" s="3">
        <f t="shared" si="13"/>
        <v>5.7055974363984794E-4</v>
      </c>
      <c r="AJ139" s="33"/>
      <c r="AK139" s="33"/>
      <c r="AL139" s="34"/>
    </row>
    <row r="140" spans="3:39" x14ac:dyDescent="0.35">
      <c r="C140" s="3">
        <v>37</v>
      </c>
      <c r="D140" s="3">
        <f t="shared" si="7"/>
        <v>208.8000000000001</v>
      </c>
      <c r="E140" s="20">
        <f t="shared" si="10"/>
        <v>-2.7954183093399227</v>
      </c>
      <c r="F140" s="20">
        <f t="shared" si="11"/>
        <v>-1.5367942203844758</v>
      </c>
      <c r="G140" s="21">
        <f t="shared" si="12"/>
        <v>-5.6439018876000308E-4</v>
      </c>
      <c r="H140" s="3">
        <f t="shared" si="13"/>
        <v>8.6735158012807604E-4</v>
      </c>
      <c r="AJ140" s="33"/>
      <c r="AK140" s="33"/>
      <c r="AL140" s="34"/>
    </row>
    <row r="141" spans="3:39" x14ac:dyDescent="0.35">
      <c r="C141" s="3">
        <v>38</v>
      </c>
      <c r="D141" s="3">
        <f t="shared" si="7"/>
        <v>214.60000000000011</v>
      </c>
      <c r="E141" s="20">
        <f t="shared" si="10"/>
        <v>-2.625805015624866</v>
      </c>
      <c r="F141" s="20">
        <f t="shared" si="11"/>
        <v>-1.8114215467193977</v>
      </c>
      <c r="G141" s="21">
        <f t="shared" si="12"/>
        <v>-6.6524752313366063E-4</v>
      </c>
      <c r="H141" s="3">
        <f t="shared" si="13"/>
        <v>1.2050436973060239E-3</v>
      </c>
      <c r="AJ141" s="33"/>
      <c r="AK141" s="33"/>
      <c r="AL141" s="34"/>
    </row>
    <row r="142" spans="3:39" x14ac:dyDescent="0.35">
      <c r="C142" s="3">
        <v>39</v>
      </c>
      <c r="D142" s="3">
        <f t="shared" si="7"/>
        <v>220.40000000000012</v>
      </c>
      <c r="E142" s="20">
        <f t="shared" si="10"/>
        <v>-2.4293072010421866</v>
      </c>
      <c r="F142" s="20">
        <f t="shared" si="11"/>
        <v>-2.0675024843913916</v>
      </c>
      <c r="G142" s="21">
        <f t="shared" si="12"/>
        <v>-7.5929366596362048E-4</v>
      </c>
      <c r="H142" s="3">
        <f t="shared" si="13"/>
        <v>1.5698415407624329E-3</v>
      </c>
      <c r="AJ142" s="33"/>
      <c r="AK142" s="33"/>
      <c r="AL142" s="34"/>
    </row>
    <row r="143" spans="3:39" x14ac:dyDescent="0.35">
      <c r="C143" s="3">
        <v>40</v>
      </c>
      <c r="D143" s="3">
        <f t="shared" si="7"/>
        <v>226.20000000000013</v>
      </c>
      <c r="E143" s="20">
        <f t="shared" si="10"/>
        <v>-2.2079367246465926</v>
      </c>
      <c r="F143" s="20">
        <f t="shared" si="11"/>
        <v>-2.3024151276337799</v>
      </c>
      <c r="G143" s="21">
        <f t="shared" si="12"/>
        <v>-8.455657180725315E-4</v>
      </c>
      <c r="H143" s="3">
        <f>$F$99*F143^2</f>
        <v>1.9468433006987163E-3</v>
      </c>
      <c r="AJ143" s="33"/>
      <c r="AK143" s="33"/>
      <c r="AL143" s="34"/>
    </row>
    <row r="144" spans="3:39" x14ac:dyDescent="0.35">
      <c r="C144" s="3">
        <v>41</v>
      </c>
      <c r="D144" s="3">
        <f t="shared" si="7"/>
        <v>232.00000000000014</v>
      </c>
      <c r="E144" s="20">
        <f t="shared" si="10"/>
        <v>-1.9639601062888425</v>
      </c>
      <c r="F144" s="20">
        <f t="shared" si="11"/>
        <v>-2.5137543040054489</v>
      </c>
      <c r="G144" s="21">
        <f t="shared" si="12"/>
        <v>-9.2318037595102672E-4</v>
      </c>
      <c r="H144" s="3">
        <f t="shared" si="13"/>
        <v>2.3206486434202618E-3</v>
      </c>
      <c r="AJ144" s="33"/>
      <c r="AK144" s="33"/>
      <c r="AL144" s="34"/>
    </row>
    <row r="145" spans="3:38" x14ac:dyDescent="0.35">
      <c r="C145" s="3">
        <v>42</v>
      </c>
      <c r="D145" s="3">
        <f t="shared" si="7"/>
        <v>237.80000000000015</v>
      </c>
      <c r="E145" s="20">
        <f t="shared" si="10"/>
        <v>-1.6998753206656236</v>
      </c>
      <c r="F145" s="20">
        <f t="shared" si="11"/>
        <v>-2.6993561999469322</v>
      </c>
      <c r="G145" s="21">
        <f t="shared" si="12"/>
        <v>-9.9134297553343624E-4</v>
      </c>
      <c r="H145" s="3">
        <f t="shared" si="13"/>
        <v>2.6759878072800209E-3</v>
      </c>
      <c r="AJ145" s="33"/>
      <c r="AK145" s="33"/>
      <c r="AL145" s="34"/>
    </row>
    <row r="146" spans="3:38" x14ac:dyDescent="0.35">
      <c r="C146" s="3">
        <v>43</v>
      </c>
      <c r="D146" s="3">
        <f t="shared" si="7"/>
        <v>243.60000000000016</v>
      </c>
      <c r="E146" s="20">
        <f t="shared" si="10"/>
        <v>-1.4183862215999108</v>
      </c>
      <c r="F146" s="20">
        <f t="shared" si="11"/>
        <v>-2.8573205151637309</v>
      </c>
      <c r="G146" s="21">
        <f t="shared" si="12"/>
        <v>-1.0493556284312648E-3</v>
      </c>
      <c r="H146" s="3">
        <f t="shared" si="13"/>
        <v>2.9983453648191817E-3</v>
      </c>
      <c r="AJ146" s="33"/>
      <c r="AK146" s="33"/>
      <c r="AL146" s="34"/>
    </row>
    <row r="147" spans="3:38" x14ac:dyDescent="0.35">
      <c r="C147" s="3">
        <v>44</v>
      </c>
      <c r="D147" s="3">
        <f t="shared" si="7"/>
        <v>249.40000000000018</v>
      </c>
      <c r="E147" s="20">
        <f t="shared" si="10"/>
        <v>-1.1223748584109883</v>
      </c>
      <c r="F147" s="20">
        <f t="shared" si="11"/>
        <v>-2.9860299190073287</v>
      </c>
      <c r="G147" s="21">
        <f t="shared" si="12"/>
        <v>-1.096624367320914E-3</v>
      </c>
      <c r="H147" s="3">
        <f t="shared" si="13"/>
        <v>3.2745531707327313E-3</v>
      </c>
      <c r="AJ147" s="33"/>
      <c r="AK147" s="33"/>
      <c r="AL147" s="34"/>
    </row>
    <row r="148" spans="3:38" x14ac:dyDescent="0.35">
      <c r="C148" s="3">
        <v>45</v>
      </c>
      <c r="D148" s="3">
        <f>D147+5.8</f>
        <v>255.20000000000019</v>
      </c>
      <c r="E148" s="20">
        <f t="shared" si="10"/>
        <v>-0.81487196781516391</v>
      </c>
      <c r="F148" s="20">
        <f t="shared" si="11"/>
        <v>-3.0841666096482276</v>
      </c>
      <c r="G148" s="21">
        <f t="shared" si="12"/>
        <v>-1.1326652273270389E-3</v>
      </c>
      <c r="H148" s="3">
        <f t="shared" si="13"/>
        <v>3.4933282740316728E-3</v>
      </c>
      <c r="AJ148" s="33"/>
      <c r="AK148" s="33"/>
      <c r="AL148" s="34"/>
    </row>
    <row r="149" spans="3:38" x14ac:dyDescent="0.35">
      <c r="C149" s="3">
        <v>46</v>
      </c>
      <c r="D149" s="3">
        <f t="shared" si="7"/>
        <v>261.00000000000017</v>
      </c>
      <c r="E149" s="20">
        <f t="shared" si="10"/>
        <v>-0.49902594347832868</v>
      </c>
      <c r="F149" s="20">
        <f t="shared" si="11"/>
        <v>-3.1507258064984907</v>
      </c>
      <c r="G149" s="21">
        <f t="shared" si="12"/>
        <v>-1.1571092011367764E-3</v>
      </c>
      <c r="H149" s="3">
        <f t="shared" si="13"/>
        <v>3.6457338209584943E-3</v>
      </c>
      <c r="AJ149" s="33"/>
      <c r="AK149" s="33"/>
      <c r="AL149" s="34"/>
    </row>
    <row r="150" spans="3:38" x14ac:dyDescent="0.35">
      <c r="C150" s="3">
        <v>47</v>
      </c>
      <c r="D150" s="3">
        <f t="shared" si="7"/>
        <v>266.80000000000018</v>
      </c>
      <c r="E150" s="20">
        <f t="shared" si="10"/>
        <v>-0.17807060092818205</v>
      </c>
      <c r="F150" s="20">
        <f t="shared" si="11"/>
        <v>-3.1850260377405197</v>
      </c>
      <c r="G150" s="21">
        <f t="shared" si="12"/>
        <v>-1.169706017111499E-3</v>
      </c>
      <c r="H150" s="3">
        <f t="shared" si="13"/>
        <v>3.7255441210018825E-3</v>
      </c>
      <c r="AJ150" s="33"/>
      <c r="AK150" s="33"/>
      <c r="AL150" s="34"/>
    </row>
    <row r="151" spans="3:38" x14ac:dyDescent="0.35">
      <c r="C151" s="3">
        <v>48</v>
      </c>
      <c r="D151" s="3">
        <f t="shared" si="7"/>
        <v>272.60000000000019</v>
      </c>
      <c r="E151" s="20">
        <f t="shared" si="10"/>
        <v>0.1447079321323298</v>
      </c>
      <c r="F151" s="20">
        <f t="shared" si="11"/>
        <v>-3.1867161176323795</v>
      </c>
      <c r="G151" s="21">
        <f t="shared" si="12"/>
        <v>-1.1703267017135973E-3</v>
      </c>
      <c r="H151" s="3">
        <f t="shared" si="13"/>
        <v>3.7294989632462626E-3</v>
      </c>
      <c r="AJ151" s="33"/>
      <c r="AK151" s="33"/>
      <c r="AL151" s="34"/>
    </row>
    <row r="152" spans="3:38" x14ac:dyDescent="0.35">
      <c r="C152" s="3">
        <v>49</v>
      </c>
      <c r="D152" s="3">
        <f t="shared" si="7"/>
        <v>278.4000000000002</v>
      </c>
      <c r="E152" s="20">
        <f t="shared" si="10"/>
        <v>0.46600486111410289</v>
      </c>
      <c r="F152" s="20">
        <f t="shared" si="11"/>
        <v>-3.1557787421519312</v>
      </c>
      <c r="G152" s="21">
        <f t="shared" si="12"/>
        <v>-1.1589649000126637E-3</v>
      </c>
      <c r="H152" s="3">
        <f t="shared" si="13"/>
        <v>3.6574367943602026E-3</v>
      </c>
      <c r="AJ152" s="33"/>
      <c r="AK152" s="33"/>
      <c r="AL152" s="34"/>
    </row>
    <row r="153" spans="3:38" x14ac:dyDescent="0.35">
      <c r="C153" s="3">
        <v>50</v>
      </c>
      <c r="D153" s="3">
        <f t="shared" si="7"/>
        <v>284.20000000000022</v>
      </c>
      <c r="E153" s="20">
        <f t="shared" si="10"/>
        <v>0.78253056095339235</v>
      </c>
      <c r="F153" s="20">
        <f t="shared" si="11"/>
        <v>-3.0925306661654899</v>
      </c>
      <c r="G153" s="21">
        <f t="shared" si="12"/>
        <v>-1.1357369407509715E-3</v>
      </c>
      <c r="H153" s="3">
        <f t="shared" si="13"/>
        <v>3.5123013179693572E-3</v>
      </c>
      <c r="AJ153" s="33"/>
      <c r="AK153" s="33"/>
      <c r="AL153" s="34"/>
    </row>
    <row r="154" spans="3:38" x14ac:dyDescent="0.35">
      <c r="C154" s="3">
        <v>51</v>
      </c>
      <c r="D154" s="3">
        <f t="shared" si="7"/>
        <v>290.00000000000023</v>
      </c>
      <c r="E154" s="20">
        <f t="shared" si="10"/>
        <v>1.091044257208895</v>
      </c>
      <c r="F154" s="20">
        <f t="shared" si="11"/>
        <v>-2.9976194603070434</v>
      </c>
      <c r="G154" s="21">
        <f t="shared" si="12"/>
        <v>-1.1008806453020683E-3</v>
      </c>
      <c r="H154" s="3">
        <f t="shared" si="13"/>
        <v>3.3000212458328556E-3</v>
      </c>
      <c r="AJ154" s="33"/>
      <c r="AK154" s="33"/>
      <c r="AL154" s="34"/>
    </row>
    <row r="155" spans="3:38" x14ac:dyDescent="0.35">
      <c r="C155" s="3">
        <v>52</v>
      </c>
      <c r="D155" s="3">
        <f t="shared" si="7"/>
        <v>295.80000000000024</v>
      </c>
      <c r="E155" s="20">
        <f t="shared" si="10"/>
        <v>1.3883872069977354</v>
      </c>
      <c r="F155" s="20">
        <f t="shared" si="11"/>
        <v>-2.8720168807729918</v>
      </c>
      <c r="G155" s="21">
        <f t="shared" si="12"/>
        <v>-1.0547528927170595E-3</v>
      </c>
      <c r="H155" s="3">
        <f t="shared" si="13"/>
        <v>3.0292681129275392E-3</v>
      </c>
      <c r="AJ155" s="33"/>
      <c r="AK155" s="33"/>
      <c r="AL155" s="34"/>
    </row>
    <row r="156" spans="3:38" x14ac:dyDescent="0.35">
      <c r="C156" s="3">
        <v>53</v>
      </c>
      <c r="D156" s="3">
        <f t="shared" si="7"/>
        <v>301.60000000000025</v>
      </c>
      <c r="E156" s="20">
        <f t="shared" si="10"/>
        <v>1.6715150400445646</v>
      </c>
      <c r="F156" s="20">
        <f t="shared" si="11"/>
        <v>-2.7170089199163141</v>
      </c>
      <c r="G156" s="21">
        <f t="shared" si="12"/>
        <v>-9.9782596578905695E-4</v>
      </c>
      <c r="H156" s="3">
        <f t="shared" si="13"/>
        <v>2.7111020495729789E-3</v>
      </c>
      <c r="AJ156" s="33"/>
      <c r="AK156" s="33"/>
      <c r="AL156" s="34"/>
    </row>
    <row r="157" spans="3:38" x14ac:dyDescent="0.35">
      <c r="C157" s="3">
        <v>54</v>
      </c>
      <c r="D157" s="3">
        <f t="shared" si="7"/>
        <v>307.40000000000026</v>
      </c>
      <c r="E157" s="20">
        <f t="shared" si="10"/>
        <v>1.9375289287172959</v>
      </c>
      <c r="F157" s="20">
        <f t="shared" si="11"/>
        <v>-2.534182639507975</v>
      </c>
      <c r="G157" s="21">
        <f t="shared" si="12"/>
        <v>-9.306827155469154E-4</v>
      </c>
      <c r="H157" s="3">
        <f t="shared" si="13"/>
        <v>2.358519980629132E-3</v>
      </c>
      <c r="AJ157" s="33"/>
      <c r="AK157" s="33"/>
      <c r="AL157" s="34"/>
    </row>
    <row r="158" spans="3:38" x14ac:dyDescent="0.35">
      <c r="C158" s="3">
        <v>55</v>
      </c>
      <c r="D158" s="3">
        <f t="shared" si="7"/>
        <v>313.20000000000027</v>
      </c>
      <c r="E158" s="20">
        <f t="shared" si="10"/>
        <v>2.1837052679125271</v>
      </c>
      <c r="F158" s="20">
        <f t="shared" si="11"/>
        <v>-2.3254099214742934</v>
      </c>
      <c r="G158" s="21">
        <f t="shared" si="12"/>
        <v>-8.5401059368697642E-4</v>
      </c>
      <c r="H158" s="3">
        <f t="shared" si="13"/>
        <v>1.9859247076038466E-3</v>
      </c>
      <c r="AJ158" s="33"/>
      <c r="AK158" s="33"/>
      <c r="AL158" s="34"/>
    </row>
    <row r="159" spans="3:38" x14ac:dyDescent="0.35">
      <c r="C159" s="3">
        <v>56</v>
      </c>
      <c r="D159" s="3">
        <f t="shared" si="7"/>
        <v>319.00000000000028</v>
      </c>
      <c r="E159" s="20">
        <f t="shared" si="10"/>
        <v>2.4075235609106538</v>
      </c>
      <c r="F159" s="20">
        <f t="shared" si="11"/>
        <v>-2.0928283024797056</v>
      </c>
      <c r="G159" s="21">
        <f t="shared" si="12"/>
        <v>-7.6859461404227031E-4</v>
      </c>
      <c r="H159" s="3">
        <f t="shared" si="13"/>
        <v>1.608536561401129E-3</v>
      </c>
      <c r="AJ159" s="33"/>
      <c r="AK159" s="33"/>
      <c r="AL159" s="34"/>
    </row>
    <row r="160" spans="3:38" x14ac:dyDescent="0.35">
      <c r="C160" s="3">
        <v>57</v>
      </c>
      <c r="D160" s="3">
        <f t="shared" si="7"/>
        <v>324.8000000000003</v>
      </c>
      <c r="E160" s="20">
        <f t="shared" si="10"/>
        <v>2.6066922256890677</v>
      </c>
      <c r="F160" s="20">
        <f t="shared" si="11"/>
        <v>-1.8388190885816291</v>
      </c>
      <c r="G160" s="21">
        <f t="shared" si="12"/>
        <v>-6.7530931515375056E-4</v>
      </c>
      <c r="H160" s="3">
        <f t="shared" si="13"/>
        <v>1.2417716594017038E-3</v>
      </c>
      <c r="AJ160" s="33"/>
      <c r="AK160" s="33"/>
      <c r="AL160" s="34"/>
    </row>
    <row r="161" spans="3:38" x14ac:dyDescent="0.35">
      <c r="C161" s="3">
        <v>58</v>
      </c>
      <c r="D161" s="3">
        <f t="shared" si="7"/>
        <v>330.60000000000031</v>
      </c>
      <c r="E161" s="20">
        <f t="shared" si="10"/>
        <v>2.7791720574734122</v>
      </c>
      <c r="F161" s="20">
        <f t="shared" si="11"/>
        <v>-1.5659829740322853</v>
      </c>
      <c r="G161" s="21">
        <f t="shared" si="12"/>
        <v>-5.7510980623542204E-4</v>
      </c>
      <c r="H161" s="3">
        <f t="shared" si="13"/>
        <v>9.006121647636776E-4</v>
      </c>
      <c r="AJ161" s="33"/>
      <c r="AK161" s="33"/>
      <c r="AL161" s="34"/>
    </row>
    <row r="162" spans="3:38" x14ac:dyDescent="0.35">
      <c r="C162" s="3">
        <v>59</v>
      </c>
      <c r="D162" s="3">
        <f t="shared" si="7"/>
        <v>336.40000000000032</v>
      </c>
      <c r="E162" s="20">
        <f t="shared" si="10"/>
        <v>2.9231971073035505</v>
      </c>
      <c r="F162" s="20">
        <f t="shared" si="11"/>
        <v>-1.2771134138564804</v>
      </c>
      <c r="G162" s="21">
        <f t="shared" si="12"/>
        <v>-4.6902198821001764E-4</v>
      </c>
      <c r="H162" s="3">
        <f t="shared" si="13"/>
        <v>5.9899427253664954E-4</v>
      </c>
      <c r="AJ162" s="33"/>
      <c r="AK162" s="33"/>
      <c r="AL162" s="34"/>
    </row>
    <row r="163" spans="3:38" x14ac:dyDescent="0.35">
      <c r="C163" s="3">
        <v>60</v>
      </c>
      <c r="D163" s="3">
        <f t="shared" si="7"/>
        <v>342.20000000000033</v>
      </c>
      <c r="E163" s="20">
        <f t="shared" si="10"/>
        <v>3.0372927628474282</v>
      </c>
      <c r="F163" s="20">
        <f t="shared" si="11"/>
        <v>-0.97516802283228943</v>
      </c>
      <c r="G163" s="21">
        <f t="shared" si="12"/>
        <v>-3.5813204993791664E-4</v>
      </c>
      <c r="H163" s="3">
        <f t="shared" si="13"/>
        <v>3.4923892305083296E-4</v>
      </c>
      <c r="AJ163" s="33"/>
      <c r="AK163" s="33"/>
      <c r="AL163" s="34"/>
    </row>
    <row r="164" spans="3:38" x14ac:dyDescent="0.35">
      <c r="C164" s="3">
        <v>61</v>
      </c>
      <c r="D164" s="3">
        <f t="shared" si="7"/>
        <v>348.00000000000034</v>
      </c>
      <c r="E164" s="20">
        <f t="shared" si="10"/>
        <v>3.1202908463408434</v>
      </c>
      <c r="F164" s="20">
        <f t="shared" si="11"/>
        <v>-0.66323829370863452</v>
      </c>
      <c r="G164" s="21">
        <f>$F$99*F164</f>
        <v>-2.4357534718306642E-4</v>
      </c>
      <c r="H164" s="3">
        <f t="shared" si="13"/>
        <v>1.6154849765518523E-4</v>
      </c>
      <c r="AJ164" s="33"/>
      <c r="AK164" s="33"/>
      <c r="AL164" s="34"/>
    </row>
    <row r="165" spans="3:38" x14ac:dyDescent="0.35">
      <c r="C165" s="3">
        <v>62</v>
      </c>
      <c r="D165" s="3">
        <f t="shared" si="7"/>
        <v>353.80000000000035</v>
      </c>
      <c r="E165" s="20">
        <f t="shared" si="10"/>
        <v>3.171341575071688</v>
      </c>
      <c r="F165" s="20">
        <f t="shared" si="11"/>
        <v>-0.3445179447021951</v>
      </c>
      <c r="G165" s="21">
        <f t="shared" si="12"/>
        <v>-1.2652477817949787E-4</v>
      </c>
      <c r="H165" s="3">
        <f>$F$99*F165^2</f>
        <v>4.3590056532301749E-5</v>
      </c>
      <c r="AJ165" s="33"/>
      <c r="AK165" s="33"/>
    </row>
    <row r="166" spans="3:38" x14ac:dyDescent="0.35">
      <c r="E166" s="20">
        <f t="shared" si="10"/>
        <v>3.19</v>
      </c>
      <c r="F166" s="20">
        <f t="shared" si="11"/>
        <v>0</v>
      </c>
    </row>
    <row r="169" spans="3:38" x14ac:dyDescent="0.35">
      <c r="C169" s="133" t="s">
        <v>138</v>
      </c>
      <c r="D169" s="133"/>
      <c r="E169" s="133"/>
      <c r="F169" s="133"/>
      <c r="G169" s="133"/>
    </row>
    <row r="170" spans="3:38" x14ac:dyDescent="0.35">
      <c r="C170" s="127" t="s">
        <v>139</v>
      </c>
      <c r="D170" s="127"/>
      <c r="E170" s="3"/>
      <c r="F170" s="29">
        <f>SUM(G104:G143)/(F99*F95)</f>
        <v>0.41045049745014334</v>
      </c>
      <c r="G170" s="3"/>
    </row>
    <row r="171" spans="3:38" x14ac:dyDescent="0.35">
      <c r="C171" s="127" t="s">
        <v>140</v>
      </c>
      <c r="D171" s="127"/>
      <c r="E171" s="2" t="s">
        <v>136</v>
      </c>
      <c r="F171" s="21">
        <f>SUM(H104:H165)*F95/62</f>
        <v>0.23757439937241823</v>
      </c>
      <c r="G171" s="3" t="s">
        <v>141</v>
      </c>
    </row>
    <row r="172" spans="3:38" x14ac:dyDescent="0.35">
      <c r="C172" s="127" t="s">
        <v>142</v>
      </c>
      <c r="D172" s="127"/>
      <c r="E172" s="2" t="s">
        <v>143</v>
      </c>
      <c r="F172" s="21">
        <f>ABS(MAX(F104:F165))</f>
        <v>3.1861915781191747</v>
      </c>
      <c r="G172" s="3" t="s">
        <v>117</v>
      </c>
    </row>
    <row r="173" spans="3:38" x14ac:dyDescent="0.35">
      <c r="C173" s="127" t="s">
        <v>291</v>
      </c>
      <c r="D173" s="127"/>
      <c r="E173" s="2" t="s">
        <v>144</v>
      </c>
      <c r="F173" s="30">
        <f>F91*F172/F171/10^6</f>
        <v>-67.967510981377288</v>
      </c>
      <c r="G173" s="3" t="s">
        <v>108</v>
      </c>
    </row>
    <row r="174" spans="3:38" x14ac:dyDescent="0.35">
      <c r="C174" s="127" t="s">
        <v>145</v>
      </c>
      <c r="D174" s="127"/>
      <c r="E174" s="2" t="s">
        <v>146</v>
      </c>
      <c r="F174" s="3">
        <f>F97*F95+F93*F96</f>
        <v>4.6654868522326032E-2</v>
      </c>
      <c r="G174" s="3" t="s">
        <v>126</v>
      </c>
    </row>
    <row r="175" spans="3:38" x14ac:dyDescent="0.35">
      <c r="C175" s="127" t="s">
        <v>147</v>
      </c>
      <c r="D175" s="127"/>
      <c r="E175" s="127"/>
      <c r="F175" s="31">
        <f>'Material Property'!D43*'Stringer skin'!F174</f>
        <v>129.70053449206637</v>
      </c>
      <c r="G175" s="3" t="s">
        <v>148</v>
      </c>
    </row>
    <row r="176" spans="3:38" x14ac:dyDescent="0.35">
      <c r="D176" s="1" t="s">
        <v>149</v>
      </c>
    </row>
    <row r="178" spans="1:8" s="11" customFormat="1" ht="15" thickBot="1" x14ac:dyDescent="0.4">
      <c r="A178" s="59"/>
    </row>
    <row r="179" spans="1:8" ht="18.5" x14ac:dyDescent="0.45">
      <c r="A179" s="36" t="s">
        <v>150</v>
      </c>
    </row>
    <row r="180" spans="1:8" x14ac:dyDescent="0.35">
      <c r="A180" s="132" t="s">
        <v>151</v>
      </c>
      <c r="C180" s="1" t="s">
        <v>152</v>
      </c>
    </row>
    <row r="181" spans="1:8" x14ac:dyDescent="0.35">
      <c r="A181" s="132"/>
      <c r="C181" s="1" t="s">
        <v>153</v>
      </c>
    </row>
    <row r="182" spans="1:8" x14ac:dyDescent="0.35">
      <c r="A182" s="132"/>
      <c r="C182" s="133" t="s">
        <v>154</v>
      </c>
      <c r="D182" s="133"/>
      <c r="E182" s="133"/>
      <c r="F182" s="133"/>
      <c r="G182" s="133"/>
    </row>
    <row r="183" spans="1:8" x14ac:dyDescent="0.35">
      <c r="A183" s="132"/>
      <c r="C183" s="127" t="s">
        <v>290</v>
      </c>
      <c r="D183" s="127"/>
      <c r="E183" s="3" t="s">
        <v>156</v>
      </c>
      <c r="F183" s="62">
        <v>3</v>
      </c>
      <c r="G183" s="3" t="s">
        <v>157</v>
      </c>
    </row>
    <row r="184" spans="1:8" x14ac:dyDescent="0.35">
      <c r="A184" s="132"/>
      <c r="C184" s="127" t="s">
        <v>158</v>
      </c>
      <c r="D184" s="127"/>
      <c r="E184" s="3" t="s">
        <v>159</v>
      </c>
      <c r="F184" s="62">
        <v>80</v>
      </c>
      <c r="G184" s="3" t="s">
        <v>157</v>
      </c>
    </row>
    <row r="185" spans="1:8" x14ac:dyDescent="0.35">
      <c r="A185" s="132"/>
      <c r="C185" s="127" t="s">
        <v>160</v>
      </c>
      <c r="D185" s="127"/>
      <c r="E185" s="3" t="s">
        <v>161</v>
      </c>
      <c r="F185" s="62">
        <v>55</v>
      </c>
      <c r="G185" s="3" t="s">
        <v>157</v>
      </c>
    </row>
    <row r="186" spans="1:8" x14ac:dyDescent="0.35">
      <c r="C186" s="127" t="s">
        <v>162</v>
      </c>
      <c r="D186" s="127"/>
      <c r="E186" s="3" t="s">
        <v>163</v>
      </c>
      <c r="F186" s="3">
        <f>F185*F183*2+(F184-2*F183)*F183</f>
        <v>552</v>
      </c>
      <c r="G186" s="3" t="s">
        <v>164</v>
      </c>
    </row>
    <row r="187" spans="1:8" x14ac:dyDescent="0.35">
      <c r="C187" s="127" t="s">
        <v>165</v>
      </c>
      <c r="D187" s="127"/>
      <c r="E187" s="127"/>
      <c r="F187" s="32">
        <f>F97*10^6</f>
        <v>98.800887265784795</v>
      </c>
      <c r="G187" s="3" t="s">
        <v>164</v>
      </c>
    </row>
    <row r="189" spans="1:8" x14ac:dyDescent="0.35">
      <c r="C189" s="133" t="s">
        <v>166</v>
      </c>
      <c r="D189" s="133"/>
      <c r="E189" s="133"/>
      <c r="F189" s="133"/>
      <c r="G189" s="133"/>
      <c r="H189" s="133"/>
    </row>
    <row r="190" spans="1:8" x14ac:dyDescent="0.35">
      <c r="C190" s="127" t="s">
        <v>167</v>
      </c>
      <c r="D190" s="127"/>
      <c r="E190" s="2" t="s">
        <v>168</v>
      </c>
      <c r="F190" s="2" t="s">
        <v>169</v>
      </c>
      <c r="G190" s="3" t="s">
        <v>170</v>
      </c>
      <c r="H190" s="3" t="s">
        <v>171</v>
      </c>
    </row>
    <row r="191" spans="1:8" x14ac:dyDescent="0.35">
      <c r="C191" s="127" t="s">
        <v>172</v>
      </c>
      <c r="D191" s="127"/>
      <c r="E191" s="2" t="s">
        <v>173</v>
      </c>
      <c r="F191" s="2" t="s">
        <v>110</v>
      </c>
      <c r="G191" s="2">
        <v>0.23499999999999999</v>
      </c>
      <c r="H191" s="2">
        <v>0.152</v>
      </c>
    </row>
    <row r="192" spans="1:8" x14ac:dyDescent="0.35">
      <c r="C192" s="127" t="s">
        <v>174</v>
      </c>
      <c r="D192" s="127"/>
      <c r="E192" s="2"/>
      <c r="F192" s="2"/>
      <c r="G192" s="2">
        <v>40</v>
      </c>
      <c r="H192" s="2">
        <v>62</v>
      </c>
    </row>
    <row r="193" spans="3:9" x14ac:dyDescent="0.35">
      <c r="C193" s="127" t="s">
        <v>125</v>
      </c>
      <c r="D193" s="127"/>
      <c r="E193" s="2"/>
      <c r="F193" s="2" t="s">
        <v>164</v>
      </c>
      <c r="G193" s="2">
        <v>900</v>
      </c>
      <c r="H193" s="2">
        <v>550</v>
      </c>
    </row>
    <row r="194" spans="3:9" x14ac:dyDescent="0.35">
      <c r="C194" s="127" t="s">
        <v>155</v>
      </c>
      <c r="D194" s="127"/>
      <c r="E194" s="2" t="s">
        <v>156</v>
      </c>
      <c r="F194" s="2" t="s">
        <v>157</v>
      </c>
      <c r="G194" s="2">
        <v>3</v>
      </c>
      <c r="H194" s="2">
        <v>3</v>
      </c>
    </row>
    <row r="195" spans="3:9" x14ac:dyDescent="0.35">
      <c r="C195" s="127" t="s">
        <v>158</v>
      </c>
      <c r="D195" s="127"/>
      <c r="E195" s="2" t="s">
        <v>159</v>
      </c>
      <c r="F195" s="2" t="s">
        <v>157</v>
      </c>
      <c r="G195" s="2">
        <v>120</v>
      </c>
      <c r="H195" s="2">
        <v>80</v>
      </c>
    </row>
    <row r="196" spans="3:9" x14ac:dyDescent="0.35">
      <c r="C196" s="127" t="s">
        <v>160</v>
      </c>
      <c r="D196" s="127"/>
      <c r="E196" s="2" t="s">
        <v>161</v>
      </c>
      <c r="F196" s="2" t="s">
        <v>157</v>
      </c>
      <c r="G196" s="2">
        <v>60</v>
      </c>
      <c r="H196" s="2">
        <v>55</v>
      </c>
    </row>
    <row r="197" spans="3:9" x14ac:dyDescent="0.35">
      <c r="C197" s="127" t="s">
        <v>175</v>
      </c>
      <c r="D197" s="127"/>
      <c r="E197" s="2" t="s">
        <v>163</v>
      </c>
      <c r="F197" s="2" t="s">
        <v>164</v>
      </c>
      <c r="G197" s="2">
        <v>702</v>
      </c>
      <c r="H197" s="2">
        <v>552</v>
      </c>
    </row>
    <row r="200" spans="3:9" x14ac:dyDescent="0.35">
      <c r="C200" s="134" t="s">
        <v>170</v>
      </c>
      <c r="D200" s="134"/>
      <c r="H200" s="134" t="s">
        <v>171</v>
      </c>
      <c r="I200" s="134"/>
    </row>
    <row r="221" spans="1:3" s="11" customFormat="1" ht="15" thickBot="1" x14ac:dyDescent="0.4">
      <c r="A221" s="59"/>
    </row>
    <row r="222" spans="1:3" ht="18.5" x14ac:dyDescent="0.45">
      <c r="A222" s="36" t="s">
        <v>176</v>
      </c>
    </row>
    <row r="223" spans="1:3" x14ac:dyDescent="0.35">
      <c r="A223" s="132" t="s">
        <v>177</v>
      </c>
      <c r="C223" s="60" t="s">
        <v>178</v>
      </c>
    </row>
    <row r="224" spans="1:3" x14ac:dyDescent="0.35">
      <c r="A224" s="132"/>
    </row>
    <row r="225" spans="1:3" x14ac:dyDescent="0.35">
      <c r="A225" s="132"/>
      <c r="C225" s="60" t="s">
        <v>179</v>
      </c>
    </row>
    <row r="226" spans="1:3" x14ac:dyDescent="0.35">
      <c r="A226" s="132"/>
    </row>
    <row r="227" spans="1:3" x14ac:dyDescent="0.35">
      <c r="A227" s="132"/>
    </row>
    <row r="228" spans="1:3" x14ac:dyDescent="0.35">
      <c r="A228" s="132"/>
    </row>
    <row r="229" spans="1:3" x14ac:dyDescent="0.35">
      <c r="A229" s="132"/>
    </row>
    <row r="230" spans="1:3" x14ac:dyDescent="0.35">
      <c r="A230" s="132"/>
    </row>
  </sheetData>
  <mergeCells count="60">
    <mergeCell ref="A90:A96"/>
    <mergeCell ref="H3:P24"/>
    <mergeCell ref="Q3:Q24"/>
    <mergeCell ref="K29:N49"/>
    <mergeCell ref="O29:P49"/>
    <mergeCell ref="D31:E31"/>
    <mergeCell ref="D32:E32"/>
    <mergeCell ref="C42:I42"/>
    <mergeCell ref="D30:E30"/>
    <mergeCell ref="D29:I29"/>
    <mergeCell ref="G30:I30"/>
    <mergeCell ref="D34:G34"/>
    <mergeCell ref="A4:A13"/>
    <mergeCell ref="A30:A36"/>
    <mergeCell ref="C82:F82"/>
    <mergeCell ref="C83:D83"/>
    <mergeCell ref="C96:D96"/>
    <mergeCell ref="C97:D97"/>
    <mergeCell ref="B1:E1"/>
    <mergeCell ref="F1:G1"/>
    <mergeCell ref="C4:F5"/>
    <mergeCell ref="C6:F7"/>
    <mergeCell ref="C3:F3"/>
    <mergeCell ref="C91:D91"/>
    <mergeCell ref="C92:D92"/>
    <mergeCell ref="C93:D93"/>
    <mergeCell ref="C94:D94"/>
    <mergeCell ref="C95:D95"/>
    <mergeCell ref="C90:D90"/>
    <mergeCell ref="C89:G89"/>
    <mergeCell ref="C187:E187"/>
    <mergeCell ref="C191:D191"/>
    <mergeCell ref="C175:E175"/>
    <mergeCell ref="C169:G169"/>
    <mergeCell ref="C102:H102"/>
    <mergeCell ref="C183:D183"/>
    <mergeCell ref="C171:D171"/>
    <mergeCell ref="C170:D170"/>
    <mergeCell ref="C173:D173"/>
    <mergeCell ref="C172:D172"/>
    <mergeCell ref="C174:D174"/>
    <mergeCell ref="C184:D184"/>
    <mergeCell ref="C185:D185"/>
    <mergeCell ref="C182:G182"/>
    <mergeCell ref="A180:A185"/>
    <mergeCell ref="C98:D98"/>
    <mergeCell ref="C99:D99"/>
    <mergeCell ref="A223:A230"/>
    <mergeCell ref="H1:Z1"/>
    <mergeCell ref="C197:D197"/>
    <mergeCell ref="C190:D190"/>
    <mergeCell ref="C189:H189"/>
    <mergeCell ref="C200:D200"/>
    <mergeCell ref="H200:I200"/>
    <mergeCell ref="C192:D192"/>
    <mergeCell ref="C193:D193"/>
    <mergeCell ref="C194:D194"/>
    <mergeCell ref="C195:D195"/>
    <mergeCell ref="C196:D196"/>
    <mergeCell ref="C186:D186"/>
  </mergeCells>
  <phoneticPr fontId="1" type="noConversion"/>
  <conditionalFormatting sqref="G44:G80">
    <cfRule type="cellIs" dxfId="1" priority="5" operator="equal">
      <formula>$E$83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1"/>
  <sheetViews>
    <sheetView zoomScale="85" zoomScaleNormal="85" workbookViewId="0">
      <pane xSplit="1" topLeftCell="B1" activePane="topRight" state="frozen"/>
      <selection pane="topRight" activeCell="E6" sqref="E6"/>
    </sheetView>
  </sheetViews>
  <sheetFormatPr defaultColWidth="8.83203125" defaultRowHeight="14.5" x14ac:dyDescent="0.35"/>
  <cols>
    <col min="1" max="1" width="25.75" style="68" customWidth="1"/>
    <col min="2" max="2" width="13.75" style="69" bestFit="1" customWidth="1"/>
    <col min="3" max="3" width="32" style="69" bestFit="1" customWidth="1"/>
    <col min="4" max="4" width="11" style="69" bestFit="1" customWidth="1"/>
    <col min="5" max="5" width="12.33203125" style="69" bestFit="1" customWidth="1"/>
    <col min="6" max="15" width="8.83203125" style="69"/>
    <col min="16" max="16" width="25.25" style="69" customWidth="1"/>
    <col min="17" max="16384" width="8.83203125" style="69"/>
  </cols>
  <sheetData>
    <row r="1" spans="1:26" s="77" customFormat="1" ht="39" customHeight="1" thickBot="1" x14ac:dyDescent="0.4">
      <c r="A1" s="88"/>
      <c r="B1" s="128" t="s">
        <v>180</v>
      </c>
      <c r="C1" s="151"/>
      <c r="D1" s="152"/>
      <c r="E1" s="130" t="s">
        <v>1</v>
      </c>
      <c r="F1" s="153"/>
      <c r="G1" s="131" t="s">
        <v>181</v>
      </c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3" spans="1:26" x14ac:dyDescent="0.35">
      <c r="A3" s="98" t="s">
        <v>3</v>
      </c>
      <c r="B3" s="1"/>
      <c r="C3" s="155" t="s">
        <v>182</v>
      </c>
      <c r="D3" s="156"/>
      <c r="E3" s="156"/>
      <c r="F3" s="15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50" t="s">
        <v>183</v>
      </c>
      <c r="B4" s="1"/>
      <c r="C4" s="70" t="s">
        <v>184</v>
      </c>
      <c r="D4" s="70" t="s">
        <v>86</v>
      </c>
      <c r="E4" s="70" t="s">
        <v>87</v>
      </c>
      <c r="F4" s="70" t="s">
        <v>185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61"/>
      <c r="B5" s="1"/>
      <c r="C5" s="3" t="s">
        <v>115</v>
      </c>
      <c r="D5" s="2" t="s">
        <v>116</v>
      </c>
      <c r="E5" s="3">
        <f>'Stringer skin'!F92</f>
        <v>6.38</v>
      </c>
      <c r="F5" s="3" t="s">
        <v>117</v>
      </c>
      <c r="G5" s="1"/>
      <c r="H5" s="1"/>
      <c r="I5" s="1"/>
      <c r="J5" s="1"/>
      <c r="K5" s="1"/>
      <c r="L5" s="1"/>
      <c r="M5" s="1"/>
      <c r="N5" s="1"/>
      <c r="O5" s="1"/>
      <c r="P5" s="72" t="s">
        <v>184</v>
      </c>
      <c r="Q5" s="72" t="s">
        <v>86</v>
      </c>
      <c r="R5" s="72" t="s">
        <v>87</v>
      </c>
      <c r="S5" s="72" t="s">
        <v>185</v>
      </c>
      <c r="T5" s="1"/>
      <c r="U5" s="1"/>
      <c r="V5" s="1"/>
      <c r="W5" s="1"/>
      <c r="X5" s="1"/>
      <c r="Y5" s="1"/>
      <c r="Z5" s="1"/>
    </row>
    <row r="6" spans="1:26" x14ac:dyDescent="0.35">
      <c r="A6" s="161"/>
      <c r="B6" s="1"/>
      <c r="C6" s="3" t="s">
        <v>123</v>
      </c>
      <c r="D6" s="2" t="s">
        <v>124</v>
      </c>
      <c r="E6" s="21">
        <v>2.4152418464189998E-3</v>
      </c>
      <c r="F6" s="3" t="s">
        <v>117</v>
      </c>
      <c r="G6" s="1"/>
      <c r="H6" s="1"/>
      <c r="I6" s="1"/>
      <c r="J6" s="1"/>
      <c r="K6" s="1"/>
      <c r="L6" s="1"/>
      <c r="M6" s="1"/>
      <c r="N6" s="1"/>
      <c r="O6" s="1"/>
      <c r="P6" s="3" t="s">
        <v>186</v>
      </c>
      <c r="Q6" s="2" t="s">
        <v>187</v>
      </c>
      <c r="R6" s="3">
        <v>6.7000000000000004E-2</v>
      </c>
      <c r="S6" s="3" t="s">
        <v>62</v>
      </c>
      <c r="T6" s="1"/>
      <c r="U6" s="1"/>
      <c r="V6" s="1"/>
      <c r="W6" s="1"/>
      <c r="X6" s="1"/>
      <c r="Y6" s="1"/>
      <c r="Z6" s="1"/>
    </row>
    <row r="7" spans="1:26" x14ac:dyDescent="0.35">
      <c r="A7" s="161"/>
      <c r="B7" s="1"/>
      <c r="C7" s="3" t="s">
        <v>186</v>
      </c>
      <c r="D7" s="2" t="s">
        <v>187</v>
      </c>
      <c r="E7" s="3">
        <v>0.67</v>
      </c>
      <c r="F7" s="3" t="s">
        <v>188</v>
      </c>
      <c r="G7" s="1"/>
      <c r="H7" s="1"/>
      <c r="I7" s="1"/>
      <c r="J7" s="1"/>
      <c r="K7" s="1"/>
      <c r="L7" s="1"/>
      <c r="M7" s="1"/>
      <c r="N7" s="1"/>
      <c r="O7" s="1"/>
      <c r="P7" s="3" t="s">
        <v>292</v>
      </c>
      <c r="Q7" s="2" t="s">
        <v>192</v>
      </c>
      <c r="R7" s="3">
        <f>'Material Property'!D41/1.6</f>
        <v>284.375</v>
      </c>
      <c r="S7" s="3" t="s">
        <v>108</v>
      </c>
      <c r="T7" s="1"/>
      <c r="U7" s="1"/>
      <c r="V7" s="1"/>
      <c r="W7" s="1"/>
      <c r="X7" s="1"/>
      <c r="Y7" s="1"/>
      <c r="Z7" s="1"/>
    </row>
    <row r="8" spans="1:26" x14ac:dyDescent="0.35">
      <c r="A8" s="35"/>
      <c r="B8" s="1"/>
      <c r="C8" s="3" t="s">
        <v>189</v>
      </c>
      <c r="D8" s="2" t="s">
        <v>190</v>
      </c>
      <c r="E8" s="3">
        <v>0.1013</v>
      </c>
      <c r="F8" s="3" t="s">
        <v>191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35"/>
      <c r="B9" s="1"/>
      <c r="C9" s="3" t="s">
        <v>292</v>
      </c>
      <c r="D9" s="2" t="s">
        <v>192</v>
      </c>
      <c r="E9" s="3">
        <f>'Material Property'!D41/1.5</f>
        <v>303.33333333333331</v>
      </c>
      <c r="F9" s="3" t="s">
        <v>108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78" customFormat="1" ht="15" thickBot="1" x14ac:dyDescent="0.4">
      <c r="A10" s="9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2" spans="1:26" x14ac:dyDescent="0.35">
      <c r="A12" s="98" t="s">
        <v>22</v>
      </c>
      <c r="B12" s="1"/>
      <c r="C12" s="157" t="s">
        <v>193</v>
      </c>
      <c r="D12" s="158"/>
      <c r="E12" s="158"/>
      <c r="F12" s="15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50" t="s">
        <v>194</v>
      </c>
      <c r="B13" s="1"/>
      <c r="C13" s="71" t="s">
        <v>195</v>
      </c>
      <c r="D13" s="71" t="s">
        <v>168</v>
      </c>
      <c r="E13" s="71" t="s">
        <v>196</v>
      </c>
      <c r="F13" s="71" t="s">
        <v>185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61"/>
      <c r="B14" s="1"/>
      <c r="C14" s="12" t="s">
        <v>197</v>
      </c>
      <c r="D14" s="100" t="s">
        <v>198</v>
      </c>
      <c r="E14" s="101">
        <f>(E5/(2*E6))*R6</f>
        <v>88.49217328562375</v>
      </c>
      <c r="F14" s="100" t="s">
        <v>108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161"/>
      <c r="B15" s="1"/>
      <c r="C15" s="3" t="s">
        <v>199</v>
      </c>
      <c r="D15" s="102" t="s">
        <v>200</v>
      </c>
      <c r="E15" s="103">
        <f>(E5/(4*E6))*R6</f>
        <v>44.246086642811875</v>
      </c>
      <c r="F15" s="102" t="s">
        <v>108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61"/>
      <c r="B16" s="1"/>
      <c r="C16" s="3" t="s">
        <v>201</v>
      </c>
      <c r="D16" s="102" t="s">
        <v>202</v>
      </c>
      <c r="E16" s="103">
        <f>(E5/(4*E6))*R6</f>
        <v>44.246086642811875</v>
      </c>
      <c r="F16" s="102" t="s">
        <v>108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" x14ac:dyDescent="0.35">
      <c r="A17" s="161"/>
      <c r="B17" s="1"/>
    </row>
    <row r="20" spans="1:2" x14ac:dyDescent="0.35">
      <c r="A20" s="35"/>
      <c r="B20" s="104"/>
    </row>
    <row r="31" spans="1:2" s="78" customFormat="1" ht="15" thickBot="1" x14ac:dyDescent="0.4">
      <c r="A31" s="35"/>
      <c r="B31" s="11"/>
    </row>
    <row r="32" spans="1:2" x14ac:dyDescent="0.35">
      <c r="A32" s="95"/>
      <c r="B32" s="1"/>
    </row>
    <row r="33" spans="1:9" ht="15" customHeight="1" x14ac:dyDescent="0.35">
      <c r="A33" s="105" t="s">
        <v>48</v>
      </c>
      <c r="B33" s="1"/>
      <c r="C33" s="141" t="s">
        <v>203</v>
      </c>
      <c r="D33" s="159"/>
      <c r="E33" s="159"/>
      <c r="F33" s="160"/>
    </row>
    <row r="34" spans="1:9" ht="16" customHeight="1" x14ac:dyDescent="0.35">
      <c r="A34" s="150" t="s">
        <v>204</v>
      </c>
      <c r="B34" s="1"/>
      <c r="C34" s="72" t="s">
        <v>184</v>
      </c>
      <c r="D34" s="72" t="s">
        <v>168</v>
      </c>
      <c r="E34" s="72" t="s">
        <v>196</v>
      </c>
      <c r="F34" s="72" t="s">
        <v>169</v>
      </c>
    </row>
    <row r="35" spans="1:9" x14ac:dyDescent="0.35">
      <c r="A35" s="150"/>
      <c r="B35" s="1"/>
      <c r="C35" s="3" t="s">
        <v>205</v>
      </c>
      <c r="D35" s="2" t="s">
        <v>206</v>
      </c>
      <c r="E35" s="25">
        <f>1000*E5*R6/(2*E9)</f>
        <v>0.70460439560439569</v>
      </c>
      <c r="F35" s="3" t="s">
        <v>207</v>
      </c>
      <c r="I35" s="25">
        <f>1000*E5*R6/(4*R7)</f>
        <v>0.37578901098901102</v>
      </c>
    </row>
    <row r="36" spans="1:9" x14ac:dyDescent="0.35">
      <c r="A36" s="150"/>
      <c r="B36" s="1"/>
      <c r="C36" s="106" t="s">
        <v>208</v>
      </c>
      <c r="D36" s="2" t="s">
        <v>209</v>
      </c>
      <c r="E36" s="25">
        <f>(2-'Material Property'!E37)/(1-'Material Property'!E37)</f>
        <v>2.4925373134328361</v>
      </c>
      <c r="F36" s="3"/>
    </row>
    <row r="37" spans="1:9" x14ac:dyDescent="0.35">
      <c r="A37" s="150"/>
      <c r="B37" s="1"/>
      <c r="C37" s="106" t="s">
        <v>210</v>
      </c>
      <c r="D37" s="2" t="s">
        <v>211</v>
      </c>
      <c r="E37" s="25">
        <f>E35/E36</f>
        <v>0.28268559584128444</v>
      </c>
      <c r="F37" s="3" t="s">
        <v>207</v>
      </c>
      <c r="I37" s="69">
        <f>I35*E36</f>
        <v>0.93666813186813203</v>
      </c>
    </row>
    <row r="40" spans="1:9" x14ac:dyDescent="0.35">
      <c r="E40" s="1">
        <f>2.42 / E36</f>
        <v>0.9708982035928142</v>
      </c>
    </row>
    <row r="41" spans="1:9" x14ac:dyDescent="0.35">
      <c r="E41" s="69">
        <v>68</v>
      </c>
    </row>
  </sheetData>
  <mergeCells count="9">
    <mergeCell ref="A34:A37"/>
    <mergeCell ref="B1:D1"/>
    <mergeCell ref="E1:F1"/>
    <mergeCell ref="G1:Z1"/>
    <mergeCell ref="C3:F3"/>
    <mergeCell ref="C12:F12"/>
    <mergeCell ref="C33:F33"/>
    <mergeCell ref="A13:A17"/>
    <mergeCell ref="A4:A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3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defaultColWidth="8.83203125" defaultRowHeight="14.5" x14ac:dyDescent="0.35"/>
  <cols>
    <col min="1" max="1" width="25.83203125" style="80" customWidth="1"/>
    <col min="2" max="2" width="8.83203125" style="69" customWidth="1"/>
    <col min="3" max="3" width="29.25" style="69" bestFit="1" customWidth="1"/>
    <col min="4" max="4" width="7.75" style="69" bestFit="1" customWidth="1"/>
    <col min="5" max="5" width="13" style="69" bestFit="1" customWidth="1"/>
    <col min="6" max="7" width="10.83203125" style="69" bestFit="1" customWidth="1"/>
    <col min="8" max="11" width="11" style="69" bestFit="1" customWidth="1"/>
    <col min="12" max="13" width="12.25" style="69" bestFit="1" customWidth="1"/>
    <col min="14" max="16" width="10.75" style="69" bestFit="1" customWidth="1"/>
    <col min="17" max="16384" width="8.83203125" style="69"/>
  </cols>
  <sheetData>
    <row r="1" spans="1:26" s="79" customFormat="1" ht="39" customHeight="1" thickBot="1" x14ac:dyDescent="0.4">
      <c r="A1" s="107"/>
      <c r="B1" s="135" t="s">
        <v>212</v>
      </c>
      <c r="C1" s="128"/>
      <c r="D1" s="128"/>
      <c r="E1" s="129"/>
      <c r="F1" s="166" t="s">
        <v>1</v>
      </c>
      <c r="G1" s="166"/>
      <c r="H1" s="164" t="s">
        <v>213</v>
      </c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3" spans="1:26" x14ac:dyDescent="0.35">
      <c r="A3" s="108" t="s">
        <v>3</v>
      </c>
      <c r="B3" s="1"/>
      <c r="C3" s="127" t="s">
        <v>214</v>
      </c>
      <c r="D3" s="127"/>
      <c r="E3" s="127"/>
      <c r="F3" s="12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62" t="s">
        <v>215</v>
      </c>
      <c r="B4" s="1"/>
      <c r="C4" s="72" t="s">
        <v>216</v>
      </c>
      <c r="D4" s="72" t="s">
        <v>86</v>
      </c>
      <c r="E4" s="72" t="s">
        <v>87</v>
      </c>
      <c r="F4" s="72" t="s">
        <v>185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62"/>
      <c r="B5" s="1"/>
      <c r="C5" s="3" t="s">
        <v>217</v>
      </c>
      <c r="D5" s="2" t="s">
        <v>218</v>
      </c>
      <c r="E5" s="40">
        <v>73</v>
      </c>
      <c r="F5" s="3" t="s">
        <v>219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62"/>
      <c r="B6" s="1"/>
      <c r="C6" s="3" t="s">
        <v>115</v>
      </c>
      <c r="D6" s="2" t="s">
        <v>116</v>
      </c>
      <c r="E6" s="40">
        <f>'Stringer skin'!F92</f>
        <v>6.38</v>
      </c>
      <c r="F6" s="3" t="s">
        <v>117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62"/>
      <c r="B7" s="1"/>
      <c r="C7" s="3" t="s">
        <v>220</v>
      </c>
      <c r="D7" s="2" t="s">
        <v>221</v>
      </c>
      <c r="E7" s="40">
        <v>0.5</v>
      </c>
      <c r="F7" s="3" t="s">
        <v>117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108"/>
      <c r="B8" s="1"/>
      <c r="C8" s="3" t="s">
        <v>222</v>
      </c>
      <c r="D8" s="2" t="s">
        <v>223</v>
      </c>
      <c r="E8" s="40">
        <v>700000</v>
      </c>
      <c r="F8" s="3" t="s">
        <v>94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08"/>
      <c r="B9" s="1"/>
      <c r="C9" s="3" t="s">
        <v>224</v>
      </c>
      <c r="D9" s="2" t="s">
        <v>225</v>
      </c>
      <c r="E9" s="40">
        <f>1/16000</f>
        <v>6.2500000000000001E-5</v>
      </c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08"/>
      <c r="B10" s="1"/>
      <c r="C10" s="3" t="s">
        <v>226</v>
      </c>
      <c r="D10" s="2" t="s">
        <v>227</v>
      </c>
      <c r="E10" s="40">
        <v>1.4999999999999999E-2</v>
      </c>
      <c r="F10" s="3" t="s">
        <v>117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78" customFormat="1" ht="16.5" customHeight="1" thickBot="1" x14ac:dyDescent="0.4">
      <c r="A11" s="10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3" spans="1:26" x14ac:dyDescent="0.35">
      <c r="A13" s="108" t="s">
        <v>22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62" t="s">
        <v>228</v>
      </c>
      <c r="B14" s="1"/>
      <c r="C14" s="155" t="s">
        <v>229</v>
      </c>
      <c r="D14" s="155"/>
      <c r="E14" s="155"/>
      <c r="F14" s="15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162"/>
      <c r="B15" s="1"/>
      <c r="C15" s="71" t="s">
        <v>230</v>
      </c>
      <c r="D15" s="71" t="s">
        <v>168</v>
      </c>
      <c r="E15" s="71" t="s">
        <v>196</v>
      </c>
      <c r="F15" s="71" t="s">
        <v>185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62"/>
      <c r="B16" s="1"/>
      <c r="C16" s="110" t="s">
        <v>231</v>
      </c>
      <c r="D16" s="99" t="s">
        <v>232</v>
      </c>
      <c r="E16" s="111">
        <f>E9*E8*E6^2/E7</f>
        <v>3561.6349999999998</v>
      </c>
      <c r="F16" s="110" t="s">
        <v>233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16" x14ac:dyDescent="0.35">
      <c r="A17" s="112"/>
      <c r="B17" s="1"/>
      <c r="C17" s="110" t="s">
        <v>234</v>
      </c>
      <c r="D17" s="99" t="s">
        <v>136</v>
      </c>
      <c r="E17" s="111">
        <f>E16/(E5*10^9)</f>
        <v>4.8789520547945205E-8</v>
      </c>
      <c r="F17" s="110" t="s">
        <v>141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108"/>
      <c r="B18" s="1"/>
      <c r="C18" s="110" t="s">
        <v>235</v>
      </c>
      <c r="D18" s="99" t="s">
        <v>236</v>
      </c>
      <c r="E18" s="111">
        <f>E17</f>
        <v>4.8789520547945205E-8</v>
      </c>
      <c r="F18" s="110" t="s">
        <v>141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08"/>
      <c r="B19" s="1"/>
      <c r="C19" s="110" t="s">
        <v>237</v>
      </c>
      <c r="D19" s="99" t="s">
        <v>121</v>
      </c>
      <c r="E19" s="111">
        <f>E17*12/(E10)^3</f>
        <v>0.17347385083713851</v>
      </c>
      <c r="F19" s="110" t="s">
        <v>117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08"/>
      <c r="B20" s="1"/>
      <c r="C20" s="170" t="s">
        <v>238</v>
      </c>
      <c r="D20" s="157" t="s">
        <v>146</v>
      </c>
      <c r="E20" s="111">
        <f>E10*E19</f>
        <v>2.6021077625570776E-3</v>
      </c>
      <c r="F20" s="110" t="s">
        <v>126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08"/>
      <c r="B21" s="1"/>
      <c r="C21" s="170"/>
      <c r="D21" s="157"/>
      <c r="E21" s="111">
        <f>E20*10^6</f>
        <v>2602.1077625570774</v>
      </c>
      <c r="F21" s="110" t="s">
        <v>239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s="78" customFormat="1" ht="15" thickBot="1" x14ac:dyDescent="0.4">
      <c r="A22" s="108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5">
      <c r="A23" s="1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5">
      <c r="A24" s="108" t="s">
        <v>48</v>
      </c>
      <c r="B24" s="1"/>
      <c r="C24" s="163" t="s">
        <v>240</v>
      </c>
      <c r="D24" s="163"/>
      <c r="E24" s="163"/>
      <c r="F24" s="1"/>
      <c r="G24" s="174" t="s">
        <v>241</v>
      </c>
      <c r="H24" s="175"/>
      <c r="I24" s="178" t="s">
        <v>242</v>
      </c>
      <c r="J24" s="179"/>
      <c r="K24" s="179"/>
      <c r="L24" s="179"/>
      <c r="M24" s="179"/>
      <c r="N24" s="179"/>
      <c r="O24" s="179"/>
      <c r="P24" s="180"/>
    </row>
    <row r="25" spans="1:16" ht="15" customHeight="1" x14ac:dyDescent="0.35">
      <c r="A25" s="162" t="s">
        <v>243</v>
      </c>
      <c r="B25" s="1"/>
      <c r="C25" s="73" t="s">
        <v>184</v>
      </c>
      <c r="D25" s="73" t="s">
        <v>196</v>
      </c>
      <c r="E25" s="73" t="s">
        <v>169</v>
      </c>
      <c r="F25" s="1"/>
      <c r="G25" s="176"/>
      <c r="H25" s="177"/>
      <c r="I25" s="114">
        <v>0.12</v>
      </c>
      <c r="J25" s="114">
        <v>0.11</v>
      </c>
      <c r="K25" s="114">
        <v>0.1</v>
      </c>
      <c r="L25" s="114">
        <v>0.09</v>
      </c>
      <c r="M25" s="114">
        <v>0.08</v>
      </c>
      <c r="N25" s="114">
        <v>7.0000000000000007E-2</v>
      </c>
      <c r="O25" s="114">
        <v>0.06</v>
      </c>
      <c r="P25" s="114">
        <v>0.05</v>
      </c>
    </row>
    <row r="26" spans="1:16" ht="15" customHeight="1" x14ac:dyDescent="0.35">
      <c r="A26" s="162"/>
      <c r="B26" s="1"/>
      <c r="C26" s="73" t="s">
        <v>244</v>
      </c>
      <c r="D26" s="73"/>
      <c r="E26" s="73" t="s">
        <v>245</v>
      </c>
      <c r="F26" s="1"/>
      <c r="G26" s="171" t="s">
        <v>246</v>
      </c>
      <c r="H26" s="114">
        <v>0</v>
      </c>
      <c r="I26" s="115">
        <f t="shared" ref="I26:P32" si="0">$E$18/($H26*I$25^2/2+I$25^3/12)</f>
        <v>3.3881611491628615E-4</v>
      </c>
      <c r="J26" s="115">
        <f t="shared" si="0"/>
        <v>4.3987546699875466E-4</v>
      </c>
      <c r="K26" s="115">
        <f t="shared" si="0"/>
        <v>5.8547424657534228E-4</v>
      </c>
      <c r="L26" s="115">
        <f t="shared" si="0"/>
        <v>8.0311967980156729E-4</v>
      </c>
      <c r="M26" s="115">
        <f t="shared" si="0"/>
        <v>1.1435043878424654E-3</v>
      </c>
      <c r="N26" s="115">
        <f t="shared" si="0"/>
        <v>1.7069220016773827E-3</v>
      </c>
      <c r="O26" s="115">
        <f t="shared" si="0"/>
        <v>2.7105289193302892E-3</v>
      </c>
      <c r="P26" s="115">
        <f t="shared" si="0"/>
        <v>4.6837939726027383E-3</v>
      </c>
    </row>
    <row r="27" spans="1:16" x14ac:dyDescent="0.35">
      <c r="A27" s="162"/>
      <c r="B27" s="1"/>
      <c r="C27" s="73" t="s">
        <v>247</v>
      </c>
      <c r="D27" s="73"/>
      <c r="E27" s="73"/>
      <c r="F27" s="1"/>
      <c r="G27" s="172"/>
      <c r="H27" s="114">
        <v>0.01</v>
      </c>
      <c r="I27" s="115">
        <f t="shared" si="0"/>
        <v>2.2587740994419077E-4</v>
      </c>
      <c r="J27" s="115">
        <f t="shared" si="0"/>
        <v>2.846253021756648E-4</v>
      </c>
      <c r="K27" s="115">
        <f t="shared" si="0"/>
        <v>3.6592140410958895E-4</v>
      </c>
      <c r="L27" s="115">
        <f t="shared" si="0"/>
        <v>4.818718078809403E-4</v>
      </c>
      <c r="M27" s="115">
        <f t="shared" si="0"/>
        <v>6.5343107876712325E-4</v>
      </c>
      <c r="N27" s="115">
        <f t="shared" si="0"/>
        <v>9.1911184705705245E-4</v>
      </c>
      <c r="O27" s="115">
        <f t="shared" si="0"/>
        <v>1.3552644596651446E-3</v>
      </c>
      <c r="P27" s="115">
        <f t="shared" si="0"/>
        <v>2.1289972602739722E-3</v>
      </c>
    </row>
    <row r="28" spans="1:16" x14ac:dyDescent="0.35">
      <c r="A28" s="162"/>
      <c r="B28" s="1"/>
      <c r="C28" s="73" t="s">
        <v>248</v>
      </c>
      <c r="D28" s="73"/>
      <c r="E28" s="73"/>
      <c r="F28" s="1"/>
      <c r="G28" s="172"/>
      <c r="H28" s="114">
        <v>0.02</v>
      </c>
      <c r="I28" s="115">
        <f t="shared" si="0"/>
        <v>1.6940805745814308E-4</v>
      </c>
      <c r="J28" s="115">
        <f t="shared" si="0"/>
        <v>2.1037522334723047E-4</v>
      </c>
      <c r="K28" s="115">
        <f t="shared" si="0"/>
        <v>2.6612465753424652E-4</v>
      </c>
      <c r="L28" s="115">
        <f t="shared" si="0"/>
        <v>3.4419414848638593E-4</v>
      </c>
      <c r="M28" s="115">
        <f t="shared" si="0"/>
        <v>4.5740175513698617E-4</v>
      </c>
      <c r="N28" s="115">
        <f t="shared" si="0"/>
        <v>6.2886600061798326E-4</v>
      </c>
      <c r="O28" s="115">
        <f t="shared" si="0"/>
        <v>9.0350963977676307E-4</v>
      </c>
      <c r="P28" s="115">
        <f t="shared" si="0"/>
        <v>1.3775864625302171E-3</v>
      </c>
    </row>
    <row r="29" spans="1:16" x14ac:dyDescent="0.35">
      <c r="A29" s="116"/>
      <c r="B29" s="1"/>
      <c r="C29" s="1"/>
      <c r="D29" s="1"/>
      <c r="E29" s="1"/>
      <c r="F29" s="1"/>
      <c r="G29" s="172"/>
      <c r="H29" s="114">
        <v>0.03</v>
      </c>
      <c r="I29" s="115">
        <f t="shared" si="0"/>
        <v>1.3552644596651447E-4</v>
      </c>
      <c r="J29" s="115">
        <f t="shared" si="0"/>
        <v>1.6684931506849316E-4</v>
      </c>
      <c r="K29" s="115">
        <f t="shared" si="0"/>
        <v>2.0909794520547939E-4</v>
      </c>
      <c r="L29" s="115">
        <f t="shared" si="0"/>
        <v>2.6770655993385573E-4</v>
      </c>
      <c r="M29" s="115">
        <f t="shared" si="0"/>
        <v>3.5184750395152788E-4</v>
      </c>
      <c r="N29" s="115">
        <f t="shared" si="0"/>
        <v>4.7793816046966719E-4</v>
      </c>
      <c r="O29" s="115">
        <f t="shared" si="0"/>
        <v>6.7763222983257231E-4</v>
      </c>
      <c r="P29" s="115">
        <f t="shared" si="0"/>
        <v>1.0182160810005953E-3</v>
      </c>
    </row>
    <row r="30" spans="1:16" x14ac:dyDescent="0.35">
      <c r="A30" s="108"/>
      <c r="B30" s="1"/>
      <c r="C30" s="1"/>
      <c r="D30" s="1"/>
      <c r="E30" s="1"/>
      <c r="F30" s="1"/>
      <c r="G30" s="172"/>
      <c r="H30" s="114">
        <v>0.04</v>
      </c>
      <c r="I30" s="115">
        <f t="shared" si="0"/>
        <v>1.1293870497209538E-4</v>
      </c>
      <c r="J30" s="115">
        <f t="shared" si="0"/>
        <v>1.3824657534246577E-4</v>
      </c>
      <c r="K30" s="115">
        <f t="shared" si="0"/>
        <v>1.7219830781627714E-4</v>
      </c>
      <c r="L30" s="115">
        <f t="shared" si="0"/>
        <v>2.1903263994588196E-4</v>
      </c>
      <c r="M30" s="115">
        <f t="shared" si="0"/>
        <v>2.8587609696061636E-4</v>
      </c>
      <c r="N30" s="115">
        <f t="shared" si="0"/>
        <v>3.8543400037876384E-4</v>
      </c>
      <c r="O30" s="115">
        <f t="shared" si="0"/>
        <v>5.4210578386605776E-4</v>
      </c>
      <c r="P30" s="115">
        <f t="shared" si="0"/>
        <v>8.0755068493150667E-4</v>
      </c>
    </row>
    <row r="31" spans="1:16" x14ac:dyDescent="0.35">
      <c r="A31" s="108"/>
      <c r="B31" s="1"/>
      <c r="C31" s="1"/>
      <c r="D31" s="1"/>
      <c r="E31" s="1"/>
      <c r="F31" s="1"/>
      <c r="G31" s="172"/>
      <c r="H31" s="114">
        <v>0.05</v>
      </c>
      <c r="I31" s="115">
        <f t="shared" si="0"/>
        <v>9.680460426179604E-5</v>
      </c>
      <c r="J31" s="115">
        <f t="shared" si="0"/>
        <v>1.1801536919478783E-4</v>
      </c>
      <c r="K31" s="115">
        <f t="shared" si="0"/>
        <v>1.4636856164383557E-4</v>
      </c>
      <c r="L31" s="115">
        <f t="shared" si="0"/>
        <v>1.8533531072343858E-4</v>
      </c>
      <c r="M31" s="115">
        <f t="shared" si="0"/>
        <v>2.4073776586157171E-4</v>
      </c>
      <c r="N31" s="115">
        <f t="shared" si="0"/>
        <v>3.2293118950653187E-4</v>
      </c>
      <c r="O31" s="115">
        <f t="shared" si="0"/>
        <v>4.5175481988838148E-4</v>
      </c>
      <c r="P31" s="115">
        <f t="shared" si="0"/>
        <v>6.6911342465753401E-4</v>
      </c>
    </row>
    <row r="32" spans="1:16" x14ac:dyDescent="0.35">
      <c r="A32" s="108"/>
      <c r="B32" s="1"/>
      <c r="C32" s="1"/>
      <c r="D32" s="1"/>
      <c r="E32" s="1"/>
      <c r="F32" s="1"/>
      <c r="G32" s="173"/>
      <c r="H32" s="114">
        <v>0.06</v>
      </c>
      <c r="I32" s="115">
        <f t="shared" si="0"/>
        <v>8.4704028729071538E-5</v>
      </c>
      <c r="J32" s="115">
        <f t="shared" si="0"/>
        <v>1.0294957738268727E-4</v>
      </c>
      <c r="K32" s="115">
        <f t="shared" si="0"/>
        <v>1.2727701012507441E-4</v>
      </c>
      <c r="L32" s="115">
        <f t="shared" si="0"/>
        <v>1.6062393596031344E-4</v>
      </c>
      <c r="M32" s="115">
        <f t="shared" si="0"/>
        <v>2.0790988869863011E-4</v>
      </c>
      <c r="N32" s="115">
        <f t="shared" si="0"/>
        <v>2.7787102352887629E-4</v>
      </c>
      <c r="O32" s="115">
        <f t="shared" si="0"/>
        <v>3.8721841704718416E-4</v>
      </c>
      <c r="P32" s="115">
        <f t="shared" si="0"/>
        <v>5.7119438690277308E-4</v>
      </c>
    </row>
    <row r="34" spans="1:16" x14ac:dyDescent="0.35">
      <c r="A34" s="108"/>
      <c r="B34" s="1"/>
      <c r="C34" s="1"/>
      <c r="D34" s="1"/>
      <c r="E34" s="1"/>
      <c r="F34" s="1"/>
      <c r="G34" s="174" t="s">
        <v>244</v>
      </c>
      <c r="H34" s="175"/>
      <c r="I34" s="181" t="s">
        <v>249</v>
      </c>
      <c r="J34" s="182"/>
      <c r="K34" s="182"/>
      <c r="L34" s="182"/>
      <c r="M34" s="182"/>
      <c r="N34" s="182"/>
      <c r="O34" s="182"/>
      <c r="P34" s="183"/>
    </row>
    <row r="35" spans="1:16" x14ac:dyDescent="0.35">
      <c r="A35" s="108"/>
      <c r="B35" s="1"/>
      <c r="C35" s="1"/>
      <c r="D35" s="1"/>
      <c r="E35" s="1"/>
      <c r="F35" s="1"/>
      <c r="G35" s="176"/>
      <c r="H35" s="177"/>
      <c r="I35" s="117">
        <v>0.12</v>
      </c>
      <c r="J35" s="117">
        <v>0.11</v>
      </c>
      <c r="K35" s="117">
        <v>0.1</v>
      </c>
      <c r="L35" s="117">
        <v>0.09</v>
      </c>
      <c r="M35" s="117">
        <v>0.08</v>
      </c>
      <c r="N35" s="117">
        <v>7.0000000000000007E-2</v>
      </c>
      <c r="O35" s="117">
        <v>0.06</v>
      </c>
      <c r="P35" s="117">
        <v>0.05</v>
      </c>
    </row>
    <row r="36" spans="1:16" x14ac:dyDescent="0.35">
      <c r="A36" s="108"/>
      <c r="B36" s="1"/>
      <c r="C36" s="1"/>
      <c r="D36" s="1"/>
      <c r="E36" s="1"/>
      <c r="F36" s="1"/>
      <c r="G36" s="167" t="s">
        <v>246</v>
      </c>
      <c r="H36" s="117">
        <v>0</v>
      </c>
      <c r="I36" s="115">
        <f t="shared" ref="I36:P42" si="1">(2*$H26+I$25)*I26</f>
        <v>4.0657933789954337E-5</v>
      </c>
      <c r="J36" s="115">
        <f t="shared" si="1"/>
        <v>4.8386301369863012E-5</v>
      </c>
      <c r="K36" s="115">
        <f t="shared" si="1"/>
        <v>5.8547424657534228E-5</v>
      </c>
      <c r="L36" s="115">
        <f t="shared" si="1"/>
        <v>7.2280771182141047E-5</v>
      </c>
      <c r="M36" s="115">
        <f t="shared" si="1"/>
        <v>9.1480351027397238E-5</v>
      </c>
      <c r="N36" s="115">
        <f t="shared" si="1"/>
        <v>1.194845401174168E-4</v>
      </c>
      <c r="O36" s="115">
        <f t="shared" si="1"/>
        <v>1.6263173515981735E-4</v>
      </c>
      <c r="P36" s="115">
        <f t="shared" si="1"/>
        <v>2.3418969863013691E-4</v>
      </c>
    </row>
    <row r="37" spans="1:16" ht="15" customHeight="1" x14ac:dyDescent="0.35">
      <c r="A37" s="108"/>
      <c r="B37" s="1"/>
      <c r="C37" s="1"/>
      <c r="D37" s="1"/>
      <c r="E37" s="1"/>
      <c r="F37" s="1"/>
      <c r="G37" s="168"/>
      <c r="H37" s="117">
        <v>0.01</v>
      </c>
      <c r="I37" s="115">
        <f t="shared" si="1"/>
        <v>3.1622837392186703E-5</v>
      </c>
      <c r="J37" s="115">
        <f t="shared" si="1"/>
        <v>3.7001289282836428E-5</v>
      </c>
      <c r="K37" s="115">
        <f t="shared" si="1"/>
        <v>4.3910568493150678E-5</v>
      </c>
      <c r="L37" s="115">
        <f t="shared" si="1"/>
        <v>5.3005898866903434E-5</v>
      </c>
      <c r="M37" s="115">
        <f t="shared" si="1"/>
        <v>6.5343107876712325E-5</v>
      </c>
      <c r="N37" s="115">
        <f t="shared" si="1"/>
        <v>8.2720066235134735E-5</v>
      </c>
      <c r="O37" s="115">
        <f t="shared" si="1"/>
        <v>1.0842115677321157E-4</v>
      </c>
      <c r="P37" s="115">
        <f t="shared" si="1"/>
        <v>1.4902980821917807E-4</v>
      </c>
    </row>
    <row r="38" spans="1:16" ht="15" customHeight="1" x14ac:dyDescent="0.35">
      <c r="A38" s="108"/>
      <c r="B38" s="1"/>
      <c r="C38" s="118">
        <f>MIN(I36:P42)</f>
        <v>2.0328966894977169E-5</v>
      </c>
      <c r="D38" s="1"/>
      <c r="E38" s="1"/>
      <c r="F38" s="1"/>
      <c r="G38" s="168"/>
      <c r="H38" s="117">
        <v>0.02</v>
      </c>
      <c r="I38" s="115">
        <f t="shared" si="1"/>
        <v>2.7105289193302893E-5</v>
      </c>
      <c r="J38" s="115">
        <f t="shared" si="1"/>
        <v>3.1556283502084568E-5</v>
      </c>
      <c r="K38" s="115">
        <f t="shared" si="1"/>
        <v>3.7257452054794516E-5</v>
      </c>
      <c r="L38" s="115">
        <f t="shared" si="1"/>
        <v>4.4745239303230172E-5</v>
      </c>
      <c r="M38" s="115">
        <f t="shared" si="1"/>
        <v>5.4888210616438339E-5</v>
      </c>
      <c r="N38" s="115">
        <f t="shared" si="1"/>
        <v>6.9175260067978167E-5</v>
      </c>
      <c r="O38" s="115">
        <f t="shared" si="1"/>
        <v>9.0350963977676316E-5</v>
      </c>
      <c r="P38" s="115">
        <f t="shared" si="1"/>
        <v>1.2398278162771955E-4</v>
      </c>
    </row>
    <row r="39" spans="1:16" x14ac:dyDescent="0.35">
      <c r="A39" s="108"/>
      <c r="B39" s="1"/>
      <c r="C39" s="1"/>
      <c r="D39" s="1"/>
      <c r="E39" s="1"/>
      <c r="F39" s="1"/>
      <c r="G39" s="168"/>
      <c r="H39" s="117">
        <v>0.03</v>
      </c>
      <c r="I39" s="115">
        <f t="shared" si="1"/>
        <v>2.4394760273972603E-5</v>
      </c>
      <c r="J39" s="115">
        <f t="shared" si="1"/>
        <v>2.8364383561643836E-5</v>
      </c>
      <c r="K39" s="115">
        <f t="shared" si="1"/>
        <v>3.3455671232876706E-5</v>
      </c>
      <c r="L39" s="115">
        <f t="shared" si="1"/>
        <v>4.015598399007836E-5</v>
      </c>
      <c r="M39" s="115">
        <f t="shared" si="1"/>
        <v>4.9258650553213908E-5</v>
      </c>
      <c r="N39" s="115">
        <f t="shared" si="1"/>
        <v>6.2131960861056741E-5</v>
      </c>
      <c r="O39" s="115">
        <f t="shared" si="1"/>
        <v>8.1315867579908674E-5</v>
      </c>
      <c r="P39" s="115">
        <f t="shared" si="1"/>
        <v>1.1200376891006548E-4</v>
      </c>
    </row>
    <row r="40" spans="1:16" x14ac:dyDescent="0.35">
      <c r="A40" s="108"/>
      <c r="B40" s="1"/>
      <c r="C40" s="1"/>
      <c r="D40" s="1"/>
      <c r="E40" s="1"/>
      <c r="F40" s="1"/>
      <c r="G40" s="168"/>
      <c r="H40" s="117">
        <v>0.04</v>
      </c>
      <c r="I40" s="115">
        <f t="shared" si="1"/>
        <v>2.2587740994419079E-5</v>
      </c>
      <c r="J40" s="115">
        <f t="shared" si="1"/>
        <v>2.6266849315068495E-5</v>
      </c>
      <c r="K40" s="115">
        <f t="shared" si="1"/>
        <v>3.0995695406929886E-5</v>
      </c>
      <c r="L40" s="115">
        <f t="shared" si="1"/>
        <v>3.7235548790799932E-5</v>
      </c>
      <c r="M40" s="115">
        <f t="shared" si="1"/>
        <v>4.5740175513698619E-5</v>
      </c>
      <c r="N40" s="115">
        <f t="shared" si="1"/>
        <v>5.7815100056814587E-5</v>
      </c>
      <c r="O40" s="115">
        <f t="shared" si="1"/>
        <v>7.5894809741248095E-5</v>
      </c>
      <c r="P40" s="115">
        <f t="shared" si="1"/>
        <v>1.0498158904109586E-4</v>
      </c>
    </row>
    <row r="41" spans="1:16" x14ac:dyDescent="0.35">
      <c r="A41" s="108"/>
      <c r="B41" s="1"/>
      <c r="C41" s="1"/>
      <c r="D41" s="1"/>
      <c r="E41" s="1"/>
      <c r="F41" s="1"/>
      <c r="G41" s="168"/>
      <c r="H41" s="117">
        <v>0.05</v>
      </c>
      <c r="I41" s="119">
        <f t="shared" si="1"/>
        <v>2.1297012937595127E-5</v>
      </c>
      <c r="J41" s="115">
        <f t="shared" si="1"/>
        <v>2.4783227530905446E-5</v>
      </c>
      <c r="K41" s="115">
        <f t="shared" si="1"/>
        <v>2.9273712328767114E-5</v>
      </c>
      <c r="L41" s="115">
        <f t="shared" si="1"/>
        <v>3.5213709037453333E-5</v>
      </c>
      <c r="M41" s="115">
        <f t="shared" si="1"/>
        <v>4.3332797855082902E-5</v>
      </c>
      <c r="N41" s="115">
        <f t="shared" si="1"/>
        <v>5.4898302216110422E-5</v>
      </c>
      <c r="O41" s="115">
        <f t="shared" si="1"/>
        <v>7.2280771182141033E-5</v>
      </c>
      <c r="P41" s="115">
        <f t="shared" si="1"/>
        <v>1.0036701369863012E-4</v>
      </c>
    </row>
    <row r="42" spans="1:16" x14ac:dyDescent="0.35">
      <c r="A42" s="108"/>
      <c r="B42" s="1"/>
      <c r="C42" s="1"/>
      <c r="D42" s="1"/>
      <c r="E42" s="1"/>
      <c r="F42" s="1"/>
      <c r="G42" s="169"/>
      <c r="H42" s="120">
        <v>0.06</v>
      </c>
      <c r="I42" s="115">
        <f t="shared" si="1"/>
        <v>2.0328966894977169E-5</v>
      </c>
      <c r="J42" s="121">
        <f t="shared" si="1"/>
        <v>2.367840279801807E-5</v>
      </c>
      <c r="K42" s="115">
        <f t="shared" si="1"/>
        <v>2.800094222751637E-5</v>
      </c>
      <c r="L42" s="115">
        <f t="shared" si="1"/>
        <v>3.373102655166582E-5</v>
      </c>
      <c r="M42" s="115">
        <f t="shared" si="1"/>
        <v>4.1581977739726022E-5</v>
      </c>
      <c r="N42" s="115">
        <f t="shared" si="1"/>
        <v>5.2795494470486493E-5</v>
      </c>
      <c r="O42" s="115">
        <f t="shared" si="1"/>
        <v>6.9699315068493144E-5</v>
      </c>
      <c r="P42" s="115">
        <f t="shared" si="1"/>
        <v>9.7103045773471421E-5</v>
      </c>
    </row>
    <row r="43" spans="1:16" s="78" customFormat="1" ht="15" thickBot="1" x14ac:dyDescent="0.4">
      <c r="A43" s="10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</sheetData>
  <mergeCells count="17">
    <mergeCell ref="H1:Z1"/>
    <mergeCell ref="C3:F3"/>
    <mergeCell ref="F1:G1"/>
    <mergeCell ref="B1:E1"/>
    <mergeCell ref="G36:G42"/>
    <mergeCell ref="C20:C21"/>
    <mergeCell ref="D20:D21"/>
    <mergeCell ref="G26:G32"/>
    <mergeCell ref="G24:H25"/>
    <mergeCell ref="I24:P24"/>
    <mergeCell ref="I34:P34"/>
    <mergeCell ref="G34:H35"/>
    <mergeCell ref="A25:A28"/>
    <mergeCell ref="A4:A7"/>
    <mergeCell ref="A14:A16"/>
    <mergeCell ref="C14:F14"/>
    <mergeCell ref="C24:E24"/>
  </mergeCells>
  <phoneticPr fontId="1" type="noConversion"/>
  <conditionalFormatting sqref="I36:P42">
    <cfRule type="cellIs" dxfId="0" priority="11" operator="equal">
      <formula>$C$38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8"/>
  <sheetViews>
    <sheetView tabSelected="1" zoomScale="40" zoomScaleNormal="40" workbookViewId="0">
      <pane xSplit="1" ySplit="1" topLeftCell="F31" activePane="bottomRight" state="frozen"/>
      <selection pane="topRight" activeCell="B1" sqref="B1"/>
      <selection pane="bottomLeft" activeCell="A2" sqref="A2"/>
      <selection pane="bottomRight" activeCell="E108" sqref="E108"/>
    </sheetView>
  </sheetViews>
  <sheetFormatPr defaultColWidth="8.83203125" defaultRowHeight="14.5" x14ac:dyDescent="0.35"/>
  <cols>
    <col min="1" max="1" width="25.75" style="35" customWidth="1"/>
    <col min="2" max="2" width="8.83203125" style="1"/>
    <col min="3" max="3" width="33" style="1" customWidth="1"/>
    <col min="4" max="4" width="10" style="1" customWidth="1"/>
    <col min="5" max="5" width="15" style="1" bestFit="1" customWidth="1"/>
    <col min="6" max="6" width="11.1640625" style="1" customWidth="1"/>
    <col min="7" max="7" width="10.83203125" style="1" customWidth="1"/>
    <col min="8" max="8" width="11.25" style="1" customWidth="1"/>
    <col min="9" max="21" width="8.83203125" style="1"/>
    <col min="22" max="23" width="9" style="1" bestFit="1" customWidth="1"/>
    <col min="24" max="24" width="12.25" style="1" bestFit="1" customWidth="1"/>
    <col min="25" max="26" width="11" style="1" bestFit="1" customWidth="1"/>
    <col min="27" max="16384" width="8.83203125" style="1"/>
  </cols>
  <sheetData>
    <row r="1" spans="1:26" s="9" customFormat="1" ht="39.75" customHeight="1" thickBot="1" x14ac:dyDescent="0.4">
      <c r="A1" s="96"/>
      <c r="B1" s="166" t="s">
        <v>250</v>
      </c>
      <c r="C1" s="166"/>
      <c r="D1" s="166"/>
      <c r="E1" s="184"/>
      <c r="F1" s="130" t="s">
        <v>1</v>
      </c>
      <c r="G1" s="130"/>
      <c r="H1" s="131" t="s">
        <v>251</v>
      </c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3" spans="1:26" ht="15" customHeight="1" x14ac:dyDescent="0.45">
      <c r="A3" s="91" t="s">
        <v>3</v>
      </c>
      <c r="C3" s="133" t="s">
        <v>252</v>
      </c>
      <c r="D3" s="133"/>
      <c r="E3" s="133"/>
      <c r="F3" s="133"/>
    </row>
    <row r="4" spans="1:26" ht="15" customHeight="1" x14ac:dyDescent="0.35">
      <c r="A4" s="138" t="s">
        <v>253</v>
      </c>
      <c r="C4" s="72" t="s">
        <v>85</v>
      </c>
      <c r="D4" s="72" t="s">
        <v>86</v>
      </c>
      <c r="E4" s="72" t="s">
        <v>87</v>
      </c>
      <c r="F4" s="72" t="s">
        <v>88</v>
      </c>
    </row>
    <row r="5" spans="1:26" ht="15" customHeight="1" x14ac:dyDescent="0.35">
      <c r="A5" s="138"/>
      <c r="C5" s="3" t="s">
        <v>115</v>
      </c>
      <c r="D5" s="2" t="s">
        <v>116</v>
      </c>
      <c r="E5" s="32">
        <f>'Stringer skin'!F92</f>
        <v>6.38</v>
      </c>
      <c r="F5" s="3" t="s">
        <v>117</v>
      </c>
    </row>
    <row r="6" spans="1:26" ht="15" customHeight="1" x14ac:dyDescent="0.35">
      <c r="A6" s="138"/>
      <c r="C6" s="3" t="s">
        <v>123</v>
      </c>
      <c r="D6" s="2" t="s">
        <v>124</v>
      </c>
      <c r="E6" s="21">
        <f>'Stringer skin'!E85</f>
        <v>3.0130019794849321E-4</v>
      </c>
      <c r="F6" s="3" t="s">
        <v>117</v>
      </c>
    </row>
    <row r="7" spans="1:26" ht="15" customHeight="1" x14ac:dyDescent="0.35">
      <c r="A7" s="138"/>
      <c r="C7" s="3" t="s">
        <v>254</v>
      </c>
      <c r="D7" s="2" t="s">
        <v>173</v>
      </c>
      <c r="E7" s="81">
        <v>0.02</v>
      </c>
      <c r="F7" s="3" t="s">
        <v>110</v>
      </c>
    </row>
    <row r="8" spans="1:26" ht="15" customHeight="1" x14ac:dyDescent="0.35">
      <c r="A8" s="74"/>
      <c r="C8" s="3" t="s">
        <v>255</v>
      </c>
      <c r="D8" s="2" t="s">
        <v>159</v>
      </c>
      <c r="E8" s="81">
        <v>0.1</v>
      </c>
      <c r="F8" s="3" t="s">
        <v>110</v>
      </c>
    </row>
    <row r="9" spans="1:26" ht="15" customHeight="1" x14ac:dyDescent="0.35">
      <c r="A9" s="74"/>
      <c r="C9" s="3" t="s">
        <v>256</v>
      </c>
      <c r="D9" s="2" t="s">
        <v>257</v>
      </c>
      <c r="E9" s="3">
        <f>E7*E8</f>
        <v>2E-3</v>
      </c>
      <c r="F9" s="3" t="s">
        <v>245</v>
      </c>
    </row>
    <row r="10" spans="1:26" ht="15" customHeight="1" x14ac:dyDescent="0.35">
      <c r="A10" s="74"/>
      <c r="C10" s="3" t="s">
        <v>258</v>
      </c>
      <c r="D10" s="2" t="s">
        <v>259</v>
      </c>
      <c r="E10" s="3">
        <f>E8/2</f>
        <v>0.05</v>
      </c>
      <c r="F10" s="3" t="s">
        <v>110</v>
      </c>
    </row>
    <row r="11" spans="1:26" ht="15" customHeight="1" x14ac:dyDescent="0.35">
      <c r="A11" s="74"/>
      <c r="C11" s="16" t="s">
        <v>260</v>
      </c>
      <c r="D11" s="14" t="s">
        <v>261</v>
      </c>
      <c r="E11" s="16">
        <f>E7*E8^3/12</f>
        <v>1.6666666666666671E-6</v>
      </c>
      <c r="F11" s="16" t="s">
        <v>262</v>
      </c>
    </row>
    <row r="12" spans="1:26" ht="15" customHeight="1" x14ac:dyDescent="0.35">
      <c r="A12" s="74"/>
      <c r="C12" s="83"/>
      <c r="D12" s="75"/>
      <c r="E12" s="83"/>
      <c r="F12" s="83"/>
    </row>
    <row r="13" spans="1:26" ht="15" customHeight="1" x14ac:dyDescent="0.35">
      <c r="A13" s="74"/>
      <c r="C13" s="188" t="s">
        <v>263</v>
      </c>
      <c r="D13" s="189"/>
      <c r="E13" s="189"/>
      <c r="F13" s="190"/>
    </row>
    <row r="14" spans="1:26" ht="15" customHeight="1" x14ac:dyDescent="0.35">
      <c r="A14" s="74"/>
      <c r="C14" s="3" t="s">
        <v>63</v>
      </c>
      <c r="D14" s="3"/>
      <c r="E14" s="87">
        <f>'Material Property'!D42</f>
        <v>262.69437248127974</v>
      </c>
      <c r="F14" s="3" t="s">
        <v>108</v>
      </c>
    </row>
    <row r="15" spans="1:26" s="11" customFormat="1" ht="15.75" customHeight="1" thickBot="1" x14ac:dyDescent="0.4">
      <c r="A15" s="74"/>
    </row>
    <row r="16" spans="1:26" ht="15" customHeight="1" x14ac:dyDescent="0.35">
      <c r="A16" s="95"/>
    </row>
    <row r="17" spans="1:6" ht="18.5" x14ac:dyDescent="0.35">
      <c r="A17" s="94" t="s">
        <v>22</v>
      </c>
      <c r="C17" s="133" t="s">
        <v>264</v>
      </c>
      <c r="D17" s="133"/>
      <c r="E17" s="133"/>
      <c r="F17" s="133"/>
    </row>
    <row r="18" spans="1:6" ht="75" customHeight="1" x14ac:dyDescent="0.35">
      <c r="A18" s="138" t="s">
        <v>265</v>
      </c>
      <c r="C18" s="3" t="s">
        <v>266</v>
      </c>
      <c r="D18" s="2" t="s">
        <v>93</v>
      </c>
      <c r="E18" s="82">
        <v>1000000</v>
      </c>
      <c r="F18" s="3" t="s">
        <v>267</v>
      </c>
    </row>
    <row r="19" spans="1:6" ht="18.75" customHeight="1" x14ac:dyDescent="0.35">
      <c r="A19" s="138"/>
      <c r="C19" s="3" t="s">
        <v>268</v>
      </c>
      <c r="D19" s="2" t="s">
        <v>269</v>
      </c>
      <c r="E19" s="81">
        <v>0</v>
      </c>
      <c r="F19" s="3" t="s">
        <v>267</v>
      </c>
    </row>
    <row r="20" spans="1:6" ht="18.75" customHeight="1" x14ac:dyDescent="0.35">
      <c r="A20" s="138"/>
      <c r="C20" s="16" t="s">
        <v>270</v>
      </c>
      <c r="D20" s="14" t="s">
        <v>271</v>
      </c>
      <c r="E20" s="84">
        <v>0</v>
      </c>
      <c r="F20" s="16" t="s">
        <v>272</v>
      </c>
    </row>
    <row r="21" spans="1:6" ht="18.75" customHeight="1" x14ac:dyDescent="0.35">
      <c r="A21" s="138"/>
      <c r="C21" s="86"/>
      <c r="D21" s="86"/>
      <c r="E21" s="86"/>
      <c r="F21" s="86"/>
    </row>
    <row r="22" spans="1:6" ht="18.75" customHeight="1" x14ac:dyDescent="0.35">
      <c r="A22" s="138"/>
      <c r="E22" s="85"/>
    </row>
    <row r="23" spans="1:6" ht="18.75" customHeight="1" x14ac:dyDescent="0.35">
      <c r="A23" s="138"/>
    </row>
    <row r="24" spans="1:6" x14ac:dyDescent="0.35">
      <c r="A24" s="138"/>
    </row>
    <row r="37" spans="1:1" s="11" customFormat="1" ht="15" thickBot="1" x14ac:dyDescent="0.4">
      <c r="A37" s="93"/>
    </row>
    <row r="38" spans="1:1" x14ac:dyDescent="0.35">
      <c r="A38" s="97"/>
    </row>
    <row r="39" spans="1:1" ht="18.5" x14ac:dyDescent="0.45">
      <c r="A39" s="91" t="s">
        <v>48</v>
      </c>
    </row>
    <row r="40" spans="1:1" ht="112.5" customHeight="1" x14ac:dyDescent="0.35">
      <c r="A40" s="138" t="s">
        <v>273</v>
      </c>
    </row>
    <row r="41" spans="1:1" ht="18.75" customHeight="1" x14ac:dyDescent="0.35">
      <c r="A41" s="138"/>
    </row>
    <row r="42" spans="1:1" ht="18.75" customHeight="1" x14ac:dyDescent="0.35">
      <c r="A42" s="138"/>
    </row>
    <row r="43" spans="1:1" ht="18.75" customHeight="1" x14ac:dyDescent="0.35">
      <c r="A43" s="138"/>
    </row>
    <row r="44" spans="1:1" ht="18.75" customHeight="1" x14ac:dyDescent="0.35">
      <c r="A44" s="138"/>
    </row>
    <row r="45" spans="1:1" ht="18.75" customHeight="1" x14ac:dyDescent="0.35">
      <c r="A45" s="138"/>
    </row>
    <row r="46" spans="1:1" ht="18.75" customHeight="1" x14ac:dyDescent="0.35">
      <c r="A46" s="138"/>
    </row>
    <row r="47" spans="1:1" ht="18.75" customHeight="1" x14ac:dyDescent="0.35">
      <c r="A47" s="138"/>
    </row>
    <row r="83" spans="1:7" s="11" customFormat="1" ht="15" thickBot="1" x14ac:dyDescent="0.4">
      <c r="A83" s="93"/>
    </row>
    <row r="85" spans="1:7" ht="15" customHeight="1" x14ac:dyDescent="0.45">
      <c r="A85" s="91" t="s">
        <v>274</v>
      </c>
      <c r="C85" s="185" t="s">
        <v>275</v>
      </c>
      <c r="D85" s="186"/>
      <c r="E85" s="186"/>
      <c r="F85" s="186"/>
      <c r="G85" s="187"/>
    </row>
    <row r="86" spans="1:7" ht="15" customHeight="1" x14ac:dyDescent="0.35">
      <c r="A86" s="138" t="s">
        <v>276</v>
      </c>
      <c r="C86" s="72" t="s">
        <v>277</v>
      </c>
      <c r="D86" s="72" t="s">
        <v>278</v>
      </c>
      <c r="E86" s="72" t="s">
        <v>267</v>
      </c>
      <c r="F86" s="72" t="s">
        <v>279</v>
      </c>
      <c r="G86" s="72" t="s">
        <v>280</v>
      </c>
    </row>
    <row r="87" spans="1:7" ht="15" customHeight="1" x14ac:dyDescent="0.35">
      <c r="A87" s="138"/>
      <c r="C87" s="3">
        <v>0</v>
      </c>
      <c r="D87" s="20">
        <f>C87*PI()/180</f>
        <v>0</v>
      </c>
      <c r="E87" s="25">
        <f>($E$18/2/PI())*((PI()-D87)*COS(D87)-0.5*SIN(D87))</f>
        <v>500000</v>
      </c>
      <c r="F87" s="25">
        <f>($E$18/2/PI())*(1+0.5*COS(D87)-(PI()-D87)*SIN(D87))</f>
        <v>238732.41463784303</v>
      </c>
      <c r="G87" s="25">
        <f t="shared" ref="G87:G99" si="0">($E$18*$E$5/2/2/PI())*((PI()-D87)*(1-COS(D87))-1.5*SIN(D87))</f>
        <v>0</v>
      </c>
    </row>
    <row r="88" spans="1:7" ht="15" customHeight="1" x14ac:dyDescent="0.35">
      <c r="A88" s="138"/>
      <c r="C88" s="3">
        <v>30</v>
      </c>
      <c r="D88" s="20">
        <f t="shared" ref="D88:D99" si="1">C88*PI()/180</f>
        <v>0.52359877559829882</v>
      </c>
      <c r="E88" s="25">
        <f>($E$18/2/PI())*((PI()-D88)*COS(D88)-0.5*SIN(D88))</f>
        <v>321055.18247054232</v>
      </c>
      <c r="F88" s="25">
        <f t="shared" ref="F87:F99" si="2">($E$18/2/PI())*(1+0.5*COS(D88)-(PI()-D88)*SIN(D88))</f>
        <v>19737.721686286055</v>
      </c>
      <c r="G88" s="25">
        <f>($E$18*$E$5/2/2/PI())*((PI()-D88)*(1-COS(D88))-1.5*SIN(D88))</f>
        <v>-202703.6338775093</v>
      </c>
    </row>
    <row r="89" spans="1:7" ht="15" customHeight="1" x14ac:dyDescent="0.35">
      <c r="A89" s="138"/>
      <c r="C89" s="3">
        <v>60</v>
      </c>
      <c r="D89" s="20">
        <f t="shared" si="1"/>
        <v>1.0471975511965976</v>
      </c>
      <c r="E89" s="25">
        <f t="shared" ref="E87:E99" si="3">($E$18/2/PI())*((PI()-D89)*COS(D89)-0.5*SIN(D89))</f>
        <v>97750.554738942723</v>
      </c>
      <c r="F89" s="25">
        <f t="shared" si="2"/>
        <v>-89731.455729943715</v>
      </c>
      <c r="G89" s="25">
        <f t="shared" si="0"/>
        <v>-127860.52448165214</v>
      </c>
    </row>
    <row r="90" spans="1:7" ht="15" customHeight="1" x14ac:dyDescent="0.35">
      <c r="A90" s="138"/>
      <c r="C90" s="3">
        <v>90</v>
      </c>
      <c r="D90" s="20">
        <f t="shared" si="1"/>
        <v>1.5707963267948966</v>
      </c>
      <c r="E90" s="25">
        <f t="shared" si="3"/>
        <v>-79577.471545947657</v>
      </c>
      <c r="F90" s="25">
        <f t="shared" si="2"/>
        <v>-90845.056908104656</v>
      </c>
      <c r="G90" s="25">
        <f t="shared" si="0"/>
        <v>35943.597305280673</v>
      </c>
    </row>
    <row r="91" spans="1:7" ht="15" customHeight="1" x14ac:dyDescent="0.35">
      <c r="A91" s="138"/>
      <c r="C91" s="3">
        <v>120</v>
      </c>
      <c r="D91" s="20">
        <f t="shared" si="1"/>
        <v>2.0943951023931953</v>
      </c>
      <c r="E91" s="25">
        <f t="shared" si="3"/>
        <v>-152249.44526105732</v>
      </c>
      <c r="F91" s="25">
        <f t="shared" si="2"/>
        <v>-24971.359978484939</v>
      </c>
      <c r="G91" s="25">
        <f t="shared" si="0"/>
        <v>137972.80885168121</v>
      </c>
    </row>
    <row r="92" spans="1:7" ht="18.75" customHeight="1" x14ac:dyDescent="0.35">
      <c r="A92" s="138"/>
      <c r="C92" s="3">
        <v>150</v>
      </c>
      <c r="D92" s="20">
        <f t="shared" si="1"/>
        <v>2.6179938779914944</v>
      </c>
      <c r="E92" s="25">
        <f t="shared" si="3"/>
        <v>-111957.51942167705</v>
      </c>
      <c r="F92" s="25">
        <f t="shared" si="2"/>
        <v>48572.164497504673</v>
      </c>
      <c r="G92" s="25">
        <f t="shared" si="0"/>
        <v>115273.55182533698</v>
      </c>
    </row>
    <row r="93" spans="1:7" ht="18.75" customHeight="1" x14ac:dyDescent="0.35">
      <c r="A93" s="138"/>
      <c r="C93" s="3">
        <v>180</v>
      </c>
      <c r="D93" s="20">
        <f t="shared" si="1"/>
        <v>3.1415926535897931</v>
      </c>
      <c r="E93" s="25">
        <f t="shared" si="3"/>
        <v>-9.7494216310052456E-12</v>
      </c>
      <c r="F93" s="25">
        <f t="shared" si="2"/>
        <v>79577.471545947672</v>
      </c>
      <c r="G93" s="25">
        <f t="shared" si="0"/>
        <v>-9.3301965008720197E-11</v>
      </c>
    </row>
    <row r="94" spans="1:7" x14ac:dyDescent="0.35">
      <c r="A94" s="138"/>
      <c r="C94" s="3">
        <v>210</v>
      </c>
      <c r="D94" s="20">
        <f t="shared" si="1"/>
        <v>3.6651914291880923</v>
      </c>
      <c r="E94" s="25">
        <f t="shared" si="3"/>
        <v>111957.51942167712</v>
      </c>
      <c r="F94" s="25">
        <f t="shared" si="2"/>
        <v>48572.164497504637</v>
      </c>
      <c r="G94" s="25">
        <f t="shared" si="0"/>
        <v>-115273.55182533716</v>
      </c>
    </row>
    <row r="95" spans="1:7" x14ac:dyDescent="0.35">
      <c r="C95" s="3">
        <v>240</v>
      </c>
      <c r="D95" s="20">
        <f t="shared" si="1"/>
        <v>4.1887902047863905</v>
      </c>
      <c r="E95" s="25">
        <f t="shared" si="3"/>
        <v>152249.44526105738</v>
      </c>
      <c r="F95" s="25">
        <f t="shared" si="2"/>
        <v>-24971.359978484885</v>
      </c>
      <c r="G95" s="25">
        <f t="shared" si="0"/>
        <v>-137972.80885168145</v>
      </c>
    </row>
    <row r="96" spans="1:7" x14ac:dyDescent="0.35">
      <c r="C96" s="3">
        <v>270</v>
      </c>
      <c r="D96" s="20">
        <f t="shared" si="1"/>
        <v>4.7123889803846897</v>
      </c>
      <c r="E96" s="25">
        <f t="shared" si="3"/>
        <v>79577.47154594773</v>
      </c>
      <c r="F96" s="25">
        <f t="shared" si="2"/>
        <v>-90845.056908104671</v>
      </c>
      <c r="G96" s="25">
        <f t="shared" si="0"/>
        <v>-35943.597305281015</v>
      </c>
    </row>
    <row r="97" spans="3:7" x14ac:dyDescent="0.35">
      <c r="C97" s="3">
        <v>300</v>
      </c>
      <c r="D97" s="20">
        <f t="shared" si="1"/>
        <v>5.2359877559829888</v>
      </c>
      <c r="E97" s="25">
        <f t="shared" si="3"/>
        <v>-97750.554738942723</v>
      </c>
      <c r="F97" s="25">
        <f t="shared" si="2"/>
        <v>-89731.455729943715</v>
      </c>
      <c r="G97" s="25">
        <f t="shared" si="0"/>
        <v>127860.52448165214</v>
      </c>
    </row>
    <row r="98" spans="3:7" x14ac:dyDescent="0.35">
      <c r="C98" s="3">
        <v>330</v>
      </c>
      <c r="D98" s="20">
        <f t="shared" si="1"/>
        <v>5.7595865315812871</v>
      </c>
      <c r="E98" s="25">
        <f t="shared" si="3"/>
        <v>-321055.18247054203</v>
      </c>
      <c r="F98" s="25">
        <f t="shared" si="2"/>
        <v>19737.721686285844</v>
      </c>
      <c r="G98" s="25">
        <f t="shared" si="0"/>
        <v>202703.63387750927</v>
      </c>
    </row>
    <row r="99" spans="3:7" x14ac:dyDescent="0.35">
      <c r="C99" s="3">
        <v>360</v>
      </c>
      <c r="D99" s="20">
        <f t="shared" si="1"/>
        <v>6.2831853071795862</v>
      </c>
      <c r="E99" s="25">
        <f t="shared" si="3"/>
        <v>-500000</v>
      </c>
      <c r="F99" s="25">
        <f t="shared" si="2"/>
        <v>238732.41463784291</v>
      </c>
      <c r="G99" s="25">
        <f t="shared" si="0"/>
        <v>1.8660393001744039E-10</v>
      </c>
    </row>
    <row r="102" spans="3:7" x14ac:dyDescent="0.35">
      <c r="C102" s="185" t="s">
        <v>281</v>
      </c>
      <c r="D102" s="186"/>
      <c r="E102" s="186"/>
      <c r="F102" s="187"/>
    </row>
    <row r="103" spans="3:7" x14ac:dyDescent="0.35">
      <c r="C103" s="3" t="s">
        <v>282</v>
      </c>
      <c r="D103" s="2" t="s">
        <v>267</v>
      </c>
      <c r="E103" s="25">
        <f>MAX(E87:E99)</f>
        <v>500000</v>
      </c>
      <c r="F103" s="3" t="s">
        <v>267</v>
      </c>
    </row>
    <row r="104" spans="3:7" x14ac:dyDescent="0.35">
      <c r="C104" s="3" t="s">
        <v>283</v>
      </c>
      <c r="D104" s="2" t="s">
        <v>279</v>
      </c>
      <c r="E104" s="25">
        <f>MAX(F87:F99)</f>
        <v>238732.41463784303</v>
      </c>
      <c r="F104" s="3" t="s">
        <v>267</v>
      </c>
    </row>
    <row r="105" spans="3:7" x14ac:dyDescent="0.35">
      <c r="C105" s="3" t="s">
        <v>284</v>
      </c>
      <c r="D105" s="2" t="s">
        <v>280</v>
      </c>
      <c r="E105" s="25">
        <f>MAX(G87:G99)</f>
        <v>202703.63387750927</v>
      </c>
      <c r="F105" s="3" t="s">
        <v>272</v>
      </c>
    </row>
    <row r="106" spans="3:7" x14ac:dyDescent="0.35">
      <c r="C106" s="3" t="s">
        <v>285</v>
      </c>
      <c r="D106" s="2" t="s">
        <v>286</v>
      </c>
      <c r="E106" s="30">
        <f>E103/E9/10^6</f>
        <v>250</v>
      </c>
      <c r="F106" s="3" t="s">
        <v>287</v>
      </c>
    </row>
    <row r="107" spans="3:7" x14ac:dyDescent="0.35">
      <c r="C107" s="3" t="s">
        <v>288</v>
      </c>
      <c r="D107" s="2" t="s">
        <v>286</v>
      </c>
      <c r="E107" s="30">
        <f>E104/E9/10^6</f>
        <v>119.36620731892151</v>
      </c>
      <c r="F107" s="3" t="s">
        <v>287</v>
      </c>
    </row>
    <row r="108" spans="3:7" x14ac:dyDescent="0.35">
      <c r="C108" s="3" t="s">
        <v>289</v>
      </c>
      <c r="D108" s="2" t="s">
        <v>286</v>
      </c>
      <c r="E108" s="26">
        <f>E105*E10/E11/10^6</f>
        <v>6081.1090163252766</v>
      </c>
      <c r="F108" s="3" t="s">
        <v>287</v>
      </c>
    </row>
  </sheetData>
  <mergeCells count="12">
    <mergeCell ref="C102:F102"/>
    <mergeCell ref="A18:A24"/>
    <mergeCell ref="A4:A7"/>
    <mergeCell ref="A40:A47"/>
    <mergeCell ref="A86:A94"/>
    <mergeCell ref="C13:F13"/>
    <mergeCell ref="C85:G85"/>
    <mergeCell ref="B1:E1"/>
    <mergeCell ref="F1:G1"/>
    <mergeCell ref="H1:Z1"/>
    <mergeCell ref="C3:F3"/>
    <mergeCell ref="C17:F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835F65A695243A65E71B5F6FAF80D" ma:contentTypeVersion="4" ma:contentTypeDescription="Create a new document." ma:contentTypeScope="" ma:versionID="1f7f875ec9c9081ed46f16730df810e7">
  <xsd:schema xmlns:xsd="http://www.w3.org/2001/XMLSchema" xmlns:xs="http://www.w3.org/2001/XMLSchema" xmlns:p="http://schemas.microsoft.com/office/2006/metadata/properties" xmlns:ns2="67026bcc-94fa-4eaa-a99d-b5f6aced701c" targetNamespace="http://schemas.microsoft.com/office/2006/metadata/properties" ma:root="true" ma:fieldsID="e6973d6dba0c92a1eee2055f00656cfd" ns2:_="">
    <xsd:import namespace="67026bcc-94fa-4eaa-a99d-b5f6aced70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26bcc-94fa-4eaa-a99d-b5f6aced7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0C9B88-3ACD-481D-A92D-848977D39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26bcc-94fa-4eaa-a99d-b5f6aced70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060E11-5ACD-45E9-9FA5-842180377808}">
  <ds:schemaRefs>
    <ds:schemaRef ds:uri="67026bcc-94fa-4eaa-a99d-b5f6aced701c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B680970-CA61-4045-A615-29E4B4673B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Material Property</vt:lpstr>
      <vt:lpstr>Stringer skin</vt:lpstr>
      <vt:lpstr>Pressure load</vt:lpstr>
      <vt:lpstr>Light frames</vt:lpstr>
      <vt:lpstr>Heavy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2025-02-26T19:37:53Z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0x010100294835F65A695243A65E71B5F6FAF80D</vt:lpwstr>
  </property>
</Properties>
</file>