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ink/ink1.xml" ContentType="application/inkml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drawings/drawing20.xml" ContentType="application/vnd.openxmlformats-officedocument.drawingml.chartshap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ink/ink2.xml" ContentType="application/inkml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ml.chartshapes+xml"/>
  <Override PartName="/xl/charts/chart2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ml.chartshapes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ml.chartshapes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6.xml" ContentType="application/vnd.openxmlformats-officedocument.drawingml.chartshapes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4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3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/>
  <xr:revisionPtr revIDLastSave="1300" documentId="13_ncr:1_{D4FD8FE3-AA23-3D45-A754-13E16EDC475D}" xr6:coauthVersionLast="47" xr6:coauthVersionMax="47" xr10:uidLastSave="{EB3B2486-3B8D-4BBD-A8C3-640344C2C760}"/>
  <bookViews>
    <workbookView xWindow="-110" yWindow="-110" windowWidth="25820" windowHeight="13900" firstSheet="4" activeTab="4" xr2:uid="{00000000-000D-0000-FFFF-FFFF00000000}"/>
  </bookViews>
  <sheets>
    <sheet name="Aircraft of interest" sheetId="6" r:id="rId1"/>
    <sheet name="Wing layout" sheetId="5" r:id="rId2"/>
    <sheet name=" n-V diagram" sheetId="1" r:id="rId3"/>
    <sheet name="Wing inertia load" sheetId="2" r:id="rId4"/>
    <sheet name="Wing aero load" sheetId="14" r:id="rId5"/>
    <sheet name="Ground load" sheetId="13" r:id="rId6"/>
    <sheet name="Ground load all" sheetId="7" r:id="rId7"/>
    <sheet name="Wing Ground load" sheetId="12" r:id="rId8"/>
    <sheet name="Wing Torque" sheetId="8" r:id="rId9"/>
    <sheet name="Wing and Engine Torque" sheetId="16" r:id="rId10"/>
    <sheet name="Wing and Engine Torque Landing" sheetId="17" r:id="rId11"/>
    <sheet name="Fuselage Air Load" sheetId="10" r:id="rId12"/>
    <sheet name="Fuselage Inertial Load" sheetId="9" r:id="rId13"/>
    <sheet name="Fuselage Gear Load" sheetId="11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8" i="16" l="1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45" i="2"/>
  <c r="M48" i="16"/>
  <c r="H48" i="16"/>
  <c r="J15" i="1"/>
  <c r="L8" i="1"/>
  <c r="J16" i="1" s="1"/>
  <c r="I30" i="2"/>
  <c r="M48" i="17"/>
  <c r="F38" i="17"/>
  <c r="D16" i="12"/>
  <c r="F52" i="13"/>
  <c r="F46" i="2"/>
  <c r="H48" i="8"/>
  <c r="H43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B96" i="17"/>
  <c r="AC96" i="17" s="1"/>
  <c r="AD96" i="17" s="1"/>
  <c r="AD95" i="17"/>
  <c r="AC95" i="17"/>
  <c r="AB95" i="17"/>
  <c r="AB94" i="17"/>
  <c r="AC94" i="17" s="1"/>
  <c r="AD94" i="17" s="1"/>
  <c r="AB93" i="17"/>
  <c r="AC93" i="17" s="1"/>
  <c r="AD93" i="17" s="1"/>
  <c r="AB92" i="17"/>
  <c r="AC90" i="17" s="1"/>
  <c r="AD90" i="17" s="1"/>
  <c r="AB91" i="17"/>
  <c r="AC91" i="17" s="1"/>
  <c r="AD91" i="17" s="1"/>
  <c r="AB90" i="17"/>
  <c r="AB89" i="17"/>
  <c r="AC89" i="17" s="1"/>
  <c r="AD89" i="17" s="1"/>
  <c r="AB88" i="17"/>
  <c r="AC88" i="17" s="1"/>
  <c r="AD88" i="17" s="1"/>
  <c r="AB87" i="17"/>
  <c r="AC87" i="17" s="1"/>
  <c r="AD87" i="17" s="1"/>
  <c r="AB86" i="17"/>
  <c r="AC86" i="17" s="1"/>
  <c r="AD86" i="17" s="1"/>
  <c r="AB85" i="17"/>
  <c r="AB84" i="17"/>
  <c r="AC84" i="17" s="1"/>
  <c r="AD84" i="17" s="1"/>
  <c r="AB83" i="17"/>
  <c r="AC83" i="17" s="1"/>
  <c r="AD83" i="17" s="1"/>
  <c r="AB82" i="17"/>
  <c r="AC82" i="17" s="1"/>
  <c r="AD82" i="17" s="1"/>
  <c r="AB81" i="17"/>
  <c r="AC81" i="17" s="1"/>
  <c r="AD81" i="17" s="1"/>
  <c r="AB80" i="17"/>
  <c r="AB79" i="17"/>
  <c r="AC79" i="17" s="1"/>
  <c r="AD79" i="17" s="1"/>
  <c r="AB78" i="17"/>
  <c r="AC78" i="17" s="1"/>
  <c r="AD78" i="17" s="1"/>
  <c r="AB77" i="17"/>
  <c r="AC75" i="17" s="1"/>
  <c r="AD75" i="17" s="1"/>
  <c r="AB76" i="17"/>
  <c r="AC76" i="17" s="1"/>
  <c r="AD76" i="17" s="1"/>
  <c r="AB75" i="17"/>
  <c r="AB74" i="17"/>
  <c r="AC74" i="17" s="1"/>
  <c r="AD74" i="17" s="1"/>
  <c r="AB73" i="17"/>
  <c r="AC73" i="17" s="1"/>
  <c r="AD73" i="17" s="1"/>
  <c r="AB72" i="17"/>
  <c r="AC72" i="17" s="1"/>
  <c r="AD72" i="17" s="1"/>
  <c r="AB71" i="17"/>
  <c r="AC71" i="17" s="1"/>
  <c r="AD71" i="17" s="1"/>
  <c r="AB70" i="17"/>
  <c r="AB69" i="17"/>
  <c r="AC69" i="17" s="1"/>
  <c r="AD69" i="17" s="1"/>
  <c r="AB68" i="17"/>
  <c r="AC68" i="17" s="1"/>
  <c r="AD68" i="17" s="1"/>
  <c r="AB67" i="17"/>
  <c r="AC67" i="17" s="1"/>
  <c r="AD67" i="17" s="1"/>
  <c r="AB66" i="17"/>
  <c r="AC66" i="17" s="1"/>
  <c r="AD66" i="17" s="1"/>
  <c r="AB65" i="17"/>
  <c r="AB64" i="17"/>
  <c r="AC64" i="17" s="1"/>
  <c r="AD64" i="17" s="1"/>
  <c r="AB63" i="17"/>
  <c r="AC63" i="17" s="1"/>
  <c r="AD63" i="17" s="1"/>
  <c r="AB62" i="17"/>
  <c r="AC62" i="17" s="1"/>
  <c r="AD62" i="17" s="1"/>
  <c r="AB61" i="17"/>
  <c r="AC61" i="17" s="1"/>
  <c r="AD61" i="17" s="1"/>
  <c r="AB60" i="17"/>
  <c r="AB59" i="17"/>
  <c r="AC59" i="17" s="1"/>
  <c r="AD59" i="17" s="1"/>
  <c r="AB58" i="17"/>
  <c r="AC58" i="17" s="1"/>
  <c r="AD58" i="17" s="1"/>
  <c r="AB57" i="17"/>
  <c r="AC55" i="17" s="1"/>
  <c r="AD55" i="17" s="1"/>
  <c r="AB56" i="17"/>
  <c r="AC56" i="17" s="1"/>
  <c r="AD56" i="17" s="1"/>
  <c r="AB55" i="17"/>
  <c r="AB54" i="17"/>
  <c r="AC54" i="17" s="1"/>
  <c r="AD54" i="17" s="1"/>
  <c r="AB53" i="17"/>
  <c r="AC53" i="17" s="1"/>
  <c r="AD53" i="17" s="1"/>
  <c r="AB52" i="17"/>
  <c r="AC52" i="17" s="1"/>
  <c r="AD52" i="17" s="1"/>
  <c r="AB51" i="17"/>
  <c r="AC51" i="17" s="1"/>
  <c r="AD51" i="17" s="1"/>
  <c r="AB50" i="17"/>
  <c r="AB49" i="17"/>
  <c r="AC49" i="17" s="1"/>
  <c r="AD49" i="17" s="1"/>
  <c r="AB48" i="17"/>
  <c r="AC48" i="17" s="1"/>
  <c r="AD48" i="17" s="1"/>
  <c r="AB47" i="17"/>
  <c r="AB46" i="17"/>
  <c r="AB45" i="17"/>
  <c r="AB44" i="17"/>
  <c r="AB43" i="17"/>
  <c r="AB42" i="17"/>
  <c r="AB41" i="17"/>
  <c r="AB40" i="17"/>
  <c r="AB39" i="17"/>
  <c r="AB38" i="17"/>
  <c r="AB37" i="17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C67" i="16"/>
  <c r="AD67" i="16" s="1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B38" i="16"/>
  <c r="AB39" i="16"/>
  <c r="AB40" i="16"/>
  <c r="AB41" i="16"/>
  <c r="AB42" i="16"/>
  <c r="AB43" i="16"/>
  <c r="AB44" i="16"/>
  <c r="AB45" i="16"/>
  <c r="AB46" i="16"/>
  <c r="AB47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C68" i="16" s="1"/>
  <c r="AD68" i="16" s="1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3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58" i="16"/>
  <c r="AA57" i="16"/>
  <c r="AA56" i="16"/>
  <c r="AA55" i="16"/>
  <c r="AA54" i="16"/>
  <c r="AA53" i="16"/>
  <c r="AA52" i="16"/>
  <c r="AA51" i="16"/>
  <c r="AA50" i="16"/>
  <c r="AA49" i="16"/>
  <c r="AA48" i="16"/>
  <c r="AA47" i="16"/>
  <c r="AA46" i="16"/>
  <c r="AA45" i="16"/>
  <c r="AA44" i="16"/>
  <c r="AA43" i="16"/>
  <c r="AA42" i="16"/>
  <c r="AA41" i="16"/>
  <c r="AA40" i="16"/>
  <c r="AA39" i="16"/>
  <c r="AA38" i="16"/>
  <c r="AA37" i="16"/>
  <c r="E38" i="17"/>
  <c r="E39" i="17"/>
  <c r="E40" i="17"/>
  <c r="E41" i="17"/>
  <c r="E42" i="17"/>
  <c r="E43" i="17"/>
  <c r="E44" i="17"/>
  <c r="E45" i="17"/>
  <c r="E46" i="17"/>
  <c r="E47" i="17"/>
  <c r="E48" i="17"/>
  <c r="J47" i="17" s="1"/>
  <c r="E49" i="17"/>
  <c r="E50" i="17"/>
  <c r="E51" i="17"/>
  <c r="E52" i="17"/>
  <c r="E53" i="17"/>
  <c r="E54" i="17"/>
  <c r="E55" i="17"/>
  <c r="E56" i="17"/>
  <c r="E57" i="17"/>
  <c r="J57" i="17" s="1"/>
  <c r="E58" i="17"/>
  <c r="E59" i="17"/>
  <c r="E60" i="17"/>
  <c r="E61" i="17"/>
  <c r="E62" i="17"/>
  <c r="E63" i="17"/>
  <c r="J62" i="17" s="1"/>
  <c r="E64" i="17"/>
  <c r="E65" i="17"/>
  <c r="E66" i="17"/>
  <c r="E67" i="17"/>
  <c r="E68" i="17"/>
  <c r="E69" i="17"/>
  <c r="E70" i="17"/>
  <c r="E71" i="17"/>
  <c r="E72" i="17"/>
  <c r="E73" i="17"/>
  <c r="J72" i="17" s="1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J95" i="17" s="1"/>
  <c r="E37" i="17"/>
  <c r="D38" i="17"/>
  <c r="D39" i="17"/>
  <c r="D40" i="17"/>
  <c r="I40" i="17" s="1"/>
  <c r="D41" i="17"/>
  <c r="D42" i="17"/>
  <c r="D43" i="17"/>
  <c r="D44" i="17"/>
  <c r="I43" i="17" s="1"/>
  <c r="D45" i="17"/>
  <c r="I44" i="17" s="1"/>
  <c r="D46" i="17"/>
  <c r="I46" i="17" s="1"/>
  <c r="D47" i="17"/>
  <c r="D48" i="17"/>
  <c r="D49" i="17"/>
  <c r="D50" i="17"/>
  <c r="D51" i="17"/>
  <c r="D52" i="17"/>
  <c r="I51" i="17" s="1"/>
  <c r="D53" i="17"/>
  <c r="D54" i="17"/>
  <c r="D55" i="17"/>
  <c r="I54" i="17" s="1"/>
  <c r="D56" i="17"/>
  <c r="I55" i="17" s="1"/>
  <c r="D57" i="17"/>
  <c r="I57" i="17" s="1"/>
  <c r="D58" i="17"/>
  <c r="D59" i="17"/>
  <c r="D60" i="17"/>
  <c r="I59" i="17" s="1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I76" i="17" s="1"/>
  <c r="D78" i="17"/>
  <c r="D79" i="17"/>
  <c r="D80" i="17"/>
  <c r="I79" i="17" s="1"/>
  <c r="D81" i="17"/>
  <c r="D82" i="17"/>
  <c r="D83" i="17"/>
  <c r="D84" i="17"/>
  <c r="I83" i="17" s="1"/>
  <c r="D85" i="17"/>
  <c r="D86" i="17"/>
  <c r="I86" i="17" s="1"/>
  <c r="D87" i="17"/>
  <c r="D88" i="17"/>
  <c r="I87" i="17" s="1"/>
  <c r="D89" i="17"/>
  <c r="D90" i="17"/>
  <c r="D91" i="17"/>
  <c r="D92" i="17"/>
  <c r="I91" i="17" s="1"/>
  <c r="D93" i="17"/>
  <c r="D94" i="17"/>
  <c r="D95" i="17"/>
  <c r="I94" i="17" s="1"/>
  <c r="D96" i="17"/>
  <c r="I96" i="17" s="1"/>
  <c r="D37" i="17"/>
  <c r="E107" i="17"/>
  <c r="E105" i="17"/>
  <c r="M96" i="17"/>
  <c r="G96" i="17"/>
  <c r="L95" i="17" s="1"/>
  <c r="F96" i="17"/>
  <c r="K96" i="17" s="1"/>
  <c r="M95" i="17"/>
  <c r="G95" i="17"/>
  <c r="F95" i="17"/>
  <c r="K95" i="17" s="1"/>
  <c r="M94" i="17"/>
  <c r="G94" i="17"/>
  <c r="L94" i="17" s="1"/>
  <c r="F94" i="17"/>
  <c r="K93" i="17" s="1"/>
  <c r="M93" i="17"/>
  <c r="L93" i="17"/>
  <c r="G93" i="17"/>
  <c r="L92" i="17" s="1"/>
  <c r="F93" i="17"/>
  <c r="M92" i="17"/>
  <c r="G92" i="17"/>
  <c r="F92" i="17"/>
  <c r="M91" i="17"/>
  <c r="L91" i="17"/>
  <c r="G91" i="17"/>
  <c r="F91" i="17"/>
  <c r="M90" i="17"/>
  <c r="G90" i="17"/>
  <c r="F90" i="17"/>
  <c r="I89" i="17"/>
  <c r="M89" i="17"/>
  <c r="G89" i="17"/>
  <c r="L88" i="17" s="1"/>
  <c r="F89" i="17"/>
  <c r="M88" i="17"/>
  <c r="G88" i="17"/>
  <c r="F88" i="17"/>
  <c r="M87" i="17"/>
  <c r="L87" i="17"/>
  <c r="G87" i="17"/>
  <c r="F87" i="17"/>
  <c r="K86" i="17" s="1"/>
  <c r="M86" i="17"/>
  <c r="L86" i="17"/>
  <c r="G86" i="17"/>
  <c r="F86" i="17"/>
  <c r="M85" i="17"/>
  <c r="I85" i="17"/>
  <c r="G85" i="17"/>
  <c r="L84" i="17" s="1"/>
  <c r="F85" i="17"/>
  <c r="I84" i="17"/>
  <c r="M84" i="17"/>
  <c r="G84" i="17"/>
  <c r="F84" i="17"/>
  <c r="M83" i="17"/>
  <c r="G83" i="17"/>
  <c r="F83" i="17"/>
  <c r="J82" i="17"/>
  <c r="M82" i="17"/>
  <c r="G82" i="17"/>
  <c r="F82" i="17"/>
  <c r="M81" i="17"/>
  <c r="I81" i="17"/>
  <c r="G81" i="17"/>
  <c r="F81" i="17"/>
  <c r="M80" i="17"/>
  <c r="I80" i="17"/>
  <c r="G80" i="17"/>
  <c r="F80" i="17"/>
  <c r="M79" i="17"/>
  <c r="G79" i="17"/>
  <c r="L78" i="17" s="1"/>
  <c r="F79" i="17"/>
  <c r="M78" i="17"/>
  <c r="I78" i="17"/>
  <c r="G78" i="17"/>
  <c r="L77" i="17" s="1"/>
  <c r="F78" i="17"/>
  <c r="M77" i="17"/>
  <c r="G77" i="17"/>
  <c r="L76" i="17" s="1"/>
  <c r="F77" i="17"/>
  <c r="M76" i="17"/>
  <c r="G76" i="17"/>
  <c r="L75" i="17" s="1"/>
  <c r="F76" i="17"/>
  <c r="M75" i="17"/>
  <c r="G75" i="17"/>
  <c r="L74" i="17" s="1"/>
  <c r="F75" i="17"/>
  <c r="M74" i="17"/>
  <c r="G74" i="17"/>
  <c r="L73" i="17" s="1"/>
  <c r="F74" i="17"/>
  <c r="M73" i="17"/>
  <c r="G73" i="17"/>
  <c r="L72" i="17" s="1"/>
  <c r="F73" i="17"/>
  <c r="M72" i="17"/>
  <c r="G72" i="17"/>
  <c r="F72" i="17"/>
  <c r="K71" i="17" s="1"/>
  <c r="H71" i="17"/>
  <c r="G71" i="17"/>
  <c r="F71" i="17"/>
  <c r="M70" i="17"/>
  <c r="G70" i="17"/>
  <c r="F70" i="17"/>
  <c r="M69" i="17"/>
  <c r="L69" i="17"/>
  <c r="G69" i="17"/>
  <c r="F69" i="17"/>
  <c r="M68" i="17"/>
  <c r="G68" i="17"/>
  <c r="L67" i="17" s="1"/>
  <c r="F68" i="17"/>
  <c r="M67" i="17"/>
  <c r="G67" i="17"/>
  <c r="L66" i="17" s="1"/>
  <c r="F67" i="17"/>
  <c r="M66" i="17"/>
  <c r="G66" i="17"/>
  <c r="L65" i="17" s="1"/>
  <c r="F66" i="17"/>
  <c r="M65" i="17"/>
  <c r="G65" i="17"/>
  <c r="L64" i="17" s="1"/>
  <c r="F65" i="17"/>
  <c r="M64" i="17"/>
  <c r="G64" i="17"/>
  <c r="F64" i="17"/>
  <c r="M63" i="17"/>
  <c r="G63" i="17"/>
  <c r="L62" i="17" s="1"/>
  <c r="F63" i="17"/>
  <c r="M62" i="17"/>
  <c r="G62" i="17"/>
  <c r="F62" i="17"/>
  <c r="M61" i="17"/>
  <c r="G61" i="17"/>
  <c r="L61" i="17" s="1"/>
  <c r="F61" i="17"/>
  <c r="I60" i="17"/>
  <c r="M60" i="17"/>
  <c r="L60" i="17"/>
  <c r="G60" i="17"/>
  <c r="F60" i="17"/>
  <c r="M59" i="17"/>
  <c r="L59" i="17"/>
  <c r="G59" i="17"/>
  <c r="F59" i="17"/>
  <c r="I58" i="17"/>
  <c r="M58" i="17"/>
  <c r="L58" i="17"/>
  <c r="G58" i="17"/>
  <c r="L57" i="17" s="1"/>
  <c r="F58" i="17"/>
  <c r="M57" i="17"/>
  <c r="G57" i="17"/>
  <c r="F57" i="17"/>
  <c r="K56" i="17" s="1"/>
  <c r="M56" i="17"/>
  <c r="L56" i="17"/>
  <c r="G56" i="17"/>
  <c r="F56" i="17"/>
  <c r="M55" i="17"/>
  <c r="L55" i="17"/>
  <c r="G55" i="17"/>
  <c r="F55" i="17"/>
  <c r="K55" i="17" s="1"/>
  <c r="M54" i="17"/>
  <c r="L54" i="17"/>
  <c r="G54" i="17"/>
  <c r="F54" i="17"/>
  <c r="M53" i="17"/>
  <c r="L53" i="17"/>
  <c r="G53" i="17"/>
  <c r="F53" i="17"/>
  <c r="I53" i="17"/>
  <c r="M52" i="17"/>
  <c r="I52" i="17"/>
  <c r="G52" i="17"/>
  <c r="L51" i="17" s="1"/>
  <c r="F52" i="17"/>
  <c r="M51" i="17"/>
  <c r="G51" i="17"/>
  <c r="F51" i="17"/>
  <c r="M50" i="17"/>
  <c r="I50" i="17"/>
  <c r="G50" i="17"/>
  <c r="F50" i="17"/>
  <c r="M49" i="17"/>
  <c r="I49" i="17"/>
  <c r="G49" i="17"/>
  <c r="F49" i="17"/>
  <c r="I48" i="17"/>
  <c r="H48" i="17"/>
  <c r="G48" i="17"/>
  <c r="F48" i="17"/>
  <c r="K48" i="17" s="1"/>
  <c r="M47" i="17"/>
  <c r="I47" i="17"/>
  <c r="G47" i="17"/>
  <c r="F47" i="17"/>
  <c r="K46" i="17" s="1"/>
  <c r="M46" i="17"/>
  <c r="L46" i="17"/>
  <c r="J46" i="17"/>
  <c r="G46" i="17"/>
  <c r="F46" i="17"/>
  <c r="J45" i="17"/>
  <c r="M45" i="17"/>
  <c r="L45" i="17"/>
  <c r="G45" i="17"/>
  <c r="L44" i="17" s="1"/>
  <c r="F45" i="17"/>
  <c r="K45" i="17" s="1"/>
  <c r="M44" i="17"/>
  <c r="J44" i="17"/>
  <c r="G44" i="17"/>
  <c r="F44" i="17"/>
  <c r="M43" i="17"/>
  <c r="L43" i="17"/>
  <c r="G43" i="17"/>
  <c r="F43" i="17"/>
  <c r="J43" i="17"/>
  <c r="M42" i="17"/>
  <c r="J42" i="17"/>
  <c r="I42" i="17"/>
  <c r="G42" i="17"/>
  <c r="L41" i="17" s="1"/>
  <c r="F42" i="17"/>
  <c r="K41" i="17" s="1"/>
  <c r="I41" i="17"/>
  <c r="M41" i="17"/>
  <c r="G41" i="17"/>
  <c r="F41" i="17"/>
  <c r="K40" i="17" s="1"/>
  <c r="M40" i="17"/>
  <c r="L40" i="17"/>
  <c r="G40" i="17"/>
  <c r="F40" i="17"/>
  <c r="M39" i="17"/>
  <c r="G39" i="17"/>
  <c r="F39" i="17"/>
  <c r="K38" i="17" s="1"/>
  <c r="I38" i="17"/>
  <c r="M38" i="17"/>
  <c r="L38" i="17"/>
  <c r="G38" i="17"/>
  <c r="K37" i="17"/>
  <c r="M37" i="17"/>
  <c r="G37" i="17"/>
  <c r="L37" i="17" s="1"/>
  <c r="F37" i="17"/>
  <c r="I37" i="17"/>
  <c r="K25" i="17"/>
  <c r="E109" i="17" s="1"/>
  <c r="K24" i="17"/>
  <c r="E108" i="17" s="1"/>
  <c r="K23" i="17"/>
  <c r="Y50" i="7"/>
  <c r="F16" i="12"/>
  <c r="F17" i="12"/>
  <c r="F18" i="12"/>
  <c r="F19" i="12"/>
  <c r="F20" i="12"/>
  <c r="Y70" i="7"/>
  <c r="F36" i="12"/>
  <c r="F37" i="12"/>
  <c r="F38" i="12"/>
  <c r="F39" i="12"/>
  <c r="F40" i="12"/>
  <c r="Y90" i="7"/>
  <c r="F56" i="12"/>
  <c r="F57" i="12"/>
  <c r="F58" i="12"/>
  <c r="F59" i="12"/>
  <c r="F60" i="12"/>
  <c r="M38" i="16"/>
  <c r="M39" i="16"/>
  <c r="M40" i="16"/>
  <c r="M41" i="16"/>
  <c r="M42" i="16"/>
  <c r="M43" i="16"/>
  <c r="M44" i="16"/>
  <c r="M45" i="16"/>
  <c r="M46" i="16"/>
  <c r="M47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37" i="16"/>
  <c r="E107" i="16"/>
  <c r="G96" i="16"/>
  <c r="L95" i="16" s="1"/>
  <c r="F96" i="16"/>
  <c r="D96" i="16"/>
  <c r="G95" i="16"/>
  <c r="F95" i="16"/>
  <c r="G94" i="16"/>
  <c r="F94" i="16"/>
  <c r="G93" i="16"/>
  <c r="F93" i="16"/>
  <c r="G92" i="16"/>
  <c r="F92" i="16"/>
  <c r="G91" i="16"/>
  <c r="F91" i="16"/>
  <c r="K90" i="16" s="1"/>
  <c r="G90" i="16"/>
  <c r="F90" i="16"/>
  <c r="G89" i="16"/>
  <c r="F89" i="16"/>
  <c r="G88" i="16"/>
  <c r="F88" i="16"/>
  <c r="L87" i="16"/>
  <c r="G87" i="16"/>
  <c r="F87" i="16"/>
  <c r="G86" i="16"/>
  <c r="F86" i="16"/>
  <c r="G85" i="16"/>
  <c r="L84" i="16" s="1"/>
  <c r="F85" i="16"/>
  <c r="K84" i="16" s="1"/>
  <c r="G84" i="16"/>
  <c r="F84" i="16"/>
  <c r="G83" i="16"/>
  <c r="L83" i="16" s="1"/>
  <c r="F83" i="16"/>
  <c r="K82" i="16" s="1"/>
  <c r="G82" i="16"/>
  <c r="F82" i="16"/>
  <c r="G81" i="16"/>
  <c r="F81" i="16"/>
  <c r="G80" i="16"/>
  <c r="L80" i="16" s="1"/>
  <c r="F80" i="16"/>
  <c r="K80" i="16" s="1"/>
  <c r="G79" i="16"/>
  <c r="F79" i="16"/>
  <c r="K79" i="16" s="1"/>
  <c r="G78" i="16"/>
  <c r="L78" i="16" s="1"/>
  <c r="F78" i="16"/>
  <c r="K78" i="16" s="1"/>
  <c r="G77" i="16"/>
  <c r="F77" i="16"/>
  <c r="K77" i="16" s="1"/>
  <c r="L76" i="16"/>
  <c r="K76" i="16"/>
  <c r="G76" i="16"/>
  <c r="F76" i="16"/>
  <c r="G75" i="16"/>
  <c r="L75" i="16" s="1"/>
  <c r="F75" i="16"/>
  <c r="G74" i="16"/>
  <c r="L74" i="16" s="1"/>
  <c r="F74" i="16"/>
  <c r="G73" i="16"/>
  <c r="F73" i="16"/>
  <c r="G72" i="16"/>
  <c r="F72" i="16"/>
  <c r="G71" i="16"/>
  <c r="L70" i="16" s="1"/>
  <c r="F71" i="16"/>
  <c r="G70" i="16"/>
  <c r="F70" i="16"/>
  <c r="K70" i="16" s="1"/>
  <c r="G69" i="16"/>
  <c r="L68" i="16" s="1"/>
  <c r="F69" i="16"/>
  <c r="K69" i="16" s="1"/>
  <c r="G68" i="16"/>
  <c r="F68" i="16"/>
  <c r="G67" i="16"/>
  <c r="L66" i="16" s="1"/>
  <c r="F67" i="16"/>
  <c r="G66" i="16"/>
  <c r="F66" i="16"/>
  <c r="G65" i="16"/>
  <c r="F65" i="16"/>
  <c r="G64" i="16"/>
  <c r="L63" i="16" s="1"/>
  <c r="F64" i="16"/>
  <c r="K63" i="16" s="1"/>
  <c r="G63" i="16"/>
  <c r="F63" i="16"/>
  <c r="G62" i="16"/>
  <c r="F62" i="16"/>
  <c r="K62" i="16" s="1"/>
  <c r="G61" i="16"/>
  <c r="F61" i="16"/>
  <c r="G60" i="16"/>
  <c r="F60" i="16"/>
  <c r="G59" i="16"/>
  <c r="F59" i="16"/>
  <c r="G58" i="16"/>
  <c r="F58" i="16"/>
  <c r="G57" i="16"/>
  <c r="F57" i="16"/>
  <c r="K56" i="16" s="1"/>
  <c r="L56" i="16"/>
  <c r="G56" i="16"/>
  <c r="F56" i="16"/>
  <c r="G55" i="16"/>
  <c r="F55" i="16"/>
  <c r="G54" i="16"/>
  <c r="F54" i="16"/>
  <c r="G53" i="16"/>
  <c r="F53" i="16"/>
  <c r="G52" i="16"/>
  <c r="F52" i="16"/>
  <c r="G51" i="16"/>
  <c r="L50" i="16" s="1"/>
  <c r="F51" i="16"/>
  <c r="G50" i="16"/>
  <c r="F50" i="16"/>
  <c r="G49" i="16"/>
  <c r="F49" i="16"/>
  <c r="K49" i="16" s="1"/>
  <c r="G48" i="16"/>
  <c r="L48" i="16" s="1"/>
  <c r="F48" i="16"/>
  <c r="G47" i="16"/>
  <c r="F47" i="16"/>
  <c r="G46" i="16"/>
  <c r="L45" i="16" s="1"/>
  <c r="F46" i="16"/>
  <c r="K45" i="16" s="1"/>
  <c r="G45" i="16"/>
  <c r="F45" i="16"/>
  <c r="G44" i="16"/>
  <c r="F44" i="16"/>
  <c r="G43" i="16"/>
  <c r="F43" i="16"/>
  <c r="G42" i="16"/>
  <c r="F42" i="16"/>
  <c r="K42" i="16" s="1"/>
  <c r="G41" i="16"/>
  <c r="F41" i="16"/>
  <c r="G40" i="16"/>
  <c r="F40" i="16"/>
  <c r="G39" i="16"/>
  <c r="F39" i="16"/>
  <c r="L38" i="16"/>
  <c r="G38" i="16"/>
  <c r="F38" i="16"/>
  <c r="K38" i="16" s="1"/>
  <c r="G37" i="16"/>
  <c r="F37" i="16"/>
  <c r="K37" i="16" s="1"/>
  <c r="K25" i="16"/>
  <c r="K24" i="16"/>
  <c r="E108" i="16" s="1"/>
  <c r="K23" i="16"/>
  <c r="E105" i="16" s="1"/>
  <c r="E44" i="7"/>
  <c r="Y45" i="7"/>
  <c r="Y46" i="7"/>
  <c r="Y47" i="7"/>
  <c r="Y48" i="7"/>
  <c r="Y49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6" i="7"/>
  <c r="Y97" i="7"/>
  <c r="Y98" i="7"/>
  <c r="Y99" i="7"/>
  <c r="Y100" i="7"/>
  <c r="Y101" i="7"/>
  <c r="Y102" i="7"/>
  <c r="Y103" i="7"/>
  <c r="Y104" i="7"/>
  <c r="F11" i="12"/>
  <c r="F12" i="12"/>
  <c r="F13" i="12"/>
  <c r="F14" i="12"/>
  <c r="F15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61" i="12"/>
  <c r="F62" i="12"/>
  <c r="F63" i="12"/>
  <c r="F64" i="12"/>
  <c r="F65" i="12"/>
  <c r="F66" i="12"/>
  <c r="F67" i="12"/>
  <c r="F68" i="12"/>
  <c r="F69" i="12"/>
  <c r="F10" i="12"/>
  <c r="X104" i="14"/>
  <c r="I30" i="14"/>
  <c r="I31" i="14" s="1"/>
  <c r="I32" i="14" s="1"/>
  <c r="D44" i="14" s="1"/>
  <c r="D37" i="16" s="1"/>
  <c r="B3" i="12"/>
  <c r="B12" i="12" s="1"/>
  <c r="F57" i="13"/>
  <c r="I33" i="14"/>
  <c r="F52" i="2"/>
  <c r="Y104" i="13"/>
  <c r="Y105" i="13"/>
  <c r="D46" i="13"/>
  <c r="X46" i="13"/>
  <c r="X47" i="13"/>
  <c r="X48" i="13"/>
  <c r="X49" i="13"/>
  <c r="X50" i="13"/>
  <c r="X52" i="13"/>
  <c r="X53" i="13"/>
  <c r="X54" i="13"/>
  <c r="X55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45" i="13"/>
  <c r="B10" i="12"/>
  <c r="D52" i="13"/>
  <c r="F80" i="13"/>
  <c r="D44" i="12" s="1"/>
  <c r="D21" i="12"/>
  <c r="F57" i="2"/>
  <c r="F47" i="2"/>
  <c r="F48" i="2"/>
  <c r="F49" i="2"/>
  <c r="F50" i="2"/>
  <c r="F51" i="2"/>
  <c r="AC56" i="16" l="1"/>
  <c r="AD56" i="16" s="1"/>
  <c r="AC62" i="16"/>
  <c r="AD62" i="16" s="1"/>
  <c r="AC61" i="16"/>
  <c r="AD61" i="16" s="1"/>
  <c r="AC65" i="16"/>
  <c r="AD65" i="16" s="1"/>
  <c r="AC37" i="16"/>
  <c r="AD37" i="16" s="1"/>
  <c r="AC60" i="16"/>
  <c r="AD60" i="16" s="1"/>
  <c r="AC66" i="16"/>
  <c r="AD66" i="16" s="1"/>
  <c r="AC64" i="16"/>
  <c r="AD64" i="16" s="1"/>
  <c r="AC63" i="16"/>
  <c r="AD63" i="16" s="1"/>
  <c r="AC57" i="16"/>
  <c r="AD57" i="16" s="1"/>
  <c r="AC59" i="16"/>
  <c r="AD59" i="16" s="1"/>
  <c r="AC58" i="16"/>
  <c r="AD58" i="16" s="1"/>
  <c r="AC54" i="16"/>
  <c r="AD54" i="16" s="1"/>
  <c r="AC53" i="16"/>
  <c r="AD53" i="16" s="1"/>
  <c r="AC55" i="16"/>
  <c r="AD55" i="16" s="1"/>
  <c r="AC52" i="16"/>
  <c r="AD52" i="16" s="1"/>
  <c r="AC71" i="16"/>
  <c r="AD71" i="16" s="1"/>
  <c r="AC51" i="16"/>
  <c r="AD51" i="16" s="1"/>
  <c r="AC50" i="16"/>
  <c r="AD50" i="16" s="1"/>
  <c r="AC69" i="16"/>
  <c r="AD69" i="16" s="1"/>
  <c r="AC49" i="16"/>
  <c r="AD49" i="16" s="1"/>
  <c r="AC70" i="16"/>
  <c r="AD70" i="16" s="1"/>
  <c r="K81" i="16"/>
  <c r="K95" i="16"/>
  <c r="K58" i="16"/>
  <c r="K50" i="16"/>
  <c r="K74" i="16"/>
  <c r="AC46" i="17"/>
  <c r="AD46" i="17" s="1"/>
  <c r="AC39" i="17"/>
  <c r="AD39" i="17" s="1"/>
  <c r="AC41" i="17"/>
  <c r="AD41" i="17" s="1"/>
  <c r="AC43" i="17"/>
  <c r="AD43" i="17" s="1"/>
  <c r="AC44" i="17"/>
  <c r="AD44" i="17" s="1"/>
  <c r="AC42" i="17"/>
  <c r="AD42" i="17" s="1"/>
  <c r="AC38" i="17"/>
  <c r="AD38" i="17" s="1"/>
  <c r="AC47" i="17"/>
  <c r="AD47" i="17" s="1"/>
  <c r="AC37" i="17"/>
  <c r="AD37" i="17" s="1"/>
  <c r="AC57" i="17"/>
  <c r="AD57" i="17" s="1"/>
  <c r="AC92" i="17"/>
  <c r="AD92" i="17" s="1"/>
  <c r="AC77" i="17"/>
  <c r="AD77" i="17" s="1"/>
  <c r="AC40" i="17"/>
  <c r="AD40" i="17" s="1"/>
  <c r="AC45" i="17"/>
  <c r="AD45" i="17" s="1"/>
  <c r="AC50" i="17"/>
  <c r="AD50" i="17" s="1"/>
  <c r="AC60" i="17"/>
  <c r="AD60" i="17" s="1"/>
  <c r="AC65" i="17"/>
  <c r="AD65" i="17" s="1"/>
  <c r="AC70" i="17"/>
  <c r="AD70" i="17" s="1"/>
  <c r="AC80" i="17"/>
  <c r="AD80" i="17" s="1"/>
  <c r="AC85" i="17"/>
  <c r="AD85" i="17" s="1"/>
  <c r="AC46" i="16"/>
  <c r="AD46" i="16" s="1"/>
  <c r="AC45" i="16"/>
  <c r="AD45" i="16" s="1"/>
  <c r="AC43" i="16"/>
  <c r="AD43" i="16" s="1"/>
  <c r="AC44" i="16"/>
  <c r="AD44" i="16" s="1"/>
  <c r="AC47" i="16"/>
  <c r="AD47" i="16" s="1"/>
  <c r="AC40" i="16"/>
  <c r="AD40" i="16" s="1"/>
  <c r="AC48" i="16"/>
  <c r="AD48" i="16" s="1"/>
  <c r="AC42" i="16"/>
  <c r="AD42" i="16" s="1"/>
  <c r="AC41" i="16"/>
  <c r="AD41" i="16" s="1"/>
  <c r="AC39" i="16"/>
  <c r="AD39" i="16" s="1"/>
  <c r="AC38" i="16"/>
  <c r="AD38" i="16" s="1"/>
  <c r="J96" i="17"/>
  <c r="I56" i="17"/>
  <c r="K90" i="17"/>
  <c r="K94" i="17"/>
  <c r="K68" i="17"/>
  <c r="K79" i="17"/>
  <c r="K59" i="17"/>
  <c r="K88" i="17"/>
  <c r="K78" i="17"/>
  <c r="K89" i="17"/>
  <c r="K61" i="17"/>
  <c r="K76" i="17"/>
  <c r="K51" i="17"/>
  <c r="K69" i="17"/>
  <c r="K42" i="17"/>
  <c r="K60" i="17"/>
  <c r="K44" i="17"/>
  <c r="N44" i="17" s="1"/>
  <c r="K64" i="17"/>
  <c r="K57" i="17"/>
  <c r="N57" i="17" s="1"/>
  <c r="K54" i="17"/>
  <c r="K58" i="17"/>
  <c r="N46" i="17"/>
  <c r="K66" i="17"/>
  <c r="K62" i="17"/>
  <c r="K91" i="17"/>
  <c r="K80" i="17"/>
  <c r="K81" i="17"/>
  <c r="I70" i="17"/>
  <c r="I71" i="17"/>
  <c r="J74" i="17"/>
  <c r="L47" i="17"/>
  <c r="L48" i="17"/>
  <c r="K74" i="17"/>
  <c r="K75" i="17"/>
  <c r="J51" i="17"/>
  <c r="I64" i="17"/>
  <c r="N64" i="17" s="1"/>
  <c r="I65" i="17"/>
  <c r="L89" i="17"/>
  <c r="L49" i="17"/>
  <c r="L50" i="17"/>
  <c r="L80" i="17"/>
  <c r="L81" i="17"/>
  <c r="I74" i="17"/>
  <c r="I75" i="17"/>
  <c r="N96" i="17"/>
  <c r="O96" i="17" s="1"/>
  <c r="Y96" i="17" s="1"/>
  <c r="I68" i="17"/>
  <c r="I69" i="17"/>
  <c r="L82" i="17"/>
  <c r="L83" i="17"/>
  <c r="K84" i="17"/>
  <c r="K85" i="17"/>
  <c r="N85" i="17" s="1"/>
  <c r="J86" i="17"/>
  <c r="N86" i="17" s="1"/>
  <c r="I62" i="17"/>
  <c r="I63" i="17"/>
  <c r="K72" i="17"/>
  <c r="K73" i="17"/>
  <c r="J76" i="17"/>
  <c r="J49" i="17"/>
  <c r="K49" i="17"/>
  <c r="K50" i="17"/>
  <c r="I66" i="17"/>
  <c r="I67" i="17"/>
  <c r="L70" i="17"/>
  <c r="L71" i="17"/>
  <c r="K82" i="17"/>
  <c r="K83" i="17"/>
  <c r="N83" i="17" s="1"/>
  <c r="I72" i="17"/>
  <c r="I73" i="17"/>
  <c r="J64" i="17"/>
  <c r="I109" i="17"/>
  <c r="L79" i="17"/>
  <c r="I61" i="17"/>
  <c r="K52" i="17"/>
  <c r="K63" i="17"/>
  <c r="J87" i="17"/>
  <c r="L42" i="17"/>
  <c r="N42" i="17" s="1"/>
  <c r="L63" i="17"/>
  <c r="K65" i="17"/>
  <c r="K87" i="17"/>
  <c r="I39" i="17"/>
  <c r="L85" i="17"/>
  <c r="L96" i="17"/>
  <c r="I45" i="17"/>
  <c r="N45" i="17" s="1"/>
  <c r="J67" i="17"/>
  <c r="J77" i="17"/>
  <c r="I88" i="17"/>
  <c r="I90" i="17"/>
  <c r="J52" i="17"/>
  <c r="J54" i="17"/>
  <c r="J89" i="17"/>
  <c r="N89" i="17" s="1"/>
  <c r="L52" i="17"/>
  <c r="I77" i="17"/>
  <c r="K43" i="17"/>
  <c r="N43" i="17" s="1"/>
  <c r="K53" i="17"/>
  <c r="K67" i="17"/>
  <c r="J69" i="17"/>
  <c r="K77" i="17"/>
  <c r="J79" i="17"/>
  <c r="K39" i="17"/>
  <c r="J92" i="17"/>
  <c r="K70" i="17"/>
  <c r="K92" i="17"/>
  <c r="L90" i="17"/>
  <c r="J39" i="17"/>
  <c r="I92" i="17"/>
  <c r="L39" i="17"/>
  <c r="I108" i="17" s="1"/>
  <c r="J59" i="17"/>
  <c r="J94" i="17"/>
  <c r="L68" i="17"/>
  <c r="K47" i="17"/>
  <c r="N47" i="17" s="1"/>
  <c r="I82" i="17"/>
  <c r="I93" i="17"/>
  <c r="I95" i="17"/>
  <c r="N95" i="17" s="1"/>
  <c r="J48" i="17"/>
  <c r="N48" i="17" s="1"/>
  <c r="J53" i="17"/>
  <c r="J58" i="17"/>
  <c r="J63" i="17"/>
  <c r="J68" i="17"/>
  <c r="J73" i="17"/>
  <c r="J78" i="17"/>
  <c r="J83" i="17"/>
  <c r="J88" i="17"/>
  <c r="J93" i="17"/>
  <c r="J37" i="17"/>
  <c r="N37" i="17" s="1"/>
  <c r="J50" i="17"/>
  <c r="N50" i="17" s="1"/>
  <c r="J65" i="17"/>
  <c r="J75" i="17"/>
  <c r="J85" i="17"/>
  <c r="Y95" i="7"/>
  <c r="Y75" i="7"/>
  <c r="Y55" i="7"/>
  <c r="Y94" i="7"/>
  <c r="Y74" i="7"/>
  <c r="Y54" i="7"/>
  <c r="Y93" i="7"/>
  <c r="Y73" i="7"/>
  <c r="Y53" i="7"/>
  <c r="Y92" i="7"/>
  <c r="Y72" i="7"/>
  <c r="Y52" i="7"/>
  <c r="Y91" i="7"/>
  <c r="Y71" i="7"/>
  <c r="K43" i="16"/>
  <c r="K59" i="16"/>
  <c r="L93" i="16"/>
  <c r="K44" i="16"/>
  <c r="L49" i="16"/>
  <c r="L94" i="16"/>
  <c r="K39" i="16"/>
  <c r="K60" i="16"/>
  <c r="L79" i="16"/>
  <c r="L39" i="16"/>
  <c r="L60" i="16"/>
  <c r="L55" i="16"/>
  <c r="K71" i="16"/>
  <c r="L82" i="16"/>
  <c r="K93" i="16"/>
  <c r="L43" i="16"/>
  <c r="L59" i="16"/>
  <c r="L71" i="16"/>
  <c r="K96" i="16"/>
  <c r="L81" i="16"/>
  <c r="L41" i="16"/>
  <c r="L57" i="16"/>
  <c r="K68" i="16"/>
  <c r="K72" i="16"/>
  <c r="L77" i="16"/>
  <c r="K86" i="16"/>
  <c r="L64" i="16"/>
  <c r="K83" i="16"/>
  <c r="I96" i="16"/>
  <c r="L51" i="16"/>
  <c r="L72" i="16"/>
  <c r="L86" i="16"/>
  <c r="L67" i="16"/>
  <c r="K51" i="16"/>
  <c r="L90" i="16"/>
  <c r="K41" i="16"/>
  <c r="L37" i="16"/>
  <c r="K47" i="16"/>
  <c r="K53" i="16"/>
  <c r="K54" i="16"/>
  <c r="L53" i="16"/>
  <c r="L54" i="16"/>
  <c r="L91" i="16"/>
  <c r="L92" i="16"/>
  <c r="L61" i="16"/>
  <c r="L62" i="16"/>
  <c r="K88" i="16"/>
  <c r="K89" i="16"/>
  <c r="L88" i="16"/>
  <c r="L89" i="16"/>
  <c r="K64" i="16"/>
  <c r="K65" i="16"/>
  <c r="E109" i="16"/>
  <c r="H71" i="16"/>
  <c r="I109" i="16" s="1"/>
  <c r="K91" i="16"/>
  <c r="K92" i="16"/>
  <c r="L65" i="16"/>
  <c r="K46" i="16"/>
  <c r="K52" i="16"/>
  <c r="L46" i="16"/>
  <c r="L47" i="16"/>
  <c r="L52" i="16"/>
  <c r="K57" i="16"/>
  <c r="K87" i="16"/>
  <c r="K55" i="16"/>
  <c r="K66" i="16"/>
  <c r="L96" i="16"/>
  <c r="K40" i="16"/>
  <c r="K48" i="16"/>
  <c r="L85" i="16"/>
  <c r="L58" i="16"/>
  <c r="L42" i="16"/>
  <c r="K85" i="16"/>
  <c r="L40" i="16"/>
  <c r="K61" i="16"/>
  <c r="K67" i="16"/>
  <c r="L69" i="16"/>
  <c r="K94" i="16"/>
  <c r="K73" i="16"/>
  <c r="L44" i="16"/>
  <c r="K75" i="16"/>
  <c r="L73" i="16"/>
  <c r="B4" i="12"/>
  <c r="X56" i="13"/>
  <c r="H71" i="8"/>
  <c r="I109" i="8" s="1"/>
  <c r="E109" i="8"/>
  <c r="I108" i="8"/>
  <c r="E105" i="8"/>
  <c r="L37" i="8"/>
  <c r="G37" i="8"/>
  <c r="D96" i="8"/>
  <c r="F37" i="8"/>
  <c r="F38" i="8"/>
  <c r="K37" i="8" s="1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N88" i="17" l="1"/>
  <c r="N76" i="17"/>
  <c r="N53" i="17"/>
  <c r="N51" i="17"/>
  <c r="N92" i="17"/>
  <c r="N94" i="17"/>
  <c r="O94" i="17" s="1"/>
  <c r="Y94" i="17" s="1"/>
  <c r="N59" i="17"/>
  <c r="N78" i="17"/>
  <c r="N62" i="17"/>
  <c r="N54" i="17"/>
  <c r="N52" i="17"/>
  <c r="N49" i="17"/>
  <c r="N58" i="17"/>
  <c r="N87" i="17"/>
  <c r="N63" i="17"/>
  <c r="N69" i="17"/>
  <c r="I107" i="17"/>
  <c r="J40" i="17"/>
  <c r="N40" i="17" s="1"/>
  <c r="J41" i="17"/>
  <c r="N41" i="17" s="1"/>
  <c r="N39" i="17"/>
  <c r="I105" i="17"/>
  <c r="N68" i="17"/>
  <c r="N73" i="17"/>
  <c r="N74" i="17"/>
  <c r="N79" i="17"/>
  <c r="J84" i="17"/>
  <c r="N84" i="17" s="1"/>
  <c r="J66" i="17"/>
  <c r="N66" i="17" s="1"/>
  <c r="N67" i="17"/>
  <c r="J55" i="17"/>
  <c r="N55" i="17" s="1"/>
  <c r="J56" i="17"/>
  <c r="N56" i="17" s="1"/>
  <c r="N72" i="17"/>
  <c r="J90" i="17"/>
  <c r="N90" i="17" s="1"/>
  <c r="J91" i="17"/>
  <c r="N91" i="17" s="1"/>
  <c r="J38" i="17"/>
  <c r="N38" i="17" s="1"/>
  <c r="O95" i="17"/>
  <c r="Y95" i="17" s="1"/>
  <c r="J80" i="17"/>
  <c r="N80" i="17" s="1"/>
  <c r="J81" i="17"/>
  <c r="N81" i="17" s="1"/>
  <c r="N93" i="17"/>
  <c r="J70" i="17"/>
  <c r="N70" i="17" s="1"/>
  <c r="J71" i="17"/>
  <c r="N71" i="17" s="1"/>
  <c r="J61" i="17"/>
  <c r="N61" i="17" s="1"/>
  <c r="J60" i="17"/>
  <c r="N60" i="17" s="1"/>
  <c r="N75" i="17"/>
  <c r="N82" i="17"/>
  <c r="N77" i="17"/>
  <c r="N65" i="17"/>
  <c r="I108" i="16"/>
  <c r="I107" i="16"/>
  <c r="X51" i="13"/>
  <c r="G69" i="12"/>
  <c r="AC104" i="2"/>
  <c r="D47" i="2"/>
  <c r="D48" i="2"/>
  <c r="G47" i="2" s="1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46" i="2"/>
  <c r="F103" i="14"/>
  <c r="D175" i="14" s="1"/>
  <c r="E103" i="14"/>
  <c r="D38" i="14"/>
  <c r="D37" i="14"/>
  <c r="D36" i="14"/>
  <c r="D35" i="14"/>
  <c r="D34" i="14"/>
  <c r="D33" i="14"/>
  <c r="D32" i="14"/>
  <c r="D30" i="14"/>
  <c r="I29" i="14"/>
  <c r="D29" i="14"/>
  <c r="D31" i="14" s="1"/>
  <c r="E110" i="13"/>
  <c r="I105" i="13"/>
  <c r="J105" i="13" s="1"/>
  <c r="H105" i="13"/>
  <c r="D105" i="13"/>
  <c r="D104" i="13"/>
  <c r="D103" i="13"/>
  <c r="G103" i="13" s="1"/>
  <c r="Y102" i="13" s="1"/>
  <c r="D102" i="13"/>
  <c r="D101" i="13"/>
  <c r="D100" i="13"/>
  <c r="D99" i="13"/>
  <c r="G99" i="13" s="1"/>
  <c r="Y98" i="13" s="1"/>
  <c r="D98" i="13"/>
  <c r="D97" i="13"/>
  <c r="G97" i="13" s="1"/>
  <c r="Y96" i="13" s="1"/>
  <c r="D96" i="13"/>
  <c r="D95" i="13"/>
  <c r="G95" i="13" s="1"/>
  <c r="Y94" i="13" s="1"/>
  <c r="D94" i="13"/>
  <c r="D93" i="13"/>
  <c r="G93" i="13" s="1"/>
  <c r="Y92" i="13" s="1"/>
  <c r="D92" i="13"/>
  <c r="G92" i="13" s="1"/>
  <c r="Y91" i="13" s="1"/>
  <c r="D91" i="13"/>
  <c r="G91" i="13" s="1"/>
  <c r="Y90" i="13" s="1"/>
  <c r="D90" i="13"/>
  <c r="G90" i="13" s="1"/>
  <c r="Y89" i="13" s="1"/>
  <c r="D89" i="13"/>
  <c r="G89" i="13" s="1"/>
  <c r="Y88" i="13" s="1"/>
  <c r="D88" i="13"/>
  <c r="D87" i="13"/>
  <c r="G87" i="13" s="1"/>
  <c r="Y86" i="13" s="1"/>
  <c r="D86" i="13"/>
  <c r="G86" i="13" s="1"/>
  <c r="Y85" i="13" s="1"/>
  <c r="D85" i="13"/>
  <c r="G85" i="13" s="1"/>
  <c r="Y84" i="13" s="1"/>
  <c r="D84" i="13"/>
  <c r="D83" i="13"/>
  <c r="G83" i="13" s="1"/>
  <c r="Y82" i="13" s="1"/>
  <c r="D82" i="13"/>
  <c r="D81" i="13"/>
  <c r="G81" i="13" s="1"/>
  <c r="Y80" i="13" s="1"/>
  <c r="D80" i="13"/>
  <c r="D79" i="13"/>
  <c r="D78" i="13"/>
  <c r="D77" i="13"/>
  <c r="D76" i="13"/>
  <c r="G76" i="13" s="1"/>
  <c r="Y75" i="13" s="1"/>
  <c r="D75" i="13"/>
  <c r="D74" i="13"/>
  <c r="D73" i="13"/>
  <c r="G73" i="13" s="1"/>
  <c r="Y72" i="13" s="1"/>
  <c r="D72" i="13"/>
  <c r="D71" i="13"/>
  <c r="D70" i="13"/>
  <c r="D69" i="13"/>
  <c r="G69" i="13" s="1"/>
  <c r="Y68" i="13" s="1"/>
  <c r="D68" i="13"/>
  <c r="D67" i="13"/>
  <c r="D66" i="13"/>
  <c r="D65" i="13"/>
  <c r="G65" i="13" s="1"/>
  <c r="Y64" i="13" s="1"/>
  <c r="D64" i="13"/>
  <c r="D63" i="13"/>
  <c r="D62" i="13"/>
  <c r="D61" i="13"/>
  <c r="G61" i="13" s="1"/>
  <c r="Y60" i="13" s="1"/>
  <c r="D60" i="13"/>
  <c r="D59" i="13"/>
  <c r="D58" i="13"/>
  <c r="D57" i="13"/>
  <c r="D56" i="13"/>
  <c r="G56" i="13" s="1"/>
  <c r="Y55" i="13" s="1"/>
  <c r="D55" i="13"/>
  <c r="D54" i="13"/>
  <c r="D53" i="13"/>
  <c r="D51" i="13"/>
  <c r="D50" i="13"/>
  <c r="D49" i="13"/>
  <c r="D48" i="13"/>
  <c r="G48" i="13" s="1"/>
  <c r="Y47" i="13" s="1"/>
  <c r="D47" i="13"/>
  <c r="D39" i="13"/>
  <c r="I34" i="13"/>
  <c r="I33" i="13"/>
  <c r="I32" i="13"/>
  <c r="I30" i="13"/>
  <c r="D28" i="13"/>
  <c r="D30" i="13" s="1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49" i="7"/>
  <c r="Z48" i="7"/>
  <c r="Z47" i="7"/>
  <c r="Z46" i="7"/>
  <c r="K23" i="8"/>
  <c r="J44" i="1"/>
  <c r="J42" i="1"/>
  <c r="L5" i="1"/>
  <c r="L7" i="1"/>
  <c r="L6" i="1"/>
  <c r="U8" i="1"/>
  <c r="U6" i="1"/>
  <c r="U7" i="1"/>
  <c r="U5" i="1"/>
  <c r="O93" i="17" l="1"/>
  <c r="Y93" i="17" s="1"/>
  <c r="O86" i="17"/>
  <c r="Y86" i="17" s="1"/>
  <c r="O71" i="17"/>
  <c r="Y71" i="17" s="1"/>
  <c r="O89" i="17"/>
  <c r="Y89" i="17" s="1"/>
  <c r="O49" i="17"/>
  <c r="Y49" i="17" s="1"/>
  <c r="O92" i="17"/>
  <c r="Y92" i="17" s="1"/>
  <c r="O63" i="17"/>
  <c r="Y63" i="17" s="1"/>
  <c r="O88" i="17"/>
  <c r="Y88" i="17" s="1"/>
  <c r="O76" i="17"/>
  <c r="Y76" i="17" s="1"/>
  <c r="O66" i="17"/>
  <c r="Y66" i="17" s="1"/>
  <c r="O84" i="17"/>
  <c r="Y84" i="17" s="1"/>
  <c r="O59" i="17"/>
  <c r="Y59" i="17" s="1"/>
  <c r="O70" i="17"/>
  <c r="Y70" i="17" s="1"/>
  <c r="O69" i="17"/>
  <c r="Y69" i="17" s="1"/>
  <c r="O61" i="17"/>
  <c r="Y61" i="17" s="1"/>
  <c r="O48" i="17"/>
  <c r="Y48" i="17" s="1"/>
  <c r="O67" i="17"/>
  <c r="Y67" i="17" s="1"/>
  <c r="O37" i="17"/>
  <c r="Y37" i="17" s="1"/>
  <c r="O83" i="17"/>
  <c r="Y83" i="17" s="1"/>
  <c r="O79" i="17"/>
  <c r="Y79" i="17" s="1"/>
  <c r="O81" i="17"/>
  <c r="Y81" i="17" s="1"/>
  <c r="O73" i="17"/>
  <c r="Y73" i="17" s="1"/>
  <c r="O53" i="17"/>
  <c r="Y53" i="17" s="1"/>
  <c r="O38" i="17"/>
  <c r="Y38" i="17" s="1"/>
  <c r="O91" i="17"/>
  <c r="Y91" i="17" s="1"/>
  <c r="O64" i="17"/>
  <c r="Y64" i="17" s="1"/>
  <c r="O78" i="17"/>
  <c r="Y78" i="17" s="1"/>
  <c r="O55" i="17"/>
  <c r="Y55" i="17" s="1"/>
  <c r="O44" i="17"/>
  <c r="Y44" i="17" s="1"/>
  <c r="O50" i="17"/>
  <c r="Y50" i="17" s="1"/>
  <c r="O74" i="17"/>
  <c r="Y74" i="17" s="1"/>
  <c r="O80" i="17"/>
  <c r="Y80" i="17" s="1"/>
  <c r="O52" i="17"/>
  <c r="Y52" i="17" s="1"/>
  <c r="O54" i="17"/>
  <c r="Y54" i="17" s="1"/>
  <c r="O68" i="17"/>
  <c r="Y68" i="17" s="1"/>
  <c r="O46" i="17"/>
  <c r="Y46" i="17" s="1"/>
  <c r="O60" i="17"/>
  <c r="Y60" i="17" s="1"/>
  <c r="O58" i="17"/>
  <c r="Y58" i="17" s="1"/>
  <c r="O47" i="17"/>
  <c r="Y47" i="17" s="1"/>
  <c r="O51" i="17"/>
  <c r="Y51" i="17" s="1"/>
  <c r="O39" i="17"/>
  <c r="Y39" i="17" s="1"/>
  <c r="O82" i="17"/>
  <c r="Y82" i="17" s="1"/>
  <c r="O45" i="17"/>
  <c r="Y45" i="17" s="1"/>
  <c r="O65" i="17"/>
  <c r="Y65" i="17" s="1"/>
  <c r="O77" i="17"/>
  <c r="Y77" i="17" s="1"/>
  <c r="O72" i="17"/>
  <c r="Y72" i="17" s="1"/>
  <c r="O42" i="17"/>
  <c r="Y42" i="17" s="1"/>
  <c r="O41" i="17"/>
  <c r="Y41" i="17" s="1"/>
  <c r="O75" i="17"/>
  <c r="Y75" i="17" s="1"/>
  <c r="I106" i="17"/>
  <c r="O40" i="17"/>
  <c r="Y40" i="17" s="1"/>
  <c r="O85" i="17"/>
  <c r="Y85" i="17" s="1"/>
  <c r="O90" i="17"/>
  <c r="Y90" i="17" s="1"/>
  <c r="O87" i="17"/>
  <c r="Y87" i="17" s="1"/>
  <c r="O43" i="17"/>
  <c r="Y43" i="17" s="1"/>
  <c r="O56" i="17"/>
  <c r="Y56" i="17" s="1"/>
  <c r="O62" i="17"/>
  <c r="Y62" i="17" s="1"/>
  <c r="O57" i="17"/>
  <c r="Y57" i="17" s="1"/>
  <c r="G60" i="13"/>
  <c r="Y59" i="13" s="1"/>
  <c r="G100" i="13"/>
  <c r="Y99" i="13" s="1"/>
  <c r="G47" i="13"/>
  <c r="Y46" i="13" s="1"/>
  <c r="G64" i="13"/>
  <c r="Y63" i="13" s="1"/>
  <c r="G84" i="13"/>
  <c r="Y83" i="13" s="1"/>
  <c r="G104" i="13"/>
  <c r="G77" i="13"/>
  <c r="Y76" i="13" s="1"/>
  <c r="G96" i="13"/>
  <c r="Y95" i="13" s="1"/>
  <c r="G49" i="13"/>
  <c r="Y48" i="13" s="1"/>
  <c r="G74" i="13"/>
  <c r="Y73" i="13" s="1"/>
  <c r="G79" i="13"/>
  <c r="Y78" i="13" s="1"/>
  <c r="G98" i="13"/>
  <c r="Y97" i="13" s="1"/>
  <c r="G82" i="13"/>
  <c r="Y81" i="13" s="1"/>
  <c r="G101" i="13"/>
  <c r="Y100" i="13" s="1"/>
  <c r="D37" i="8"/>
  <c r="G103" i="14"/>
  <c r="H103" i="14" s="1"/>
  <c r="E175" i="14" s="1"/>
  <c r="H103" i="13"/>
  <c r="G80" i="13"/>
  <c r="Y79" i="13" s="1"/>
  <c r="G52" i="13"/>
  <c r="Y51" i="13" s="1"/>
  <c r="Y51" i="7" s="1"/>
  <c r="G62" i="13"/>
  <c r="Y61" i="13" s="1"/>
  <c r="G66" i="13"/>
  <c r="Y65" i="13" s="1"/>
  <c r="G68" i="13"/>
  <c r="Y67" i="13" s="1"/>
  <c r="G58" i="13"/>
  <c r="Y57" i="13" s="1"/>
  <c r="G67" i="13"/>
  <c r="Y66" i="13" s="1"/>
  <c r="G50" i="13"/>
  <c r="Y49" i="13" s="1"/>
  <c r="G70" i="13"/>
  <c r="Y69" i="13" s="1"/>
  <c r="G53" i="13"/>
  <c r="Y52" i="13" s="1"/>
  <c r="G72" i="13"/>
  <c r="Y71" i="13" s="1"/>
  <c r="G88" i="13"/>
  <c r="Y87" i="13" s="1"/>
  <c r="G78" i="13"/>
  <c r="Y77" i="13" s="1"/>
  <c r="G46" i="13"/>
  <c r="Y45" i="13" s="1"/>
  <c r="G54" i="13"/>
  <c r="Y53" i="13" s="1"/>
  <c r="G55" i="13"/>
  <c r="Y54" i="13" s="1"/>
  <c r="G102" i="13"/>
  <c r="G75" i="13"/>
  <c r="Y74" i="13" s="1"/>
  <c r="G94" i="13"/>
  <c r="Y93" i="13" s="1"/>
  <c r="G59" i="13"/>
  <c r="Y58" i="13" s="1"/>
  <c r="G63" i="13"/>
  <c r="Y62" i="13" s="1"/>
  <c r="G51" i="13"/>
  <c r="Y50" i="13" s="1"/>
  <c r="G71" i="13"/>
  <c r="Y70" i="13" s="1"/>
  <c r="G57" i="13"/>
  <c r="Y56" i="13" s="1"/>
  <c r="I35" i="13"/>
  <c r="B13" i="12"/>
  <c r="B14" i="12"/>
  <c r="E13" i="12" s="1"/>
  <c r="G13" i="12" s="1"/>
  <c r="B15" i="12"/>
  <c r="B16" i="12"/>
  <c r="B17" i="12"/>
  <c r="B18" i="12"/>
  <c r="B19" i="12"/>
  <c r="E18" i="12" s="1"/>
  <c r="G18" i="12" s="1"/>
  <c r="B20" i="12"/>
  <c r="B21" i="12"/>
  <c r="B22" i="12"/>
  <c r="B23" i="12"/>
  <c r="E22" i="12" s="1"/>
  <c r="G22" i="12" s="1"/>
  <c r="B24" i="12"/>
  <c r="B25" i="12"/>
  <c r="B26" i="12"/>
  <c r="B27" i="12"/>
  <c r="B28" i="12"/>
  <c r="E27" i="12" s="1"/>
  <c r="G27" i="12" s="1"/>
  <c r="B29" i="12"/>
  <c r="E28" i="12" s="1"/>
  <c r="G28" i="12" s="1"/>
  <c r="B30" i="12"/>
  <c r="E29" i="12" s="1"/>
  <c r="G29" i="12" s="1"/>
  <c r="B31" i="12"/>
  <c r="B32" i="12"/>
  <c r="B33" i="12"/>
  <c r="B34" i="12"/>
  <c r="E33" i="12" s="1"/>
  <c r="G33" i="12" s="1"/>
  <c r="B35" i="12"/>
  <c r="E34" i="12" s="1"/>
  <c r="G34" i="12" s="1"/>
  <c r="B36" i="12"/>
  <c r="B37" i="12"/>
  <c r="B38" i="12"/>
  <c r="E37" i="12" s="1"/>
  <c r="G37" i="12" s="1"/>
  <c r="B39" i="12"/>
  <c r="E38" i="12" s="1"/>
  <c r="G38" i="12" s="1"/>
  <c r="B40" i="12"/>
  <c r="E39" i="12" s="1"/>
  <c r="G39" i="12" s="1"/>
  <c r="B41" i="12"/>
  <c r="B42" i="12"/>
  <c r="E41" i="12" s="1"/>
  <c r="G41" i="12" s="1"/>
  <c r="B43" i="12"/>
  <c r="E42" i="12" s="1"/>
  <c r="G42" i="12" s="1"/>
  <c r="B44" i="12"/>
  <c r="B45" i="12"/>
  <c r="E44" i="12" s="1"/>
  <c r="G44" i="12" s="1"/>
  <c r="B46" i="12"/>
  <c r="E45" i="12" s="1"/>
  <c r="G45" i="12" s="1"/>
  <c r="B47" i="12"/>
  <c r="B48" i="12"/>
  <c r="B49" i="12"/>
  <c r="E48" i="12" s="1"/>
  <c r="G48" i="12" s="1"/>
  <c r="B50" i="12"/>
  <c r="E49" i="12" s="1"/>
  <c r="G49" i="12" s="1"/>
  <c r="B51" i="12"/>
  <c r="B52" i="12"/>
  <c r="B53" i="12"/>
  <c r="E52" i="12" s="1"/>
  <c r="G52" i="12" s="1"/>
  <c r="B54" i="12"/>
  <c r="E53" i="12" s="1"/>
  <c r="G53" i="12" s="1"/>
  <c r="B55" i="12"/>
  <c r="E54" i="12" s="1"/>
  <c r="G54" i="12" s="1"/>
  <c r="B56" i="12"/>
  <c r="B57" i="12"/>
  <c r="B58" i="12"/>
  <c r="E57" i="12" s="1"/>
  <c r="G57" i="12" s="1"/>
  <c r="B59" i="12"/>
  <c r="E58" i="12" s="1"/>
  <c r="G58" i="12" s="1"/>
  <c r="B60" i="12"/>
  <c r="B61" i="12"/>
  <c r="E60" i="12" s="1"/>
  <c r="G60" i="12" s="1"/>
  <c r="B62" i="12"/>
  <c r="B63" i="12"/>
  <c r="E62" i="12" s="1"/>
  <c r="G62" i="12" s="1"/>
  <c r="B64" i="12"/>
  <c r="B65" i="12"/>
  <c r="E64" i="12" s="1"/>
  <c r="G64" i="12" s="1"/>
  <c r="B66" i="12"/>
  <c r="E65" i="12" s="1"/>
  <c r="G65" i="12" s="1"/>
  <c r="B67" i="12"/>
  <c r="B68" i="12"/>
  <c r="B69" i="12"/>
  <c r="B11" i="12"/>
  <c r="I32" i="2"/>
  <c r="F80" i="2" s="1"/>
  <c r="G46" i="2"/>
  <c r="E110" i="2"/>
  <c r="E103" i="7"/>
  <c r="F103" i="7" s="1"/>
  <c r="D175" i="7" s="1"/>
  <c r="J105" i="2"/>
  <c r="Z50" i="7" l="1"/>
  <c r="Z51" i="7"/>
  <c r="AC45" i="2"/>
  <c r="X45" i="14"/>
  <c r="E17" i="12"/>
  <c r="G17" i="12" s="1"/>
  <c r="E24" i="12"/>
  <c r="G24" i="12" s="1"/>
  <c r="E32" i="12"/>
  <c r="G32" i="12" s="1"/>
  <c r="E12" i="12"/>
  <c r="G12" i="12" s="1"/>
  <c r="H102" i="13"/>
  <c r="Y101" i="13"/>
  <c r="H104" i="13"/>
  <c r="Y103" i="13"/>
  <c r="I103" i="13"/>
  <c r="D97" i="14"/>
  <c r="D87" i="14"/>
  <c r="D77" i="14"/>
  <c r="D67" i="14"/>
  <c r="D57" i="14"/>
  <c r="D47" i="14"/>
  <c r="D100" i="14"/>
  <c r="D90" i="14"/>
  <c r="D80" i="14"/>
  <c r="D70" i="14"/>
  <c r="D50" i="14"/>
  <c r="D60" i="14"/>
  <c r="D93" i="14"/>
  <c r="D83" i="14"/>
  <c r="D73" i="14"/>
  <c r="D63" i="14"/>
  <c r="D53" i="14"/>
  <c r="D96" i="14"/>
  <c r="D86" i="14"/>
  <c r="D76" i="14"/>
  <c r="D66" i="14"/>
  <c r="D56" i="14"/>
  <c r="D46" i="14"/>
  <c r="D69" i="14"/>
  <c r="D68" i="14"/>
  <c r="D102" i="14"/>
  <c r="D72" i="14"/>
  <c r="D55" i="14"/>
  <c r="D59" i="14"/>
  <c r="D49" i="14"/>
  <c r="D98" i="14"/>
  <c r="D101" i="14"/>
  <c r="D91" i="14"/>
  <c r="D81" i="14"/>
  <c r="D71" i="14"/>
  <c r="D61" i="14"/>
  <c r="D51" i="14"/>
  <c r="D99" i="14"/>
  <c r="D82" i="14"/>
  <c r="D95" i="14"/>
  <c r="D85" i="14"/>
  <c r="D75" i="14"/>
  <c r="D65" i="14"/>
  <c r="D45" i="14"/>
  <c r="D89" i="14"/>
  <c r="D88" i="14"/>
  <c r="D92" i="14"/>
  <c r="D79" i="14"/>
  <c r="D52" i="14"/>
  <c r="D94" i="14"/>
  <c r="D84" i="14"/>
  <c r="D74" i="14"/>
  <c r="D64" i="14"/>
  <c r="D54" i="14"/>
  <c r="D78" i="14"/>
  <c r="D58" i="14"/>
  <c r="D48" i="14"/>
  <c r="D62" i="14"/>
  <c r="E68" i="12"/>
  <c r="G68" i="12" s="1"/>
  <c r="E63" i="12"/>
  <c r="G63" i="12" s="1"/>
  <c r="E43" i="12"/>
  <c r="G43" i="12" s="1"/>
  <c r="E23" i="12"/>
  <c r="G23" i="12" s="1"/>
  <c r="I102" i="13"/>
  <c r="E56" i="12"/>
  <c r="G56" i="12" s="1"/>
  <c r="E36" i="12"/>
  <c r="G36" i="12" s="1"/>
  <c r="G103" i="7"/>
  <c r="H103" i="7" s="1"/>
  <c r="E175" i="7" s="1"/>
  <c r="H60" i="13"/>
  <c r="H81" i="13"/>
  <c r="H64" i="13"/>
  <c r="H87" i="13"/>
  <c r="G107" i="13"/>
  <c r="H99" i="13"/>
  <c r="H96" i="13"/>
  <c r="H59" i="13"/>
  <c r="H71" i="13"/>
  <c r="H89" i="13"/>
  <c r="H88" i="13"/>
  <c r="H101" i="13"/>
  <c r="H97" i="13"/>
  <c r="H50" i="13"/>
  <c r="H100" i="13"/>
  <c r="H94" i="13"/>
  <c r="H57" i="13"/>
  <c r="H56" i="13"/>
  <c r="H52" i="13"/>
  <c r="H76" i="13"/>
  <c r="H74" i="13"/>
  <c r="H75" i="13"/>
  <c r="H91" i="13"/>
  <c r="H55" i="13"/>
  <c r="H70" i="13"/>
  <c r="H61" i="13"/>
  <c r="H72" i="13"/>
  <c r="H79" i="13"/>
  <c r="H58" i="13"/>
  <c r="H93" i="13"/>
  <c r="H83" i="13"/>
  <c r="H47" i="13"/>
  <c r="H53" i="13"/>
  <c r="H68" i="13"/>
  <c r="H51" i="13"/>
  <c r="H85" i="13"/>
  <c r="H77" i="13"/>
  <c r="H46" i="13"/>
  <c r="H48" i="13"/>
  <c r="H78" i="13"/>
  <c r="H73" i="13"/>
  <c r="H92" i="13"/>
  <c r="H67" i="13"/>
  <c r="H54" i="13"/>
  <c r="H69" i="13"/>
  <c r="H86" i="13"/>
  <c r="H82" i="13"/>
  <c r="H84" i="13"/>
  <c r="H49" i="13"/>
  <c r="H65" i="13"/>
  <c r="H90" i="13"/>
  <c r="H62" i="13"/>
  <c r="H63" i="13"/>
  <c r="H66" i="13"/>
  <c r="H98" i="13"/>
  <c r="H80" i="13"/>
  <c r="H95" i="13"/>
  <c r="E11" i="12"/>
  <c r="G11" i="12" s="1"/>
  <c r="E31" i="12"/>
  <c r="G31" i="12" s="1"/>
  <c r="E10" i="12"/>
  <c r="G10" i="12" s="1"/>
  <c r="E67" i="12"/>
  <c r="G67" i="12" s="1"/>
  <c r="E47" i="12"/>
  <c r="G47" i="12" s="1"/>
  <c r="E51" i="12"/>
  <c r="G51" i="12" s="1"/>
  <c r="E66" i="12"/>
  <c r="G66" i="12" s="1"/>
  <c r="E46" i="12"/>
  <c r="G46" i="12" s="1"/>
  <c r="E26" i="12"/>
  <c r="G26" i="12" s="1"/>
  <c r="E21" i="12"/>
  <c r="G21" i="12" s="1"/>
  <c r="E19" i="12"/>
  <c r="G19" i="12" s="1"/>
  <c r="E16" i="12"/>
  <c r="G16" i="12" s="1"/>
  <c r="E55" i="12"/>
  <c r="G55" i="12" s="1"/>
  <c r="E15" i="12"/>
  <c r="G15" i="12" s="1"/>
  <c r="E59" i="12"/>
  <c r="G59" i="12" s="1"/>
  <c r="E14" i="12"/>
  <c r="G14" i="12" s="1"/>
  <c r="E61" i="12"/>
  <c r="G61" i="12" s="1"/>
  <c r="E50" i="12"/>
  <c r="G50" i="12" s="1"/>
  <c r="E20" i="12"/>
  <c r="G20" i="12" s="1"/>
  <c r="E25" i="12"/>
  <c r="G25" i="12" s="1"/>
  <c r="E35" i="12"/>
  <c r="G35" i="12" s="1"/>
  <c r="E30" i="12"/>
  <c r="G30" i="12" s="1"/>
  <c r="E40" i="12"/>
  <c r="G40" i="12" s="1"/>
  <c r="D65" i="8" l="1"/>
  <c r="D65" i="16"/>
  <c r="D88" i="16"/>
  <c r="D52" i="8"/>
  <c r="D52" i="16"/>
  <c r="D75" i="16"/>
  <c r="D73" i="16"/>
  <c r="D93" i="8"/>
  <c r="D93" i="16"/>
  <c r="D61" i="16"/>
  <c r="D62" i="8"/>
  <c r="D62" i="16"/>
  <c r="D58" i="8"/>
  <c r="D58" i="16"/>
  <c r="D80" i="8"/>
  <c r="D80" i="16"/>
  <c r="D69" i="16"/>
  <c r="D92" i="16"/>
  <c r="D86" i="16"/>
  <c r="D72" i="8"/>
  <c r="D72" i="16"/>
  <c r="D85" i="8"/>
  <c r="D85" i="16"/>
  <c r="D81" i="16"/>
  <c r="D50" i="16"/>
  <c r="D39" i="8"/>
  <c r="D39" i="16"/>
  <c r="D49" i="8"/>
  <c r="D49" i="16"/>
  <c r="D78" i="8"/>
  <c r="D78" i="16"/>
  <c r="D89" i="16"/>
  <c r="D46" i="16"/>
  <c r="D56" i="8"/>
  <c r="D56" i="16"/>
  <c r="D64" i="16"/>
  <c r="D47" i="8"/>
  <c r="D47" i="16"/>
  <c r="D94" i="16"/>
  <c r="D53" i="16"/>
  <c r="D83" i="16"/>
  <c r="D95" i="8"/>
  <c r="D95" i="16"/>
  <c r="I95" i="16" s="1"/>
  <c r="D82" i="8"/>
  <c r="D82" i="16"/>
  <c r="D38" i="8"/>
  <c r="I37" i="8" s="1"/>
  <c r="D38" i="16"/>
  <c r="I37" i="16" s="1"/>
  <c r="D70" i="8"/>
  <c r="D70" i="16"/>
  <c r="D90" i="8"/>
  <c r="D90" i="16"/>
  <c r="D79" i="16"/>
  <c r="D55" i="16"/>
  <c r="D44" i="16"/>
  <c r="D54" i="16"/>
  <c r="D71" i="16"/>
  <c r="D74" i="16"/>
  <c r="D84" i="16"/>
  <c r="I83" i="16" s="1"/>
  <c r="D77" i="8"/>
  <c r="D77" i="16"/>
  <c r="I76" i="16" s="1"/>
  <c r="D91" i="16"/>
  <c r="D43" i="16"/>
  <c r="D45" i="8"/>
  <c r="D45" i="16"/>
  <c r="D48" i="8"/>
  <c r="D48" i="16"/>
  <c r="D40" i="16"/>
  <c r="D60" i="16"/>
  <c r="D68" i="8"/>
  <c r="D68" i="16"/>
  <c r="D59" i="8"/>
  <c r="D59" i="16"/>
  <c r="D41" i="16"/>
  <c r="D51" i="16"/>
  <c r="D66" i="16"/>
  <c r="D76" i="8"/>
  <c r="D76" i="16"/>
  <c r="D57" i="8"/>
  <c r="D57" i="16"/>
  <c r="D67" i="8"/>
  <c r="D67" i="16"/>
  <c r="D87" i="8"/>
  <c r="D87" i="16"/>
  <c r="D42" i="8"/>
  <c r="D42" i="16"/>
  <c r="D63" i="16"/>
  <c r="I104" i="13"/>
  <c r="E89" i="14"/>
  <c r="D83" i="8"/>
  <c r="E87" i="14"/>
  <c r="D81" i="8"/>
  <c r="E46" i="14"/>
  <c r="D40" i="8"/>
  <c r="E67" i="14"/>
  <c r="D61" i="8"/>
  <c r="E56" i="14"/>
  <c r="D50" i="8"/>
  <c r="E66" i="14"/>
  <c r="D60" i="8"/>
  <c r="E94" i="14"/>
  <c r="D88" i="8"/>
  <c r="E75" i="14"/>
  <c r="D69" i="8"/>
  <c r="E81" i="14"/>
  <c r="D75" i="8"/>
  <c r="E85" i="14"/>
  <c r="D79" i="8"/>
  <c r="E61" i="14"/>
  <c r="D55" i="8"/>
  <c r="E98" i="14"/>
  <c r="D92" i="8"/>
  <c r="E95" i="14"/>
  <c r="D89" i="8"/>
  <c r="E47" i="14"/>
  <c r="D41" i="8"/>
  <c r="E50" i="14"/>
  <c r="D44" i="8"/>
  <c r="E52" i="14"/>
  <c r="D46" i="8"/>
  <c r="E57" i="14"/>
  <c r="D51" i="8"/>
  <c r="E60" i="14"/>
  <c r="D54" i="8"/>
  <c r="E77" i="14"/>
  <c r="D71" i="8"/>
  <c r="E70" i="14"/>
  <c r="D64" i="8"/>
  <c r="E72" i="14"/>
  <c r="D66" i="8"/>
  <c r="E80" i="14"/>
  <c r="D74" i="8"/>
  <c r="E90" i="14"/>
  <c r="D84" i="8"/>
  <c r="E92" i="14"/>
  <c r="D86" i="8"/>
  <c r="E100" i="14"/>
  <c r="D94" i="8"/>
  <c r="E59" i="14"/>
  <c r="D53" i="8"/>
  <c r="E97" i="14"/>
  <c r="D91" i="8"/>
  <c r="E49" i="14"/>
  <c r="D43" i="8"/>
  <c r="E69" i="14"/>
  <c r="D63" i="8"/>
  <c r="E79" i="14"/>
  <c r="D73" i="8"/>
  <c r="I60" i="13"/>
  <c r="I62" i="13"/>
  <c r="E73" i="14"/>
  <c r="E83" i="14"/>
  <c r="E93" i="14"/>
  <c r="E51" i="14"/>
  <c r="E78" i="14"/>
  <c r="E71" i="14"/>
  <c r="E62" i="14"/>
  <c r="E53" i="14"/>
  <c r="E63" i="14"/>
  <c r="E64" i="14"/>
  <c r="E76" i="14"/>
  <c r="E82" i="14"/>
  <c r="E91" i="14"/>
  <c r="E99" i="14"/>
  <c r="E74" i="14"/>
  <c r="E55" i="14"/>
  <c r="E86" i="14"/>
  <c r="E48" i="14"/>
  <c r="E58" i="14"/>
  <c r="E54" i="14"/>
  <c r="E101" i="14"/>
  <c r="E102" i="14"/>
  <c r="E88" i="14"/>
  <c r="E44" i="14"/>
  <c r="E68" i="14"/>
  <c r="E45" i="14"/>
  <c r="E84" i="14"/>
  <c r="E65" i="14"/>
  <c r="E96" i="14"/>
  <c r="I84" i="13"/>
  <c r="I65" i="13"/>
  <c r="I96" i="13"/>
  <c r="I50" i="13"/>
  <c r="I89" i="13"/>
  <c r="I76" i="13"/>
  <c r="I99" i="13"/>
  <c r="I87" i="13"/>
  <c r="I59" i="13"/>
  <c r="I64" i="13"/>
  <c r="I70" i="13"/>
  <c r="I81" i="13"/>
  <c r="I91" i="13"/>
  <c r="I52" i="13"/>
  <c r="I83" i="13"/>
  <c r="I71" i="13"/>
  <c r="I74" i="13"/>
  <c r="I51" i="13"/>
  <c r="I85" i="13"/>
  <c r="I88" i="13"/>
  <c r="I69" i="13"/>
  <c r="I57" i="13"/>
  <c r="I68" i="13"/>
  <c r="I100" i="13"/>
  <c r="I66" i="13"/>
  <c r="I54" i="13"/>
  <c r="I58" i="13"/>
  <c r="I86" i="13"/>
  <c r="I77" i="13"/>
  <c r="I94" i="13"/>
  <c r="I47" i="13"/>
  <c r="I90" i="13"/>
  <c r="I79" i="13"/>
  <c r="I97" i="13"/>
  <c r="I101" i="13"/>
  <c r="J101" i="13" s="1"/>
  <c r="I48" i="13"/>
  <c r="I75" i="13"/>
  <c r="I98" i="13"/>
  <c r="I67" i="13"/>
  <c r="I72" i="13"/>
  <c r="I61" i="13"/>
  <c r="I73" i="13"/>
  <c r="I80" i="13"/>
  <c r="I53" i="13"/>
  <c r="I56" i="13"/>
  <c r="I46" i="13"/>
  <c r="I95" i="13"/>
  <c r="I82" i="13"/>
  <c r="I92" i="13"/>
  <c r="I55" i="13"/>
  <c r="I63" i="13"/>
  <c r="I93" i="13"/>
  <c r="I78" i="13"/>
  <c r="I49" i="13"/>
  <c r="I105" i="2"/>
  <c r="H105" i="2"/>
  <c r="G104" i="2"/>
  <c r="X103" i="14" s="1"/>
  <c r="G103" i="2"/>
  <c r="X102" i="14" s="1"/>
  <c r="G102" i="2"/>
  <c r="AC101" i="2" s="1"/>
  <c r="G101" i="2"/>
  <c r="AC100" i="2" s="1"/>
  <c r="G100" i="2"/>
  <c r="AC99" i="2" s="1"/>
  <c r="G99" i="2"/>
  <c r="AC98" i="2" s="1"/>
  <c r="G98" i="2"/>
  <c r="AC97" i="2" s="1"/>
  <c r="G97" i="2"/>
  <c r="AC96" i="2" s="1"/>
  <c r="G96" i="2"/>
  <c r="AC95" i="2" s="1"/>
  <c r="G95" i="2"/>
  <c r="AC94" i="2" s="1"/>
  <c r="G94" i="2"/>
  <c r="AC93" i="2" s="1"/>
  <c r="G93" i="2"/>
  <c r="AC92" i="2" s="1"/>
  <c r="G92" i="2"/>
  <c r="AC91" i="2" s="1"/>
  <c r="G91" i="2"/>
  <c r="AC90" i="2" s="1"/>
  <c r="G90" i="2"/>
  <c r="AC89" i="2" s="1"/>
  <c r="G89" i="2"/>
  <c r="AC88" i="2" s="1"/>
  <c r="G88" i="2"/>
  <c r="AC87" i="2" s="1"/>
  <c r="G87" i="2"/>
  <c r="AC86" i="2" s="1"/>
  <c r="G86" i="2"/>
  <c r="AC85" i="2" s="1"/>
  <c r="G85" i="2"/>
  <c r="AC84" i="2" s="1"/>
  <c r="G84" i="2"/>
  <c r="AC83" i="2" s="1"/>
  <c r="G83" i="2"/>
  <c r="AC82" i="2" s="1"/>
  <c r="G82" i="2"/>
  <c r="AC81" i="2" s="1"/>
  <c r="I33" i="2"/>
  <c r="I67" i="16" l="1"/>
  <c r="I43" i="16"/>
  <c r="I58" i="16"/>
  <c r="I47" i="16"/>
  <c r="I52" i="16"/>
  <c r="I66" i="16"/>
  <c r="X89" i="14"/>
  <c r="X83" i="14"/>
  <c r="X84" i="14"/>
  <c r="X91" i="14"/>
  <c r="I84" i="16"/>
  <c r="I92" i="16"/>
  <c r="X92" i="14"/>
  <c r="Z91" i="14" s="1"/>
  <c r="X93" i="14"/>
  <c r="Z92" i="14" s="1"/>
  <c r="I48" i="16"/>
  <c r="I86" i="16"/>
  <c r="I73" i="16"/>
  <c r="X90" i="14"/>
  <c r="X82" i="14"/>
  <c r="X95" i="14"/>
  <c r="I42" i="16"/>
  <c r="Z102" i="14"/>
  <c r="I46" i="16"/>
  <c r="I45" i="16"/>
  <c r="X101" i="14"/>
  <c r="I89" i="16"/>
  <c r="I88" i="16"/>
  <c r="I56" i="16"/>
  <c r="I54" i="16"/>
  <c r="I53" i="16"/>
  <c r="X97" i="14"/>
  <c r="X94" i="14"/>
  <c r="I72" i="16"/>
  <c r="I81" i="16"/>
  <c r="I80" i="16"/>
  <c r="I60" i="16"/>
  <c r="I59" i="16"/>
  <c r="I71" i="16"/>
  <c r="X86" i="14"/>
  <c r="I85" i="16"/>
  <c r="X81" i="14"/>
  <c r="I77" i="16"/>
  <c r="X100" i="14"/>
  <c r="I68" i="16"/>
  <c r="I44" i="16"/>
  <c r="I79" i="16"/>
  <c r="I78" i="16"/>
  <c r="I75" i="16"/>
  <c r="I82" i="16"/>
  <c r="I51" i="16"/>
  <c r="I50" i="16"/>
  <c r="X87" i="14"/>
  <c r="I94" i="16"/>
  <c r="I93" i="16"/>
  <c r="X88" i="14"/>
  <c r="I87" i="16"/>
  <c r="I74" i="16"/>
  <c r="I63" i="16"/>
  <c r="I39" i="16"/>
  <c r="I38" i="16"/>
  <c r="X96" i="14"/>
  <c r="I91" i="16"/>
  <c r="I90" i="16"/>
  <c r="I40" i="16"/>
  <c r="X99" i="14"/>
  <c r="Z98" i="14" s="1"/>
  <c r="I49" i="16"/>
  <c r="I57" i="16"/>
  <c r="I65" i="16"/>
  <c r="I64" i="16"/>
  <c r="I62" i="16"/>
  <c r="I61" i="16"/>
  <c r="I55" i="16"/>
  <c r="X98" i="14"/>
  <c r="I41" i="16"/>
  <c r="X85" i="14"/>
  <c r="Z84" i="14" s="1"/>
  <c r="I70" i="16"/>
  <c r="I69" i="16"/>
  <c r="F100" i="14"/>
  <c r="J104" i="13"/>
  <c r="J102" i="13"/>
  <c r="J103" i="13"/>
  <c r="F55" i="14"/>
  <c r="F99" i="14"/>
  <c r="F91" i="14"/>
  <c r="F96" i="14"/>
  <c r="F62" i="14"/>
  <c r="F77" i="14"/>
  <c r="F102" i="14"/>
  <c r="G102" i="14" s="1"/>
  <c r="H102" i="14" s="1"/>
  <c r="F92" i="14"/>
  <c r="F46" i="14"/>
  <c r="H103" i="2"/>
  <c r="AC102" i="2"/>
  <c r="H104" i="2"/>
  <c r="I103" i="2" s="1"/>
  <c r="AC103" i="2"/>
  <c r="G91" i="14"/>
  <c r="F82" i="14"/>
  <c r="F61" i="14"/>
  <c r="F65" i="14"/>
  <c r="F84" i="14"/>
  <c r="F45" i="14"/>
  <c r="F71" i="14"/>
  <c r="F49" i="14"/>
  <c r="F51" i="14"/>
  <c r="F101" i="14"/>
  <c r="F73" i="14"/>
  <c r="F76" i="14"/>
  <c r="F72" i="14"/>
  <c r="F70" i="14"/>
  <c r="F80" i="14"/>
  <c r="F74" i="14"/>
  <c r="F81" i="14"/>
  <c r="F66" i="14"/>
  <c r="F79" i="14"/>
  <c r="F78" i="14"/>
  <c r="F93" i="14"/>
  <c r="F60" i="14"/>
  <c r="F57" i="14"/>
  <c r="F90" i="14"/>
  <c r="F64" i="14"/>
  <c r="F97" i="14"/>
  <c r="F89" i="14"/>
  <c r="F63" i="14"/>
  <c r="F98" i="14"/>
  <c r="F50" i="14"/>
  <c r="F67" i="14"/>
  <c r="F94" i="14"/>
  <c r="F68" i="14"/>
  <c r="F106" i="14"/>
  <c r="F44" i="14"/>
  <c r="F88" i="14"/>
  <c r="F83" i="14"/>
  <c r="F87" i="14"/>
  <c r="F54" i="14"/>
  <c r="F58" i="14"/>
  <c r="F48" i="14"/>
  <c r="F47" i="14"/>
  <c r="F75" i="14"/>
  <c r="F69" i="14"/>
  <c r="F56" i="14"/>
  <c r="F52" i="14"/>
  <c r="F59" i="14"/>
  <c r="F85" i="14"/>
  <c r="F86" i="14"/>
  <c r="F53" i="14"/>
  <c r="F95" i="14"/>
  <c r="H102" i="2"/>
  <c r="J79" i="13"/>
  <c r="J54" i="13"/>
  <c r="J91" i="13"/>
  <c r="J81" i="13"/>
  <c r="J58" i="13"/>
  <c r="J60" i="13"/>
  <c r="J56" i="13"/>
  <c r="J71" i="13"/>
  <c r="J100" i="13"/>
  <c r="J69" i="13"/>
  <c r="J70" i="13"/>
  <c r="J99" i="13"/>
  <c r="J67" i="13"/>
  <c r="J98" i="13"/>
  <c r="J53" i="13"/>
  <c r="J93" i="13"/>
  <c r="J57" i="13"/>
  <c r="J78" i="13"/>
  <c r="J73" i="13"/>
  <c r="J86" i="13"/>
  <c r="J80" i="13"/>
  <c r="J68" i="13"/>
  <c r="J84" i="13"/>
  <c r="J82" i="13"/>
  <c r="J90" i="13"/>
  <c r="J77" i="13"/>
  <c r="J66" i="13"/>
  <c r="J49" i="13"/>
  <c r="J50" i="13"/>
  <c r="J63" i="13"/>
  <c r="J48" i="13"/>
  <c r="J95" i="13"/>
  <c r="J94" i="13"/>
  <c r="J87" i="13"/>
  <c r="J47" i="13"/>
  <c r="J96" i="13"/>
  <c r="J83" i="13"/>
  <c r="J75" i="13"/>
  <c r="J52" i="13"/>
  <c r="J55" i="13"/>
  <c r="J92" i="13"/>
  <c r="J74" i="13"/>
  <c r="J76" i="13"/>
  <c r="J61" i="13"/>
  <c r="J46" i="13"/>
  <c r="J65" i="13"/>
  <c r="J88" i="13"/>
  <c r="J97" i="13"/>
  <c r="J51" i="13"/>
  <c r="J85" i="13"/>
  <c r="J89" i="13"/>
  <c r="J64" i="13"/>
  <c r="J62" i="13"/>
  <c r="J72" i="13"/>
  <c r="J59" i="13"/>
  <c r="H101" i="2"/>
  <c r="H95" i="2"/>
  <c r="H92" i="2"/>
  <c r="H97" i="2"/>
  <c r="H88" i="2"/>
  <c r="H91" i="2"/>
  <c r="H87" i="2"/>
  <c r="H98" i="2"/>
  <c r="H89" i="2"/>
  <c r="H99" i="2"/>
  <c r="H90" i="2"/>
  <c r="H100" i="2"/>
  <c r="H86" i="2"/>
  <c r="H93" i="2"/>
  <c r="D163" i="14" s="1"/>
  <c r="H83" i="2"/>
  <c r="H94" i="2"/>
  <c r="H85" i="2"/>
  <c r="H84" i="2"/>
  <c r="H96" i="2"/>
  <c r="H82" i="2"/>
  <c r="D28" i="2"/>
  <c r="K35" i="1"/>
  <c r="K33" i="1"/>
  <c r="Z81" i="14" l="1"/>
  <c r="Z89" i="14"/>
  <c r="Z82" i="14"/>
  <c r="Z90" i="14"/>
  <c r="Z87" i="14"/>
  <c r="Z83" i="14"/>
  <c r="Z96" i="14"/>
  <c r="Z93" i="14"/>
  <c r="Z97" i="14"/>
  <c r="Z95" i="14"/>
  <c r="I105" i="16"/>
  <c r="Z86" i="14"/>
  <c r="G99" i="14"/>
  <c r="Z85" i="14"/>
  <c r="Z99" i="14"/>
  <c r="Z100" i="14"/>
  <c r="Z88" i="14"/>
  <c r="G76" i="14"/>
  <c r="Z94" i="14"/>
  <c r="D174" i="14"/>
  <c r="Z101" i="14"/>
  <c r="L31" i="14"/>
  <c r="L32" i="14"/>
  <c r="D168" i="14"/>
  <c r="I104" i="2"/>
  <c r="J104" i="2" s="1"/>
  <c r="E174" i="14" s="1"/>
  <c r="I102" i="2"/>
  <c r="G98" i="14"/>
  <c r="D171" i="14"/>
  <c r="D164" i="14"/>
  <c r="D172" i="14"/>
  <c r="I101" i="2"/>
  <c r="G57" i="14"/>
  <c r="G63" i="14"/>
  <c r="G72" i="14"/>
  <c r="G53" i="14"/>
  <c r="G89" i="14"/>
  <c r="D162" i="14"/>
  <c r="D173" i="14"/>
  <c r="G100" i="14"/>
  <c r="G86" i="14"/>
  <c r="D159" i="14"/>
  <c r="G56" i="14"/>
  <c r="G50" i="14"/>
  <c r="D155" i="14"/>
  <c r="G82" i="14"/>
  <c r="G59" i="14"/>
  <c r="G48" i="14"/>
  <c r="G101" i="14"/>
  <c r="H101" i="14" s="1"/>
  <c r="D165" i="14"/>
  <c r="G92" i="14"/>
  <c r="G70" i="14"/>
  <c r="G44" i="14"/>
  <c r="G83" i="14"/>
  <c r="D156" i="14"/>
  <c r="D160" i="14"/>
  <c r="G87" i="14"/>
  <c r="G77" i="14"/>
  <c r="G64" i="14"/>
  <c r="G78" i="14"/>
  <c r="D167" i="14"/>
  <c r="G94" i="14"/>
  <c r="G65" i="14"/>
  <c r="G95" i="14"/>
  <c r="G52" i="14"/>
  <c r="G67" i="14"/>
  <c r="G60" i="14"/>
  <c r="G85" i="14"/>
  <c r="D158" i="14"/>
  <c r="G93" i="14"/>
  <c r="D166" i="14"/>
  <c r="D154" i="14"/>
  <c r="G81" i="14"/>
  <c r="D157" i="14"/>
  <c r="G84" i="14"/>
  <c r="G66" i="14"/>
  <c r="D153" i="14"/>
  <c r="G80" i="14"/>
  <c r="G90" i="14"/>
  <c r="G58" i="14"/>
  <c r="G49" i="14"/>
  <c r="G73" i="14"/>
  <c r="G51" i="14"/>
  <c r="G61" i="14"/>
  <c r="G55" i="14"/>
  <c r="G54" i="14"/>
  <c r="G68" i="14"/>
  <c r="D170" i="14"/>
  <c r="G97" i="14"/>
  <c r="D152" i="14"/>
  <c r="G79" i="14"/>
  <c r="G74" i="14"/>
  <c r="G62" i="14"/>
  <c r="G69" i="14"/>
  <c r="G46" i="14"/>
  <c r="G88" i="14"/>
  <c r="D161" i="14"/>
  <c r="G71" i="14"/>
  <c r="G47" i="14"/>
  <c r="G96" i="14"/>
  <c r="D169" i="14"/>
  <c r="G75" i="14"/>
  <c r="G45" i="14"/>
  <c r="I87" i="2"/>
  <c r="I99" i="2"/>
  <c r="I91" i="2"/>
  <c r="I86" i="2"/>
  <c r="I88" i="2"/>
  <c r="I96" i="2"/>
  <c r="I98" i="2"/>
  <c r="I89" i="2"/>
  <c r="I90" i="2"/>
  <c r="I100" i="2"/>
  <c r="I97" i="2"/>
  <c r="I84" i="2"/>
  <c r="I83" i="2"/>
  <c r="I85" i="2"/>
  <c r="I95" i="2"/>
  <c r="I93" i="2"/>
  <c r="I92" i="2"/>
  <c r="I94" i="2"/>
  <c r="I65" i="11"/>
  <c r="J65" i="11"/>
  <c r="K65" i="11"/>
  <c r="L65" i="11"/>
  <c r="M65" i="11"/>
  <c r="N65" i="11"/>
  <c r="O65" i="11"/>
  <c r="P65" i="11"/>
  <c r="D65" i="11"/>
  <c r="E65" i="11"/>
  <c r="F65" i="11"/>
  <c r="G65" i="11"/>
  <c r="G69" i="9"/>
  <c r="F45" i="11"/>
  <c r="O54" i="10"/>
  <c r="J42" i="10"/>
  <c r="Q35" i="9"/>
  <c r="Q31" i="9"/>
  <c r="D55" i="10"/>
  <c r="F55" i="10"/>
  <c r="E55" i="10"/>
  <c r="F29" i="10"/>
  <c r="G29" i="10"/>
  <c r="H29" i="10"/>
  <c r="I29" i="10"/>
  <c r="J29" i="10"/>
  <c r="K29" i="10"/>
  <c r="L29" i="10"/>
  <c r="M29" i="10"/>
  <c r="N29" i="10"/>
  <c r="O29" i="10"/>
  <c r="P29" i="10"/>
  <c r="E29" i="10"/>
  <c r="Q28" i="10"/>
  <c r="E39" i="9"/>
  <c r="F39" i="9"/>
  <c r="G39" i="9"/>
  <c r="H39" i="9"/>
  <c r="I39" i="9"/>
  <c r="J39" i="9"/>
  <c r="K39" i="9"/>
  <c r="K65" i="9" s="1"/>
  <c r="L39" i="9"/>
  <c r="L65" i="9" s="1"/>
  <c r="M39" i="9"/>
  <c r="N39" i="9"/>
  <c r="O39" i="9"/>
  <c r="P39" i="9"/>
  <c r="D38" i="7"/>
  <c r="D37" i="7"/>
  <c r="D36" i="7"/>
  <c r="D35" i="7"/>
  <c r="D34" i="7"/>
  <c r="D33" i="7"/>
  <c r="D30" i="7"/>
  <c r="D29" i="7"/>
  <c r="H100" i="14" l="1"/>
  <c r="J101" i="2"/>
  <c r="J102" i="2"/>
  <c r="E172" i="14" s="1"/>
  <c r="J103" i="2"/>
  <c r="E173" i="14" s="1"/>
  <c r="H99" i="14"/>
  <c r="E171" i="14" s="1"/>
  <c r="H98" i="14"/>
  <c r="H93" i="14"/>
  <c r="H95" i="14"/>
  <c r="H82" i="14"/>
  <c r="H50" i="14"/>
  <c r="H77" i="14"/>
  <c r="H76" i="14"/>
  <c r="H58" i="14"/>
  <c r="H52" i="14"/>
  <c r="H69" i="14"/>
  <c r="H64" i="14"/>
  <c r="H51" i="14"/>
  <c r="H46" i="14"/>
  <c r="H56" i="14"/>
  <c r="H73" i="14"/>
  <c r="H83" i="14"/>
  <c r="H49" i="14"/>
  <c r="H45" i="14"/>
  <c r="H65" i="14"/>
  <c r="H53" i="14"/>
  <c r="H66" i="14"/>
  <c r="H96" i="14"/>
  <c r="H47" i="14"/>
  <c r="H63" i="14"/>
  <c r="H91" i="14"/>
  <c r="H88" i="14"/>
  <c r="H85" i="14"/>
  <c r="H87" i="14"/>
  <c r="H86" i="14"/>
  <c r="H74" i="14"/>
  <c r="H70" i="14"/>
  <c r="H80" i="14"/>
  <c r="H97" i="14"/>
  <c r="H72" i="14"/>
  <c r="H84" i="14"/>
  <c r="H48" i="14"/>
  <c r="H54" i="14"/>
  <c r="H81" i="14"/>
  <c r="H78" i="14"/>
  <c r="H59" i="14"/>
  <c r="H61" i="14"/>
  <c r="H60" i="14"/>
  <c r="H67" i="14"/>
  <c r="H62" i="14"/>
  <c r="H44" i="14"/>
  <c r="H90" i="14"/>
  <c r="H89" i="14"/>
  <c r="H79" i="14"/>
  <c r="H92" i="14"/>
  <c r="H75" i="14"/>
  <c r="H68" i="14"/>
  <c r="H94" i="14"/>
  <c r="H71" i="14"/>
  <c r="H55" i="14"/>
  <c r="H57" i="14"/>
  <c r="J98" i="2"/>
  <c r="J95" i="2"/>
  <c r="J86" i="2"/>
  <c r="J96" i="2"/>
  <c r="J93" i="2"/>
  <c r="J97" i="2"/>
  <c r="J94" i="2"/>
  <c r="J99" i="2"/>
  <c r="J100" i="2"/>
  <c r="J88" i="2"/>
  <c r="J92" i="2"/>
  <c r="J83" i="2"/>
  <c r="J91" i="2"/>
  <c r="J84" i="2"/>
  <c r="J90" i="2"/>
  <c r="J85" i="2"/>
  <c r="J87" i="2"/>
  <c r="J89" i="2"/>
  <c r="H40" i="9"/>
  <c r="H65" i="9"/>
  <c r="J40" i="9"/>
  <c r="J65" i="9"/>
  <c r="M40" i="9"/>
  <c r="M65" i="9"/>
  <c r="M67" i="9" s="1"/>
  <c r="E40" i="9"/>
  <c r="E65" i="9"/>
  <c r="F40" i="9"/>
  <c r="F65" i="9"/>
  <c r="G40" i="9"/>
  <c r="G65" i="9"/>
  <c r="L40" i="9"/>
  <c r="P40" i="9"/>
  <c r="P65" i="9"/>
  <c r="I40" i="9"/>
  <c r="I65" i="9"/>
  <c r="O40" i="9"/>
  <c r="O65" i="9"/>
  <c r="K40" i="9"/>
  <c r="N40" i="9"/>
  <c r="N65" i="9"/>
  <c r="J28" i="1"/>
  <c r="J27" i="1"/>
  <c r="J22" i="1"/>
  <c r="E18" i="1"/>
  <c r="J43" i="1"/>
  <c r="K28" i="1"/>
  <c r="K27" i="1"/>
  <c r="K22" i="1"/>
  <c r="K21" i="1"/>
  <c r="K16" i="1"/>
  <c r="K15" i="1"/>
  <c r="D73" i="11"/>
  <c r="E73" i="11"/>
  <c r="F73" i="11"/>
  <c r="G73" i="11"/>
  <c r="H73" i="11"/>
  <c r="I73" i="11"/>
  <c r="J73" i="11"/>
  <c r="K73" i="11"/>
  <c r="L73" i="11"/>
  <c r="M73" i="11"/>
  <c r="N73" i="11"/>
  <c r="D69" i="11"/>
  <c r="O73" i="11"/>
  <c r="D67" i="11"/>
  <c r="P40" i="11"/>
  <c r="O40" i="11"/>
  <c r="O41" i="11" s="1"/>
  <c r="N40" i="11"/>
  <c r="M40" i="11"/>
  <c r="L40" i="11"/>
  <c r="K40" i="11"/>
  <c r="J40" i="11"/>
  <c r="J64" i="11" s="1"/>
  <c r="I40" i="11"/>
  <c r="H40" i="11"/>
  <c r="G40" i="11"/>
  <c r="F40" i="11"/>
  <c r="E40" i="11"/>
  <c r="E55" i="11" s="1"/>
  <c r="Q38" i="11"/>
  <c r="Q37" i="11"/>
  <c r="Q36" i="11"/>
  <c r="Q35" i="11"/>
  <c r="Q34" i="11"/>
  <c r="Q33" i="11"/>
  <c r="Q32" i="11"/>
  <c r="Q31" i="11"/>
  <c r="Q30" i="11"/>
  <c r="Q29" i="11"/>
  <c r="D57" i="10"/>
  <c r="D70" i="9"/>
  <c r="D68" i="9"/>
  <c r="N67" i="9"/>
  <c r="L67" i="9"/>
  <c r="H67" i="9"/>
  <c r="Q37" i="9"/>
  <c r="Q36" i="9"/>
  <c r="Q34" i="9"/>
  <c r="Q33" i="9"/>
  <c r="Q32" i="9"/>
  <c r="Q30" i="9"/>
  <c r="Q29" i="9"/>
  <c r="Q28" i="9"/>
  <c r="E167" i="14" l="1"/>
  <c r="E170" i="14"/>
  <c r="E154" i="14"/>
  <c r="E153" i="14"/>
  <c r="E155" i="14"/>
  <c r="E165" i="14"/>
  <c r="E169" i="14"/>
  <c r="E158" i="14"/>
  <c r="E164" i="14"/>
  <c r="E162" i="14"/>
  <c r="E156" i="14"/>
  <c r="E159" i="14"/>
  <c r="E163" i="14"/>
  <c r="E157" i="14"/>
  <c r="E160" i="14"/>
  <c r="E168" i="14"/>
  <c r="E166" i="14"/>
  <c r="E161" i="14"/>
  <c r="G64" i="11"/>
  <c r="G66" i="11" s="1"/>
  <c r="F74" i="11" s="1"/>
  <c r="G55" i="11"/>
  <c r="G56" i="11" s="1"/>
  <c r="F55" i="11"/>
  <c r="F56" i="11" s="1"/>
  <c r="H64" i="11"/>
  <c r="I64" i="11"/>
  <c r="I66" i="11" s="1"/>
  <c r="H74" i="11" s="1"/>
  <c r="I55" i="11"/>
  <c r="I56" i="11" s="1"/>
  <c r="K64" i="11"/>
  <c r="K66" i="11" s="1"/>
  <c r="J74" i="11" s="1"/>
  <c r="K55" i="11"/>
  <c r="K56" i="11" s="1"/>
  <c r="M55" i="11"/>
  <c r="M56" i="11" s="1"/>
  <c r="L64" i="11"/>
  <c r="L66" i="11" s="1"/>
  <c r="K74" i="11" s="1"/>
  <c r="L55" i="11"/>
  <c r="L56" i="11" s="1"/>
  <c r="N55" i="11"/>
  <c r="N56" i="11" s="1"/>
  <c r="P55" i="11"/>
  <c r="P56" i="11" s="1"/>
  <c r="O53" i="11"/>
  <c r="E64" i="11"/>
  <c r="E66" i="11" s="1"/>
  <c r="D74" i="11" s="1"/>
  <c r="Q40" i="11"/>
  <c r="E49" i="11" s="1"/>
  <c r="J58" i="11" s="1"/>
  <c r="F41" i="11"/>
  <c r="E41" i="11"/>
  <c r="E56" i="11"/>
  <c r="M64" i="11"/>
  <c r="M66" i="11" s="1"/>
  <c r="L74" i="11" s="1"/>
  <c r="N64" i="11"/>
  <c r="N66" i="11" s="1"/>
  <c r="M74" i="11" s="1"/>
  <c r="O64" i="11"/>
  <c r="Q40" i="9"/>
  <c r="J52" i="9" s="1"/>
  <c r="Q39" i="9"/>
  <c r="J53" i="9" s="1"/>
  <c r="Q42" i="9"/>
  <c r="E67" i="9"/>
  <c r="E68" i="9" s="1"/>
  <c r="E69" i="9" s="1"/>
  <c r="F67" i="9"/>
  <c r="P67" i="9"/>
  <c r="O67" i="9"/>
  <c r="G41" i="11"/>
  <c r="H41" i="11"/>
  <c r="I41" i="11"/>
  <c r="P64" i="11"/>
  <c r="P66" i="11" s="1"/>
  <c r="O74" i="11" s="1"/>
  <c r="J41" i="11"/>
  <c r="K41" i="11"/>
  <c r="F64" i="11"/>
  <c r="F66" i="11" s="1"/>
  <c r="E74" i="11" s="1"/>
  <c r="L41" i="11"/>
  <c r="M41" i="11"/>
  <c r="N41" i="11"/>
  <c r="P41" i="11"/>
  <c r="J67" i="9"/>
  <c r="K67" i="9"/>
  <c r="E107" i="8"/>
  <c r="J46" i="1"/>
  <c r="J47" i="1" s="1"/>
  <c r="J45" i="1" s="1"/>
  <c r="D50" i="1"/>
  <c r="E50" i="1" s="1"/>
  <c r="D49" i="1"/>
  <c r="F49" i="1" s="1"/>
  <c r="D48" i="1"/>
  <c r="F48" i="1" s="1"/>
  <c r="D43" i="1"/>
  <c r="F43" i="1" s="1"/>
  <c r="D44" i="1"/>
  <c r="F44" i="1" s="1"/>
  <c r="D45" i="1"/>
  <c r="F45" i="1" s="1"/>
  <c r="D46" i="1"/>
  <c r="F46" i="1" s="1"/>
  <c r="D47" i="1"/>
  <c r="F47" i="1" s="1"/>
  <c r="D42" i="1"/>
  <c r="F42" i="1" s="1"/>
  <c r="E28" i="16" l="1"/>
  <c r="E28" i="17"/>
  <c r="E28" i="8"/>
  <c r="E29" i="8" s="1"/>
  <c r="O55" i="11"/>
  <c r="O56" i="11" s="1"/>
  <c r="Q53" i="11"/>
  <c r="F49" i="11"/>
  <c r="Q41" i="11"/>
  <c r="O66" i="11"/>
  <c r="N74" i="11" s="1"/>
  <c r="Q29" i="10"/>
  <c r="J41" i="10" s="1"/>
  <c r="F68" i="9"/>
  <c r="F69" i="9" s="1"/>
  <c r="F70" i="9" s="1"/>
  <c r="Q65" i="9"/>
  <c r="F44" i="10" a="1"/>
  <c r="Q64" i="11"/>
  <c r="F67" i="11"/>
  <c r="E67" i="11"/>
  <c r="E68" i="11" s="1"/>
  <c r="G67" i="11"/>
  <c r="E70" i="9"/>
  <c r="E42" i="1"/>
  <c r="F50" i="1"/>
  <c r="E48" i="1"/>
  <c r="E43" i="1"/>
  <c r="E47" i="1"/>
  <c r="E46" i="1"/>
  <c r="E45" i="1"/>
  <c r="E44" i="1"/>
  <c r="E49" i="1"/>
  <c r="E42" i="8" l="1"/>
  <c r="E43" i="8"/>
  <c r="E51" i="8"/>
  <c r="E79" i="8"/>
  <c r="E54" i="8"/>
  <c r="E40" i="8"/>
  <c r="E70" i="8"/>
  <c r="E53" i="8"/>
  <c r="E94" i="8"/>
  <c r="E83" i="8"/>
  <c r="E93" i="8"/>
  <c r="E68" i="8"/>
  <c r="E37" i="8"/>
  <c r="E73" i="8"/>
  <c r="E66" i="8"/>
  <c r="E96" i="8"/>
  <c r="E91" i="8"/>
  <c r="E90" i="8"/>
  <c r="E72" i="8"/>
  <c r="E49" i="8"/>
  <c r="E78" i="8"/>
  <c r="E45" i="8"/>
  <c r="E69" i="8"/>
  <c r="E48" i="8"/>
  <c r="E71" i="8"/>
  <c r="E50" i="8"/>
  <c r="E80" i="8"/>
  <c r="E85" i="8"/>
  <c r="E82" i="8"/>
  <c r="E62" i="8"/>
  <c r="E89" i="8"/>
  <c r="E75" i="8"/>
  <c r="E57" i="8"/>
  <c r="E41" i="8"/>
  <c r="E81" i="8"/>
  <c r="E92" i="8"/>
  <c r="E46" i="8"/>
  <c r="E76" i="8"/>
  <c r="E88" i="8"/>
  <c r="E87" i="8"/>
  <c r="E52" i="8"/>
  <c r="E63" i="8"/>
  <c r="E39" i="8"/>
  <c r="E65" i="8"/>
  <c r="E95" i="8"/>
  <c r="E59" i="8"/>
  <c r="E61" i="8"/>
  <c r="E47" i="8"/>
  <c r="E58" i="8"/>
  <c r="E44" i="8"/>
  <c r="E77" i="8"/>
  <c r="E74" i="8"/>
  <c r="E60" i="8"/>
  <c r="E55" i="8"/>
  <c r="E64" i="8"/>
  <c r="E56" i="8"/>
  <c r="E84" i="8"/>
  <c r="E86" i="8"/>
  <c r="E38" i="8"/>
  <c r="J37" i="8" s="1"/>
  <c r="M37" i="8" s="1"/>
  <c r="E67" i="8"/>
  <c r="E106" i="17"/>
  <c r="E29" i="17"/>
  <c r="P30" i="17" s="1"/>
  <c r="P29" i="17" s="1"/>
  <c r="E29" i="16"/>
  <c r="P30" i="16" s="1"/>
  <c r="P29" i="16" s="1"/>
  <c r="E106" i="16"/>
  <c r="E72" i="16"/>
  <c r="E87" i="16"/>
  <c r="J86" i="16" s="1"/>
  <c r="N86" i="16" s="1"/>
  <c r="E49" i="16"/>
  <c r="E71" i="16"/>
  <c r="E94" i="16"/>
  <c r="J93" i="16" s="1"/>
  <c r="N93" i="16" s="1"/>
  <c r="E96" i="16"/>
  <c r="E79" i="16"/>
  <c r="E41" i="16"/>
  <c r="J40" i="16" s="1"/>
  <c r="N40" i="16" s="1"/>
  <c r="E63" i="16"/>
  <c r="J62" i="16" s="1"/>
  <c r="N62" i="16" s="1"/>
  <c r="E53" i="16"/>
  <c r="E66" i="16"/>
  <c r="J65" i="16" s="1"/>
  <c r="N65" i="16" s="1"/>
  <c r="E48" i="16"/>
  <c r="J47" i="16" s="1"/>
  <c r="N47" i="16" s="1"/>
  <c r="E64" i="16"/>
  <c r="J63" i="16" s="1"/>
  <c r="N63" i="16" s="1"/>
  <c r="E78" i="16"/>
  <c r="J77" i="16" s="1"/>
  <c r="N77" i="16" s="1"/>
  <c r="E95" i="16"/>
  <c r="J94" i="16" s="1"/>
  <c r="N94" i="16" s="1"/>
  <c r="E83" i="16"/>
  <c r="J82" i="16" s="1"/>
  <c r="N82" i="16" s="1"/>
  <c r="E51" i="16"/>
  <c r="E92" i="16"/>
  <c r="E40" i="16"/>
  <c r="E90" i="16"/>
  <c r="E68" i="16"/>
  <c r="J67" i="16" s="1"/>
  <c r="N67" i="16" s="1"/>
  <c r="E46" i="16"/>
  <c r="J45" i="16" s="1"/>
  <c r="N45" i="16" s="1"/>
  <c r="E65" i="16"/>
  <c r="E77" i="16"/>
  <c r="J76" i="16" s="1"/>
  <c r="N76" i="16" s="1"/>
  <c r="E55" i="16"/>
  <c r="E81" i="16"/>
  <c r="E62" i="16"/>
  <c r="E61" i="16"/>
  <c r="J60" i="16" s="1"/>
  <c r="N60" i="16" s="1"/>
  <c r="E38" i="16"/>
  <c r="E42" i="16"/>
  <c r="J41" i="16" s="1"/>
  <c r="N41" i="16" s="1"/>
  <c r="E39" i="16"/>
  <c r="J38" i="16" s="1"/>
  <c r="N38" i="16" s="1"/>
  <c r="E75" i="16"/>
  <c r="J74" i="16" s="1"/>
  <c r="N74" i="16" s="1"/>
  <c r="E37" i="16"/>
  <c r="E73" i="16"/>
  <c r="J72" i="16" s="1"/>
  <c r="N72" i="16" s="1"/>
  <c r="E89" i="16"/>
  <c r="J88" i="16" s="1"/>
  <c r="N88" i="16" s="1"/>
  <c r="E58" i="16"/>
  <c r="E88" i="16"/>
  <c r="E74" i="16"/>
  <c r="E85" i="16"/>
  <c r="E60" i="16"/>
  <c r="E93" i="16"/>
  <c r="J92" i="16" s="1"/>
  <c r="N92" i="16" s="1"/>
  <c r="E69" i="16"/>
  <c r="J68" i="16" s="1"/>
  <c r="N68" i="16" s="1"/>
  <c r="E47" i="16"/>
  <c r="E45" i="16"/>
  <c r="J44" i="16" s="1"/>
  <c r="N44" i="16" s="1"/>
  <c r="E84" i="16"/>
  <c r="E82" i="16"/>
  <c r="E70" i="16"/>
  <c r="J69" i="16" s="1"/>
  <c r="N69" i="16" s="1"/>
  <c r="E50" i="16"/>
  <c r="J49" i="16" s="1"/>
  <c r="N49" i="16" s="1"/>
  <c r="E80" i="16"/>
  <c r="J79" i="16" s="1"/>
  <c r="N79" i="16" s="1"/>
  <c r="E43" i="16"/>
  <c r="J42" i="16" s="1"/>
  <c r="N42" i="16" s="1"/>
  <c r="E52" i="16"/>
  <c r="J51" i="16" s="1"/>
  <c r="N51" i="16" s="1"/>
  <c r="E91" i="16"/>
  <c r="J90" i="16" s="1"/>
  <c r="N90" i="16" s="1"/>
  <c r="E59" i="16"/>
  <c r="E57" i="16"/>
  <c r="J56" i="16" s="1"/>
  <c r="N56" i="16" s="1"/>
  <c r="E54" i="16"/>
  <c r="J53" i="16" s="1"/>
  <c r="N53" i="16" s="1"/>
  <c r="E56" i="16"/>
  <c r="J55" i="16" s="1"/>
  <c r="N55" i="16" s="1"/>
  <c r="E67" i="16"/>
  <c r="E76" i="16"/>
  <c r="E86" i="16"/>
  <c r="J85" i="16" s="1"/>
  <c r="N85" i="16" s="1"/>
  <c r="E44" i="16"/>
  <c r="J55" i="11"/>
  <c r="H54" i="11"/>
  <c r="Q54" i="11"/>
  <c r="J56" i="11"/>
  <c r="G68" i="11"/>
  <c r="F55" i="9" a="1"/>
  <c r="F56" i="9" s="1"/>
  <c r="F68" i="11"/>
  <c r="F45" i="10"/>
  <c r="F44" i="10"/>
  <c r="D39" i="2"/>
  <c r="K24" i="8"/>
  <c r="E108" i="8" s="1"/>
  <c r="D31" i="7"/>
  <c r="J78" i="16" l="1"/>
  <c r="N78" i="16" s="1"/>
  <c r="J54" i="16"/>
  <c r="N54" i="16" s="1"/>
  <c r="J70" i="16"/>
  <c r="N70" i="16" s="1"/>
  <c r="J57" i="16"/>
  <c r="N57" i="16" s="1"/>
  <c r="J61" i="16"/>
  <c r="N61" i="16" s="1"/>
  <c r="J48" i="16"/>
  <c r="N48" i="16" s="1"/>
  <c r="J58" i="16"/>
  <c r="N58" i="16" s="1"/>
  <c r="J37" i="16"/>
  <c r="J64" i="16"/>
  <c r="N64" i="16" s="1"/>
  <c r="J80" i="16"/>
  <c r="N80" i="16" s="1"/>
  <c r="J43" i="16"/>
  <c r="N43" i="16" s="1"/>
  <c r="J84" i="16"/>
  <c r="N84" i="16" s="1"/>
  <c r="J39" i="16"/>
  <c r="N39" i="16" s="1"/>
  <c r="J52" i="16"/>
  <c r="N52" i="16" s="1"/>
  <c r="J95" i="16"/>
  <c r="N95" i="16" s="1"/>
  <c r="O92" i="16" s="1"/>
  <c r="Y92" i="16" s="1"/>
  <c r="J96" i="16"/>
  <c r="N96" i="16" s="1"/>
  <c r="O96" i="16" s="1"/>
  <c r="Y96" i="16" s="1"/>
  <c r="J83" i="16"/>
  <c r="N83" i="16" s="1"/>
  <c r="J71" i="16"/>
  <c r="N71" i="16" s="1"/>
  <c r="J89" i="16"/>
  <c r="N89" i="16" s="1"/>
  <c r="J75" i="16"/>
  <c r="N75" i="16" s="1"/>
  <c r="J73" i="16"/>
  <c r="N73" i="16" s="1"/>
  <c r="J91" i="16"/>
  <c r="N91" i="16" s="1"/>
  <c r="J81" i="16"/>
  <c r="N81" i="16" s="1"/>
  <c r="J46" i="16"/>
  <c r="N46" i="16" s="1"/>
  <c r="J59" i="16"/>
  <c r="N59" i="16" s="1"/>
  <c r="J66" i="16"/>
  <c r="N66" i="16" s="1"/>
  <c r="J87" i="16"/>
  <c r="N87" i="16" s="1"/>
  <c r="J50" i="16"/>
  <c r="N50" i="16" s="1"/>
  <c r="H65" i="11"/>
  <c r="H55" i="11"/>
  <c r="J66" i="11"/>
  <c r="I74" i="11" s="1"/>
  <c r="F55" i="9"/>
  <c r="G66" i="9" s="1"/>
  <c r="F56" i="10"/>
  <c r="E56" i="10"/>
  <c r="F48" i="10"/>
  <c r="I54" i="10"/>
  <c r="E69" i="11"/>
  <c r="G69" i="11"/>
  <c r="F69" i="11"/>
  <c r="F47" i="10"/>
  <c r="G54" i="10"/>
  <c r="F59" i="9"/>
  <c r="I66" i="9"/>
  <c r="I67" i="9" s="1"/>
  <c r="K25" i="8"/>
  <c r="I33" i="7"/>
  <c r="I29" i="7"/>
  <c r="I31" i="7" s="1"/>
  <c r="D30" i="2"/>
  <c r="D32" i="1"/>
  <c r="E32" i="1"/>
  <c r="F32" i="1" s="1"/>
  <c r="D33" i="1"/>
  <c r="E33" i="1"/>
  <c r="F33" i="1" s="1"/>
  <c r="D34" i="1"/>
  <c r="E34" i="1"/>
  <c r="F34" i="1" s="1"/>
  <c r="D36" i="1"/>
  <c r="E36" i="1"/>
  <c r="D37" i="1"/>
  <c r="E37" i="1"/>
  <c r="G9" i="1"/>
  <c r="J21" i="1" s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15" i="1"/>
  <c r="E31" i="1"/>
  <c r="F31" i="1" s="1"/>
  <c r="E16" i="1"/>
  <c r="G16" i="1" s="1"/>
  <c r="E17" i="1"/>
  <c r="F17" i="1" s="1"/>
  <c r="F18" i="1"/>
  <c r="E19" i="1"/>
  <c r="F19" i="1" s="1"/>
  <c r="E20" i="1"/>
  <c r="F20" i="1" s="1"/>
  <c r="E21" i="1"/>
  <c r="G21" i="1" s="1"/>
  <c r="E22" i="1"/>
  <c r="G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G29" i="1" s="1"/>
  <c r="E15" i="1"/>
  <c r="F15" i="1" s="1"/>
  <c r="G7" i="1"/>
  <c r="O55" i="16" l="1"/>
  <c r="Y55" i="16" s="1"/>
  <c r="O93" i="16"/>
  <c r="Y93" i="16" s="1"/>
  <c r="O88" i="16"/>
  <c r="Y88" i="16" s="1"/>
  <c r="O47" i="16"/>
  <c r="Y47" i="16" s="1"/>
  <c r="O62" i="16"/>
  <c r="Y62" i="16" s="1"/>
  <c r="O91" i="16"/>
  <c r="Y91" i="16" s="1"/>
  <c r="O38" i="16"/>
  <c r="Y38" i="16" s="1"/>
  <c r="O87" i="16"/>
  <c r="Y87" i="16" s="1"/>
  <c r="O60" i="16"/>
  <c r="Y60" i="16" s="1"/>
  <c r="O46" i="16"/>
  <c r="Y46" i="16" s="1"/>
  <c r="O63" i="16"/>
  <c r="Y63" i="16" s="1"/>
  <c r="O50" i="16"/>
  <c r="Y50" i="16" s="1"/>
  <c r="O66" i="16"/>
  <c r="Y66" i="16" s="1"/>
  <c r="O45" i="16"/>
  <c r="Y45" i="16" s="1"/>
  <c r="O48" i="16"/>
  <c r="Y48" i="16" s="1"/>
  <c r="O44" i="16"/>
  <c r="Y44" i="16" s="1"/>
  <c r="O57" i="16"/>
  <c r="Y57" i="16" s="1"/>
  <c r="O54" i="16"/>
  <c r="Y54" i="16" s="1"/>
  <c r="O90" i="16"/>
  <c r="Y90" i="16" s="1"/>
  <c r="O42" i="16"/>
  <c r="Y42" i="16" s="1"/>
  <c r="O82" i="16"/>
  <c r="Y82" i="16" s="1"/>
  <c r="O84" i="16"/>
  <c r="Y84" i="16" s="1"/>
  <c r="O81" i="16"/>
  <c r="Y81" i="16" s="1"/>
  <c r="O67" i="16"/>
  <c r="Y67" i="16" s="1"/>
  <c r="O73" i="16"/>
  <c r="Y73" i="16" s="1"/>
  <c r="O80" i="16"/>
  <c r="Y80" i="16" s="1"/>
  <c r="O51" i="16"/>
  <c r="Y51" i="16" s="1"/>
  <c r="O71" i="16"/>
  <c r="Y71" i="16" s="1"/>
  <c r="O86" i="16"/>
  <c r="Y86" i="16" s="1"/>
  <c r="O83" i="16"/>
  <c r="Y83" i="16" s="1"/>
  <c r="N37" i="16"/>
  <c r="O37" i="16" s="1"/>
  <c r="Y37" i="16" s="1"/>
  <c r="I106" i="16"/>
  <c r="O95" i="16"/>
  <c r="Y95" i="16" s="1"/>
  <c r="O72" i="16"/>
  <c r="Y72" i="16" s="1"/>
  <c r="O94" i="16"/>
  <c r="Y94" i="16" s="1"/>
  <c r="O59" i="16"/>
  <c r="Y59" i="16" s="1"/>
  <c r="O43" i="16"/>
  <c r="Y43" i="16" s="1"/>
  <c r="O68" i="16"/>
  <c r="Y68" i="16" s="1"/>
  <c r="O40" i="16"/>
  <c r="Y40" i="16" s="1"/>
  <c r="O77" i="16"/>
  <c r="Y77" i="16" s="1"/>
  <c r="O70" i="16"/>
  <c r="Y70" i="16" s="1"/>
  <c r="O41" i="16"/>
  <c r="Y41" i="16" s="1"/>
  <c r="O52" i="16"/>
  <c r="Y52" i="16" s="1"/>
  <c r="O53" i="16"/>
  <c r="Y53" i="16" s="1"/>
  <c r="O58" i="16"/>
  <c r="Y58" i="16" s="1"/>
  <c r="O39" i="16"/>
  <c r="Y39" i="16" s="1"/>
  <c r="O49" i="16"/>
  <c r="Y49" i="16" s="1"/>
  <c r="O85" i="16"/>
  <c r="Y85" i="16" s="1"/>
  <c r="O65" i="16"/>
  <c r="Y65" i="16" s="1"/>
  <c r="O61" i="16"/>
  <c r="Y61" i="16" s="1"/>
  <c r="O75" i="16"/>
  <c r="Y75" i="16" s="1"/>
  <c r="O89" i="16"/>
  <c r="Y89" i="16" s="1"/>
  <c r="O64" i="16"/>
  <c r="Y64" i="16" s="1"/>
  <c r="O69" i="16"/>
  <c r="Y69" i="16" s="1"/>
  <c r="O78" i="16"/>
  <c r="Y78" i="16" s="1"/>
  <c r="O79" i="16"/>
  <c r="Y79" i="16" s="1"/>
  <c r="O74" i="16"/>
  <c r="Y74" i="16" s="1"/>
  <c r="O76" i="16"/>
  <c r="Y76" i="16" s="1"/>
  <c r="O56" i="16"/>
  <c r="Y56" i="16" s="1"/>
  <c r="I32" i="7"/>
  <c r="E106" i="8"/>
  <c r="H66" i="11"/>
  <c r="Q65" i="11"/>
  <c r="H56" i="11"/>
  <c r="Q56" i="11" s="1"/>
  <c r="Q55" i="11"/>
  <c r="L67" i="11"/>
  <c r="M67" i="11"/>
  <c r="J67" i="11"/>
  <c r="P67" i="11"/>
  <c r="Q66" i="11"/>
  <c r="K67" i="11"/>
  <c r="N67" i="11"/>
  <c r="O67" i="11"/>
  <c r="P55" i="10"/>
  <c r="O55" i="10"/>
  <c r="N55" i="10"/>
  <c r="M55" i="10"/>
  <c r="L55" i="10"/>
  <c r="K55" i="10"/>
  <c r="J55" i="10"/>
  <c r="I55" i="10"/>
  <c r="H55" i="10"/>
  <c r="G55" i="10"/>
  <c r="F58" i="9"/>
  <c r="C30" i="1"/>
  <c r="C35" i="1"/>
  <c r="F57" i="10"/>
  <c r="E57" i="10"/>
  <c r="Q54" i="10"/>
  <c r="Q66" i="9"/>
  <c r="G67" i="9"/>
  <c r="G17" i="1"/>
  <c r="G23" i="1"/>
  <c r="G27" i="1"/>
  <c r="G19" i="1"/>
  <c r="G15" i="1"/>
  <c r="G25" i="1"/>
  <c r="G24" i="1"/>
  <c r="G28" i="1"/>
  <c r="F22" i="1"/>
  <c r="G26" i="1"/>
  <c r="F21" i="1"/>
  <c r="F29" i="1"/>
  <c r="G20" i="1"/>
  <c r="G18" i="1"/>
  <c r="F16" i="1"/>
  <c r="E47" i="7" l="1"/>
  <c r="G74" i="11"/>
  <c r="P74" i="11" s="1"/>
  <c r="H67" i="11"/>
  <c r="I67" i="11"/>
  <c r="J68" i="11" s="1"/>
  <c r="K68" i="11"/>
  <c r="P68" i="11"/>
  <c r="M68" i="11"/>
  <c r="L68" i="11"/>
  <c r="N68" i="11"/>
  <c r="O68" i="11"/>
  <c r="G81" i="2"/>
  <c r="X80" i="14" s="1"/>
  <c r="G80" i="2"/>
  <c r="D32" i="7"/>
  <c r="I34" i="2"/>
  <c r="I35" i="2" s="1"/>
  <c r="G57" i="2"/>
  <c r="D35" i="1"/>
  <c r="E35" i="1"/>
  <c r="F35" i="1" s="1"/>
  <c r="J32" i="1" s="1"/>
  <c r="K32" i="1" s="1"/>
  <c r="E30" i="1"/>
  <c r="D30" i="1"/>
  <c r="G56" i="10"/>
  <c r="H68" i="9"/>
  <c r="P68" i="9"/>
  <c r="I68" i="9"/>
  <c r="O68" i="9"/>
  <c r="N68" i="9"/>
  <c r="Q67" i="9"/>
  <c r="M68" i="9"/>
  <c r="L68" i="9"/>
  <c r="G68" i="9"/>
  <c r="K68" i="9"/>
  <c r="J68" i="9"/>
  <c r="E76" i="7"/>
  <c r="AC56" i="2" l="1"/>
  <c r="X56" i="14"/>
  <c r="Z80" i="14"/>
  <c r="AC79" i="2"/>
  <c r="X79" i="14"/>
  <c r="H81" i="2"/>
  <c r="D151" i="14" s="1"/>
  <c r="AC80" i="2"/>
  <c r="E64" i="7"/>
  <c r="E65" i="7"/>
  <c r="E54" i="7"/>
  <c r="E46" i="7"/>
  <c r="E68" i="7"/>
  <c r="E48" i="7"/>
  <c r="E52" i="7"/>
  <c r="E53" i="7"/>
  <c r="E79" i="7"/>
  <c r="E100" i="7"/>
  <c r="E91" i="7"/>
  <c r="E95" i="7"/>
  <c r="E84" i="7"/>
  <c r="E96" i="7"/>
  <c r="E71" i="7"/>
  <c r="E87" i="7"/>
  <c r="E72" i="7"/>
  <c r="E92" i="7"/>
  <c r="E86" i="7"/>
  <c r="E81" i="7"/>
  <c r="E73" i="7"/>
  <c r="E94" i="7"/>
  <c r="E88" i="7"/>
  <c r="E82" i="7"/>
  <c r="E90" i="7"/>
  <c r="E85" i="7"/>
  <c r="E93" i="7"/>
  <c r="E99" i="7"/>
  <c r="E62" i="7"/>
  <c r="E97" i="7"/>
  <c r="E89" i="7"/>
  <c r="E83" i="7"/>
  <c r="E101" i="7"/>
  <c r="E102" i="7"/>
  <c r="E98" i="7"/>
  <c r="H80" i="2"/>
  <c r="D150" i="14" s="1"/>
  <c r="E67" i="7"/>
  <c r="E66" i="7"/>
  <c r="E74" i="7"/>
  <c r="E75" i="7"/>
  <c r="E56" i="7"/>
  <c r="E55" i="7"/>
  <c r="E49" i="7"/>
  <c r="E59" i="7"/>
  <c r="E63" i="7"/>
  <c r="E57" i="7"/>
  <c r="J33" i="1"/>
  <c r="E50" i="7"/>
  <c r="E51" i="7"/>
  <c r="E58" i="7"/>
  <c r="E45" i="7"/>
  <c r="G54" i="2"/>
  <c r="E77" i="7"/>
  <c r="G59" i="2"/>
  <c r="G64" i="2"/>
  <c r="G52" i="2"/>
  <c r="E78" i="7"/>
  <c r="I68" i="11"/>
  <c r="H68" i="11"/>
  <c r="P69" i="11" s="1"/>
  <c r="E61" i="7"/>
  <c r="G77" i="2"/>
  <c r="G58" i="2"/>
  <c r="G75" i="2"/>
  <c r="G50" i="2"/>
  <c r="G79" i="2"/>
  <c r="X78" i="14" s="1"/>
  <c r="E60" i="7"/>
  <c r="E69" i="7"/>
  <c r="E80" i="7"/>
  <c r="E70" i="7"/>
  <c r="G72" i="2"/>
  <c r="G68" i="2"/>
  <c r="G55" i="2"/>
  <c r="G65" i="2"/>
  <c r="G61" i="2"/>
  <c r="G71" i="2"/>
  <c r="G73" i="2"/>
  <c r="G48" i="2"/>
  <c r="G56" i="2"/>
  <c r="G76" i="2"/>
  <c r="G78" i="2"/>
  <c r="G69" i="2"/>
  <c r="G49" i="2"/>
  <c r="G62" i="2"/>
  <c r="G67" i="2"/>
  <c r="G70" i="2"/>
  <c r="G53" i="2"/>
  <c r="G51" i="2"/>
  <c r="G66" i="2"/>
  <c r="G74" i="2"/>
  <c r="G63" i="2"/>
  <c r="G60" i="2"/>
  <c r="G30" i="1"/>
  <c r="J34" i="1" s="1"/>
  <c r="K34" i="1" s="1"/>
  <c r="F30" i="1"/>
  <c r="M69" i="9"/>
  <c r="K69" i="9"/>
  <c r="N69" i="9"/>
  <c r="P69" i="9"/>
  <c r="I69" i="9"/>
  <c r="L69" i="9"/>
  <c r="N56" i="10"/>
  <c r="L56" i="10"/>
  <c r="O56" i="10"/>
  <c r="P56" i="10"/>
  <c r="J56" i="10"/>
  <c r="K56" i="10"/>
  <c r="H56" i="10"/>
  <c r="M56" i="10"/>
  <c r="I56" i="10"/>
  <c r="H69" i="9"/>
  <c r="O69" i="9"/>
  <c r="J69" i="9"/>
  <c r="P30" i="8"/>
  <c r="P29" i="8" s="1"/>
  <c r="Z78" i="14" l="1"/>
  <c r="AC53" i="2"/>
  <c r="X53" i="14"/>
  <c r="AC65" i="2"/>
  <c r="X65" i="14"/>
  <c r="Z64" i="14" s="1"/>
  <c r="AC76" i="2"/>
  <c r="X76" i="14"/>
  <c r="AC54" i="2"/>
  <c r="X54" i="14"/>
  <c r="AC67" i="2"/>
  <c r="X67" i="14"/>
  <c r="AC71" i="2"/>
  <c r="X71" i="14"/>
  <c r="AC50" i="2"/>
  <c r="X50" i="14"/>
  <c r="AC52" i="2"/>
  <c r="X52" i="14"/>
  <c r="AC69" i="2"/>
  <c r="X69" i="14"/>
  <c r="Z68" i="14" s="1"/>
  <c r="AC66" i="2"/>
  <c r="X66" i="14"/>
  <c r="AC61" i="2"/>
  <c r="X61" i="14"/>
  <c r="AC49" i="2"/>
  <c r="X49" i="14"/>
  <c r="AC48" i="2"/>
  <c r="X48" i="14"/>
  <c r="AC74" i="2"/>
  <c r="X74" i="14"/>
  <c r="AC68" i="2"/>
  <c r="X68" i="14"/>
  <c r="AC57" i="2"/>
  <c r="X57" i="14"/>
  <c r="Z56" i="14" s="1"/>
  <c r="AC77" i="2"/>
  <c r="X77" i="14"/>
  <c r="Z76" i="14" s="1"/>
  <c r="AC75" i="2"/>
  <c r="X75" i="14"/>
  <c r="Z74" i="14" s="1"/>
  <c r="AC70" i="2"/>
  <c r="X70" i="14"/>
  <c r="Z69" i="14" s="1"/>
  <c r="AC59" i="2"/>
  <c r="X59" i="14"/>
  <c r="AC62" i="2"/>
  <c r="X62" i="14"/>
  <c r="Z61" i="14" s="1"/>
  <c r="AC73" i="2"/>
  <c r="X73" i="14"/>
  <c r="AC55" i="2"/>
  <c r="X55" i="14"/>
  <c r="AC47" i="2"/>
  <c r="X47" i="14"/>
  <c r="AC72" i="2"/>
  <c r="X72" i="14"/>
  <c r="AC51" i="2"/>
  <c r="X51" i="14"/>
  <c r="AC63" i="2"/>
  <c r="X63" i="14"/>
  <c r="Z79" i="14"/>
  <c r="Z55" i="14"/>
  <c r="AC60" i="2"/>
  <c r="X60" i="14"/>
  <c r="Z59" i="14" s="1"/>
  <c r="AC64" i="2"/>
  <c r="X64" i="14"/>
  <c r="AC58" i="2"/>
  <c r="X58" i="14"/>
  <c r="AC46" i="2"/>
  <c r="X46" i="14"/>
  <c r="Z45" i="14" s="1"/>
  <c r="H79" i="2"/>
  <c r="D149" i="14" s="1"/>
  <c r="AC78" i="2"/>
  <c r="F47" i="7"/>
  <c r="D119" i="7" s="1"/>
  <c r="F54" i="7"/>
  <c r="D126" i="7" s="1"/>
  <c r="F86" i="7"/>
  <c r="D158" i="7" s="1"/>
  <c r="F96" i="7"/>
  <c r="D168" i="7" s="1"/>
  <c r="J88" i="8"/>
  <c r="F70" i="7"/>
  <c r="D142" i="7" s="1"/>
  <c r="F75" i="7"/>
  <c r="D147" i="7" s="1"/>
  <c r="F98" i="7"/>
  <c r="D170" i="7" s="1"/>
  <c r="F97" i="7"/>
  <c r="D169" i="7" s="1"/>
  <c r="F68" i="7"/>
  <c r="D140" i="7" s="1"/>
  <c r="F80" i="7"/>
  <c r="D152" i="7" s="1"/>
  <c r="F61" i="7"/>
  <c r="D133" i="7" s="1"/>
  <c r="F45" i="7"/>
  <c r="D117" i="7" s="1"/>
  <c r="F63" i="7"/>
  <c r="D135" i="7" s="1"/>
  <c r="F85" i="7"/>
  <c r="D157" i="7" s="1"/>
  <c r="F106" i="7"/>
  <c r="L31" i="7" s="1"/>
  <c r="F44" i="7"/>
  <c r="D116" i="7" s="1"/>
  <c r="F58" i="7"/>
  <c r="D130" i="7" s="1"/>
  <c r="F102" i="7"/>
  <c r="D174" i="7" s="1"/>
  <c r="F62" i="7"/>
  <c r="D134" i="7" s="1"/>
  <c r="F94" i="7"/>
  <c r="D166" i="7" s="1"/>
  <c r="F92" i="7"/>
  <c r="D164" i="7" s="1"/>
  <c r="F84" i="7"/>
  <c r="D156" i="7" s="1"/>
  <c r="F59" i="7"/>
  <c r="D131" i="7" s="1"/>
  <c r="F74" i="7"/>
  <c r="D146" i="7" s="1"/>
  <c r="F101" i="7"/>
  <c r="D173" i="7" s="1"/>
  <c r="F99" i="7"/>
  <c r="D171" i="7" s="1"/>
  <c r="F73" i="7"/>
  <c r="D145" i="7" s="1"/>
  <c r="F95" i="7"/>
  <c r="D167" i="7" s="1"/>
  <c r="F71" i="7"/>
  <c r="D143" i="7" s="1"/>
  <c r="F66" i="7"/>
  <c r="D138" i="7" s="1"/>
  <c r="F83" i="7"/>
  <c r="D155" i="7" s="1"/>
  <c r="F90" i="7"/>
  <c r="D162" i="7" s="1"/>
  <c r="F50" i="7"/>
  <c r="D122" i="7" s="1"/>
  <c r="F49" i="7"/>
  <c r="D121" i="7" s="1"/>
  <c r="F46" i="7"/>
  <c r="D118" i="7" s="1"/>
  <c r="F93" i="7"/>
  <c r="D165" i="7" s="1"/>
  <c r="F81" i="7"/>
  <c r="D153" i="7" s="1"/>
  <c r="F57" i="7"/>
  <c r="D129" i="7" s="1"/>
  <c r="F89" i="7"/>
  <c r="D161" i="7" s="1"/>
  <c r="F76" i="7"/>
  <c r="D148" i="7" s="1"/>
  <c r="F65" i="7"/>
  <c r="D137" i="7" s="1"/>
  <c r="F69" i="7"/>
  <c r="D141" i="7" s="1"/>
  <c r="F60" i="7"/>
  <c r="D132" i="7" s="1"/>
  <c r="F78" i="7"/>
  <c r="D150" i="7" s="1"/>
  <c r="F51" i="7"/>
  <c r="D123" i="7" s="1"/>
  <c r="F72" i="7"/>
  <c r="D144" i="7" s="1"/>
  <c r="F55" i="7"/>
  <c r="D127" i="7" s="1"/>
  <c r="F67" i="7"/>
  <c r="D139" i="7" s="1"/>
  <c r="F82" i="7"/>
  <c r="D154" i="7" s="1"/>
  <c r="F53" i="7"/>
  <c r="D125" i="7" s="1"/>
  <c r="J79" i="8"/>
  <c r="F87" i="7"/>
  <c r="D159" i="7" s="1"/>
  <c r="J83" i="8"/>
  <c r="F91" i="7"/>
  <c r="D163" i="7" s="1"/>
  <c r="F56" i="7"/>
  <c r="D128" i="7" s="1"/>
  <c r="F48" i="7"/>
  <c r="D120" i="7" s="1"/>
  <c r="F52" i="7"/>
  <c r="D124" i="7" s="1"/>
  <c r="F100" i="7"/>
  <c r="D172" i="7" s="1"/>
  <c r="J92" i="8"/>
  <c r="F77" i="7"/>
  <c r="D149" i="7" s="1"/>
  <c r="F64" i="7"/>
  <c r="D136" i="7" s="1"/>
  <c r="F88" i="7"/>
  <c r="D160" i="7" s="1"/>
  <c r="F79" i="7"/>
  <c r="D151" i="7" s="1"/>
  <c r="H77" i="2"/>
  <c r="D147" i="14" s="1"/>
  <c r="H51" i="2"/>
  <c r="D121" i="14" s="1"/>
  <c r="H54" i="2"/>
  <c r="D124" i="14" s="1"/>
  <c r="H48" i="2"/>
  <c r="D118" i="14" s="1"/>
  <c r="H66" i="2"/>
  <c r="D136" i="14" s="1"/>
  <c r="H56" i="2"/>
  <c r="D126" i="14" s="1"/>
  <c r="H72" i="2"/>
  <c r="D142" i="14" s="1"/>
  <c r="H58" i="2"/>
  <c r="D128" i="14" s="1"/>
  <c r="H53" i="2"/>
  <c r="D123" i="14" s="1"/>
  <c r="H65" i="2"/>
  <c r="D135" i="14" s="1"/>
  <c r="H67" i="2"/>
  <c r="D137" i="14" s="1"/>
  <c r="H49" i="2"/>
  <c r="D119" i="14" s="1"/>
  <c r="H47" i="2"/>
  <c r="D117" i="14" s="1"/>
  <c r="H52" i="2"/>
  <c r="D122" i="14" s="1"/>
  <c r="H73" i="2"/>
  <c r="D143" i="14" s="1"/>
  <c r="H61" i="2"/>
  <c r="D131" i="14" s="1"/>
  <c r="H64" i="2"/>
  <c r="D134" i="14" s="1"/>
  <c r="H70" i="2"/>
  <c r="D140" i="14" s="1"/>
  <c r="H62" i="2"/>
  <c r="D132" i="14" s="1"/>
  <c r="H69" i="2"/>
  <c r="D139" i="14" s="1"/>
  <c r="H63" i="2"/>
  <c r="D133" i="14" s="1"/>
  <c r="H78" i="2"/>
  <c r="D148" i="14" s="1"/>
  <c r="H68" i="2"/>
  <c r="D138" i="14" s="1"/>
  <c r="H50" i="2"/>
  <c r="D120" i="14" s="1"/>
  <c r="H59" i="2"/>
  <c r="D129" i="14" s="1"/>
  <c r="H71" i="2"/>
  <c r="D141" i="14" s="1"/>
  <c r="H60" i="2"/>
  <c r="D130" i="14" s="1"/>
  <c r="H55" i="2"/>
  <c r="D125" i="14" s="1"/>
  <c r="H74" i="2"/>
  <c r="D144" i="14" s="1"/>
  <c r="H76" i="2"/>
  <c r="D146" i="14" s="1"/>
  <c r="H46" i="2"/>
  <c r="D116" i="14" s="1"/>
  <c r="G107" i="2"/>
  <c r="H75" i="2"/>
  <c r="D145" i="14" s="1"/>
  <c r="H57" i="2"/>
  <c r="D127" i="14" s="1"/>
  <c r="J35" i="1"/>
  <c r="O69" i="11"/>
  <c r="M69" i="11"/>
  <c r="H69" i="11"/>
  <c r="I69" i="11"/>
  <c r="J69" i="11"/>
  <c r="L69" i="11"/>
  <c r="N69" i="11"/>
  <c r="K69" i="11"/>
  <c r="P57" i="10"/>
  <c r="O57" i="10"/>
  <c r="N57" i="10"/>
  <c r="L57" i="10"/>
  <c r="K57" i="10"/>
  <c r="J57" i="10"/>
  <c r="I57" i="10"/>
  <c r="H57" i="10"/>
  <c r="G57" i="10"/>
  <c r="M57" i="10"/>
  <c r="G70" i="9"/>
  <c r="H70" i="9"/>
  <c r="P70" i="9"/>
  <c r="I70" i="9"/>
  <c r="N70" i="9"/>
  <c r="K70" i="9"/>
  <c r="M70" i="9"/>
  <c r="J70" i="9"/>
  <c r="O70" i="9"/>
  <c r="L70" i="9"/>
  <c r="Z46" i="14" l="1"/>
  <c r="Z73" i="14"/>
  <c r="Z53" i="14"/>
  <c r="Z62" i="14"/>
  <c r="Z49" i="14"/>
  <c r="Z51" i="14"/>
  <c r="Z67" i="14"/>
  <c r="Z54" i="14"/>
  <c r="Z65" i="14"/>
  <c r="Z50" i="14"/>
  <c r="Z66" i="14"/>
  <c r="Z71" i="14"/>
  <c r="Z47" i="14"/>
  <c r="Z70" i="14"/>
  <c r="Z75" i="14"/>
  <c r="Z72" i="14"/>
  <c r="Z48" i="14"/>
  <c r="Z57" i="14"/>
  <c r="Z60" i="14"/>
  <c r="Z52" i="14"/>
  <c r="Z63" i="14"/>
  <c r="Z58" i="14"/>
  <c r="Z77" i="14"/>
  <c r="J77" i="8"/>
  <c r="J81" i="8"/>
  <c r="J91" i="8"/>
  <c r="G80" i="7"/>
  <c r="J90" i="8"/>
  <c r="J84" i="8"/>
  <c r="J86" i="8"/>
  <c r="J75" i="8"/>
  <c r="J80" i="8"/>
  <c r="J85" i="8"/>
  <c r="J76" i="8"/>
  <c r="J89" i="8"/>
  <c r="J93" i="8"/>
  <c r="J74" i="8"/>
  <c r="J82" i="8"/>
  <c r="J94" i="8"/>
  <c r="J78" i="8"/>
  <c r="J95" i="8"/>
  <c r="J96" i="8"/>
  <c r="J87" i="8"/>
  <c r="J73" i="8"/>
  <c r="G96" i="7"/>
  <c r="G97" i="7"/>
  <c r="G91" i="7"/>
  <c r="G85" i="7"/>
  <c r="G84" i="7"/>
  <c r="G95" i="7"/>
  <c r="G94" i="7"/>
  <c r="G99" i="7"/>
  <c r="G81" i="7"/>
  <c r="G89" i="7"/>
  <c r="G98" i="7"/>
  <c r="G93" i="7"/>
  <c r="G88" i="7"/>
  <c r="G100" i="7"/>
  <c r="G87" i="7"/>
  <c r="G92" i="7"/>
  <c r="G82" i="7"/>
  <c r="G101" i="7"/>
  <c r="G102" i="7"/>
  <c r="H102" i="7" s="1"/>
  <c r="E174" i="7" s="1"/>
  <c r="G86" i="7"/>
  <c r="G83" i="7"/>
  <c r="G90" i="7"/>
  <c r="J67" i="8"/>
  <c r="J61" i="8"/>
  <c r="G53" i="7"/>
  <c r="J46" i="8"/>
  <c r="J53" i="8"/>
  <c r="J42" i="8"/>
  <c r="J65" i="8"/>
  <c r="J48" i="8"/>
  <c r="J55" i="8"/>
  <c r="J64" i="8"/>
  <c r="J66" i="8"/>
  <c r="J41" i="8"/>
  <c r="J69" i="8"/>
  <c r="J39" i="8"/>
  <c r="J63" i="8"/>
  <c r="J71" i="8"/>
  <c r="J49" i="8"/>
  <c r="J58" i="8"/>
  <c r="J44" i="8"/>
  <c r="J68" i="8"/>
  <c r="J52" i="8"/>
  <c r="J62" i="8"/>
  <c r="J50" i="8"/>
  <c r="J56" i="8"/>
  <c r="J59" i="8"/>
  <c r="G63" i="7"/>
  <c r="J60" i="8"/>
  <c r="J72" i="8"/>
  <c r="J38" i="8"/>
  <c r="J45" i="8"/>
  <c r="J51" i="8"/>
  <c r="J57" i="8"/>
  <c r="J54" i="8"/>
  <c r="J47" i="8"/>
  <c r="J43" i="8"/>
  <c r="J40" i="8"/>
  <c r="J70" i="8"/>
  <c r="G74" i="7"/>
  <c r="G62" i="7"/>
  <c r="G52" i="7"/>
  <c r="G65" i="7"/>
  <c r="G48" i="7"/>
  <c r="G75" i="7"/>
  <c r="G67" i="7"/>
  <c r="G44" i="7"/>
  <c r="G59" i="7"/>
  <c r="G66" i="7"/>
  <c r="G51" i="7"/>
  <c r="G45" i="7"/>
  <c r="G71" i="7"/>
  <c r="G57" i="7"/>
  <c r="G76" i="7"/>
  <c r="G60" i="7"/>
  <c r="G46" i="7"/>
  <c r="G78" i="7"/>
  <c r="G73" i="7"/>
  <c r="G56" i="7"/>
  <c r="G64" i="7"/>
  <c r="G79" i="7"/>
  <c r="G69" i="7"/>
  <c r="L32" i="7"/>
  <c r="G72" i="7"/>
  <c r="G77" i="7"/>
  <c r="G70" i="7"/>
  <c r="G61" i="7"/>
  <c r="G55" i="7"/>
  <c r="G49" i="7"/>
  <c r="G47" i="7"/>
  <c r="G58" i="7"/>
  <c r="G68" i="7"/>
  <c r="G54" i="7"/>
  <c r="G50" i="7"/>
  <c r="H92" i="7" l="1"/>
  <c r="E164" i="7" s="1"/>
  <c r="H55" i="7"/>
  <c r="E127" i="7" s="1"/>
  <c r="H73" i="7"/>
  <c r="E145" i="7" s="1"/>
  <c r="H78" i="7"/>
  <c r="E150" i="7" s="1"/>
  <c r="H84" i="7"/>
  <c r="E156" i="7" s="1"/>
  <c r="H67" i="7"/>
  <c r="E139" i="7" s="1"/>
  <c r="H87" i="7"/>
  <c r="E159" i="7" s="1"/>
  <c r="H80" i="7"/>
  <c r="E152" i="7" s="1"/>
  <c r="H91" i="7"/>
  <c r="E163" i="7" s="1"/>
  <c r="H59" i="7"/>
  <c r="E131" i="7" s="1"/>
  <c r="H63" i="7"/>
  <c r="E135" i="7" s="1"/>
  <c r="H95" i="7"/>
  <c r="E167" i="7" s="1"/>
  <c r="H56" i="7"/>
  <c r="E128" i="7" s="1"/>
  <c r="H44" i="7"/>
  <c r="E116" i="7" s="1"/>
  <c r="H83" i="7"/>
  <c r="E155" i="7" s="1"/>
  <c r="H98" i="7"/>
  <c r="E170" i="7" s="1"/>
  <c r="H77" i="7"/>
  <c r="E149" i="7" s="1"/>
  <c r="H60" i="7"/>
  <c r="E132" i="7" s="1"/>
  <c r="H75" i="7"/>
  <c r="E147" i="7" s="1"/>
  <c r="H53" i="7"/>
  <c r="E125" i="7" s="1"/>
  <c r="H86" i="7"/>
  <c r="E158" i="7" s="1"/>
  <c r="H89" i="7"/>
  <c r="E161" i="7" s="1"/>
  <c r="H85" i="7"/>
  <c r="E157" i="7" s="1"/>
  <c r="H50" i="7"/>
  <c r="E122" i="7" s="1"/>
  <c r="H72" i="7"/>
  <c r="E144" i="7" s="1"/>
  <c r="H76" i="7"/>
  <c r="E148" i="7" s="1"/>
  <c r="H48" i="7"/>
  <c r="E120" i="7" s="1"/>
  <c r="H100" i="7"/>
  <c r="E172" i="7" s="1"/>
  <c r="H49" i="7"/>
  <c r="E121" i="7" s="1"/>
  <c r="H66" i="7"/>
  <c r="E138" i="7" s="1"/>
  <c r="H61" i="7"/>
  <c r="E133" i="7" s="1"/>
  <c r="H70" i="7"/>
  <c r="E142" i="7" s="1"/>
  <c r="H46" i="7"/>
  <c r="E118" i="7" s="1"/>
  <c r="H54" i="7"/>
  <c r="E126" i="7" s="1"/>
  <c r="H57" i="7"/>
  <c r="E129" i="7" s="1"/>
  <c r="H65" i="7"/>
  <c r="E137" i="7" s="1"/>
  <c r="H101" i="7"/>
  <c r="E173" i="7" s="1"/>
  <c r="H88" i="7"/>
  <c r="E160" i="7" s="1"/>
  <c r="H45" i="7"/>
  <c r="E117" i="7" s="1"/>
  <c r="H99" i="7"/>
  <c r="E171" i="7" s="1"/>
  <c r="H97" i="7"/>
  <c r="E169" i="7" s="1"/>
  <c r="H81" i="7"/>
  <c r="E153" i="7" s="1"/>
  <c r="H68" i="7"/>
  <c r="E140" i="7" s="1"/>
  <c r="H69" i="7"/>
  <c r="E141" i="7" s="1"/>
  <c r="H71" i="7"/>
  <c r="E143" i="7" s="1"/>
  <c r="H52" i="7"/>
  <c r="E124" i="7" s="1"/>
  <c r="H58" i="7"/>
  <c r="E130" i="7" s="1"/>
  <c r="H79" i="7"/>
  <c r="E151" i="7" s="1"/>
  <c r="H62" i="7"/>
  <c r="E134" i="7" s="1"/>
  <c r="H47" i="7"/>
  <c r="E119" i="7" s="1"/>
  <c r="H64" i="7"/>
  <c r="E136" i="7" s="1"/>
  <c r="H51" i="7"/>
  <c r="E123" i="7" s="1"/>
  <c r="H74" i="7"/>
  <c r="E146" i="7" s="1"/>
  <c r="H82" i="7"/>
  <c r="E154" i="7" s="1"/>
  <c r="H90" i="7"/>
  <c r="E162" i="7" s="1"/>
  <c r="H93" i="7"/>
  <c r="E165" i="7" s="1"/>
  <c r="H94" i="7"/>
  <c r="E166" i="7" s="1"/>
  <c r="H96" i="7"/>
  <c r="E168" i="7" s="1"/>
  <c r="I106" i="8"/>
  <c r="I77" i="2"/>
  <c r="I57" i="2"/>
  <c r="I59" i="2"/>
  <c r="I62" i="2"/>
  <c r="I76" i="2" l="1"/>
  <c r="I78" i="2"/>
  <c r="I50" i="2"/>
  <c r="I69" i="2"/>
  <c r="I73" i="2"/>
  <c r="I46" i="2"/>
  <c r="I64" i="2"/>
  <c r="I49" i="2"/>
  <c r="I81" i="2"/>
  <c r="I75" i="2"/>
  <c r="I53" i="2"/>
  <c r="I52" i="2"/>
  <c r="I79" i="2"/>
  <c r="I56" i="2"/>
  <c r="I82" i="2"/>
  <c r="J82" i="2" s="1"/>
  <c r="E152" i="14" s="1"/>
  <c r="I67" i="2"/>
  <c r="I72" i="2"/>
  <c r="I63" i="2"/>
  <c r="I48" i="2"/>
  <c r="I70" i="2"/>
  <c r="I58" i="2"/>
  <c r="I65" i="2"/>
  <c r="I61" i="2"/>
  <c r="I47" i="2"/>
  <c r="I54" i="2"/>
  <c r="I71" i="2"/>
  <c r="I74" i="2"/>
  <c r="I51" i="2"/>
  <c r="I80" i="2"/>
  <c r="I68" i="2"/>
  <c r="I66" i="2"/>
  <c r="I55" i="2"/>
  <c r="I60" i="2"/>
  <c r="J81" i="2" l="1"/>
  <c r="E151" i="14" s="1"/>
  <c r="J74" i="2"/>
  <c r="E144" i="14" s="1"/>
  <c r="J79" i="2"/>
  <c r="J62" i="2"/>
  <c r="J69" i="2"/>
  <c r="J46" i="2"/>
  <c r="J60" i="2"/>
  <c r="J71" i="2"/>
  <c r="J70" i="2"/>
  <c r="J47" i="2"/>
  <c r="J48" i="2"/>
  <c r="J55" i="2"/>
  <c r="J50" i="2"/>
  <c r="J78" i="2"/>
  <c r="J53" i="2"/>
  <c r="J66" i="2"/>
  <c r="J72" i="2"/>
  <c r="J65" i="2"/>
  <c r="J80" i="2"/>
  <c r="J58" i="2"/>
  <c r="J49" i="2"/>
  <c r="J77" i="2"/>
  <c r="J73" i="2"/>
  <c r="J54" i="2"/>
  <c r="J52" i="2"/>
  <c r="J63" i="2"/>
  <c r="J76" i="2"/>
  <c r="J61" i="2"/>
  <c r="J75" i="2"/>
  <c r="J68" i="2"/>
  <c r="J67" i="2"/>
  <c r="J59" i="2"/>
  <c r="J51" i="2"/>
  <c r="J56" i="2"/>
  <c r="J64" i="2"/>
  <c r="J57" i="2"/>
  <c r="E148" i="14" l="1"/>
  <c r="E135" i="14"/>
  <c r="E142" i="14"/>
  <c r="E123" i="14"/>
  <c r="E126" i="14"/>
  <c r="E125" i="14"/>
  <c r="E138" i="14"/>
  <c r="E145" i="14"/>
  <c r="E116" i="14"/>
  <c r="E122" i="14"/>
  <c r="E139" i="14"/>
  <c r="E143" i="14"/>
  <c r="E149" i="14"/>
  <c r="E128" i="14"/>
  <c r="E127" i="14"/>
  <c r="E134" i="14"/>
  <c r="E121" i="14"/>
  <c r="E118" i="14"/>
  <c r="E117" i="14"/>
  <c r="E141" i="14"/>
  <c r="E130" i="14"/>
  <c r="E124" i="14"/>
  <c r="E147" i="14"/>
  <c r="E150" i="14"/>
  <c r="E136" i="14"/>
  <c r="E120" i="14"/>
  <c r="E129" i="14"/>
  <c r="E137" i="14"/>
  <c r="E140" i="14"/>
  <c r="E131" i="14"/>
  <c r="E146" i="14"/>
  <c r="E133" i="14"/>
  <c r="E132" i="14"/>
  <c r="E119" i="14"/>
  <c r="I84" i="8" l="1"/>
  <c r="I86" i="8"/>
  <c r="I77" i="8"/>
  <c r="I64" i="8"/>
  <c r="I67" i="8"/>
  <c r="I72" i="8"/>
  <c r="I54" i="8"/>
  <c r="I76" i="8"/>
  <c r="I44" i="8"/>
  <c r="I79" i="8"/>
  <c r="I61" i="8"/>
  <c r="I90" i="8"/>
  <c r="I43" i="8"/>
  <c r="I83" i="8"/>
  <c r="I70" i="8"/>
  <c r="I69" i="8"/>
  <c r="I95" i="8"/>
  <c r="I96" i="8"/>
  <c r="I65" i="8"/>
  <c r="I51" i="8"/>
  <c r="I82" i="8"/>
  <c r="I52" i="8"/>
  <c r="I62" i="8"/>
  <c r="I60" i="8"/>
  <c r="I75" i="8"/>
  <c r="I49" i="8"/>
  <c r="I46" i="8"/>
  <c r="I45" i="8"/>
  <c r="I50" i="8"/>
  <c r="I78" i="8"/>
  <c r="I92" i="8"/>
  <c r="I58" i="8"/>
  <c r="I94" i="8"/>
  <c r="G38" i="8"/>
  <c r="G45" i="8"/>
  <c r="K72" i="8"/>
  <c r="G47" i="8"/>
  <c r="G40" i="8"/>
  <c r="G44" i="8"/>
  <c r="G46" i="8"/>
  <c r="K65" i="8"/>
  <c r="K41" i="8"/>
  <c r="K42" i="8"/>
  <c r="G53" i="8"/>
  <c r="G54" i="8"/>
  <c r="L53" i="8" s="1"/>
  <c r="K38" i="8"/>
  <c r="K58" i="8"/>
  <c r="G49" i="8"/>
  <c r="K50" i="8"/>
  <c r="G42" i="8"/>
  <c r="G41" i="8"/>
  <c r="K62" i="8"/>
  <c r="G50" i="8"/>
  <c r="G43" i="8"/>
  <c r="G48" i="8"/>
  <c r="G39" i="8"/>
  <c r="L38" i="8" s="1"/>
  <c r="G51" i="8"/>
  <c r="G52" i="8"/>
  <c r="L51" i="8" s="1"/>
  <c r="K56" i="8"/>
  <c r="K96" i="8"/>
  <c r="K82" i="8"/>
  <c r="G64" i="8"/>
  <c r="G72" i="8"/>
  <c r="G56" i="8"/>
  <c r="G57" i="8"/>
  <c r="L56" i="8" s="1"/>
  <c r="G71" i="8"/>
  <c r="G70" i="8"/>
  <c r="G69" i="8"/>
  <c r="L69" i="8" s="1"/>
  <c r="G68" i="8"/>
  <c r="L67" i="8" s="1"/>
  <c r="G63" i="8"/>
  <c r="G62" i="8"/>
  <c r="G61" i="8"/>
  <c r="G60" i="8"/>
  <c r="G55" i="8"/>
  <c r="G73" i="8"/>
  <c r="G67" i="8"/>
  <c r="G66" i="8"/>
  <c r="G65" i="8"/>
  <c r="L65" i="8" s="1"/>
  <c r="G59" i="8"/>
  <c r="G58" i="8"/>
  <c r="L58" i="8" s="1"/>
  <c r="G74" i="8"/>
  <c r="G80" i="8"/>
  <c r="G81" i="8"/>
  <c r="L80" i="8" s="1"/>
  <c r="G78" i="8"/>
  <c r="L77" i="8" s="1"/>
  <c r="G85" i="8"/>
  <c r="G96" i="8"/>
  <c r="L96" i="8" s="1"/>
  <c r="G86" i="8"/>
  <c r="L85" i="8" s="1"/>
  <c r="K91" i="8"/>
  <c r="G92" i="8"/>
  <c r="G95" i="8"/>
  <c r="G94" i="8"/>
  <c r="G83" i="8"/>
  <c r="K84" i="8"/>
  <c r="G76" i="8"/>
  <c r="G89" i="8"/>
  <c r="G84" i="8"/>
  <c r="G88" i="8"/>
  <c r="G77" i="8"/>
  <c r="L76" i="8" s="1"/>
  <c r="G75" i="8"/>
  <c r="L74" i="8" s="1"/>
  <c r="G90" i="8"/>
  <c r="L89" i="8" s="1"/>
  <c r="K79" i="8"/>
  <c r="K92" i="8"/>
  <c r="G93" i="8"/>
  <c r="G91" i="8"/>
  <c r="G87" i="8"/>
  <c r="G82" i="8"/>
  <c r="G79" i="8"/>
  <c r="K70" i="8" l="1"/>
  <c r="K51" i="8"/>
  <c r="K46" i="8"/>
  <c r="K45" i="8"/>
  <c r="K67" i="8"/>
  <c r="M67" i="8" s="1"/>
  <c r="K53" i="8"/>
  <c r="K77" i="8"/>
  <c r="M77" i="8" s="1"/>
  <c r="K57" i="8"/>
  <c r="K64" i="8"/>
  <c r="K85" i="8"/>
  <c r="K40" i="8"/>
  <c r="K61" i="8"/>
  <c r="L70" i="8"/>
  <c r="M96" i="8"/>
  <c r="N96" i="8" s="1"/>
  <c r="Y96" i="8" s="1"/>
  <c r="L47" i="8"/>
  <c r="L52" i="8"/>
  <c r="L49" i="8"/>
  <c r="L87" i="8"/>
  <c r="L66" i="8"/>
  <c r="L78" i="8"/>
  <c r="L91" i="8"/>
  <c r="L44" i="8"/>
  <c r="L42" i="8"/>
  <c r="L83" i="8"/>
  <c r="L59" i="8"/>
  <c r="L72" i="8"/>
  <c r="M72" i="8" s="1"/>
  <c r="L93" i="8"/>
  <c r="L40" i="8"/>
  <c r="L54" i="8"/>
  <c r="K83" i="8"/>
  <c r="M83" i="8" s="1"/>
  <c r="I85" i="8"/>
  <c r="M85" i="8" s="1"/>
  <c r="L94" i="8"/>
  <c r="L62" i="8"/>
  <c r="M62" i="8" s="1"/>
  <c r="K78" i="8"/>
  <c r="I88" i="8"/>
  <c r="L61" i="8"/>
  <c r="I41" i="8"/>
  <c r="L95" i="8"/>
  <c r="K43" i="8"/>
  <c r="M43" i="8" s="1"/>
  <c r="L39" i="8"/>
  <c r="I81" i="8"/>
  <c r="M51" i="8"/>
  <c r="I47" i="8"/>
  <c r="L86" i="8"/>
  <c r="L50" i="8"/>
  <c r="M50" i="8" s="1"/>
  <c r="L48" i="8"/>
  <c r="K54" i="8"/>
  <c r="I63" i="8"/>
  <c r="I53" i="8"/>
  <c r="M53" i="8" s="1"/>
  <c r="K94" i="8"/>
  <c r="L60" i="8"/>
  <c r="K68" i="8"/>
  <c r="I68" i="8"/>
  <c r="L88" i="8"/>
  <c r="K47" i="8"/>
  <c r="L45" i="8"/>
  <c r="M45" i="8" s="1"/>
  <c r="K89" i="8"/>
  <c r="K52" i="8"/>
  <c r="M52" i="8" s="1"/>
  <c r="I42" i="8"/>
  <c r="K75" i="8"/>
  <c r="L75" i="8"/>
  <c r="L73" i="8"/>
  <c r="L55" i="8"/>
  <c r="K63" i="8"/>
  <c r="K69" i="8"/>
  <c r="L46" i="8"/>
  <c r="M46" i="8" s="1"/>
  <c r="I93" i="8"/>
  <c r="I91" i="8"/>
  <c r="M91" i="8" s="1"/>
  <c r="K93" i="8"/>
  <c r="M93" i="8" s="1"/>
  <c r="K87" i="8"/>
  <c r="K80" i="8"/>
  <c r="I71" i="8"/>
  <c r="I39" i="8"/>
  <c r="L84" i="8"/>
  <c r="M84" i="8" s="1"/>
  <c r="L41" i="8"/>
  <c r="L79" i="8"/>
  <c r="M79" i="8" s="1"/>
  <c r="L90" i="8"/>
  <c r="L71" i="8"/>
  <c r="K44" i="8"/>
  <c r="K60" i="8"/>
  <c r="M60" i="8" s="1"/>
  <c r="K66" i="8"/>
  <c r="I89" i="8"/>
  <c r="I57" i="8"/>
  <c r="K71" i="8"/>
  <c r="I87" i="8"/>
  <c r="M69" i="8"/>
  <c r="K81" i="8"/>
  <c r="K73" i="8"/>
  <c r="K90" i="8"/>
  <c r="K39" i="8"/>
  <c r="I48" i="8"/>
  <c r="L43" i="8"/>
  <c r="K59" i="8"/>
  <c r="L92" i="8"/>
  <c r="M92" i="8" s="1"/>
  <c r="K76" i="8"/>
  <c r="M76" i="8" s="1"/>
  <c r="L63" i="8"/>
  <c r="K48" i="8"/>
  <c r="K55" i="8"/>
  <c r="K49" i="8"/>
  <c r="M49" i="8" s="1"/>
  <c r="I74" i="8"/>
  <c r="M65" i="8"/>
  <c r="M70" i="8"/>
  <c r="M58" i="8"/>
  <c r="I40" i="8"/>
  <c r="L82" i="8"/>
  <c r="M82" i="8" s="1"/>
  <c r="I38" i="8"/>
  <c r="K88" i="8"/>
  <c r="I59" i="8"/>
  <c r="I66" i="8"/>
  <c r="M66" i="8" s="1"/>
  <c r="L81" i="8"/>
  <c r="I55" i="8"/>
  <c r="K74" i="8"/>
  <c r="I56" i="8"/>
  <c r="M56" i="8" s="1"/>
  <c r="L57" i="8"/>
  <c r="L64" i="8"/>
  <c r="L68" i="8"/>
  <c r="I80" i="8"/>
  <c r="I73" i="8"/>
  <c r="K95" i="8"/>
  <c r="K86" i="8"/>
  <c r="I107" i="8" l="1"/>
  <c r="M89" i="8"/>
  <c r="M74" i="8"/>
  <c r="M61" i="8"/>
  <c r="M38" i="8"/>
  <c r="I105" i="8"/>
  <c r="M88" i="8"/>
  <c r="M54" i="8"/>
  <c r="M41" i="8"/>
  <c r="M87" i="8"/>
  <c r="M68" i="8"/>
  <c r="M64" i="8"/>
  <c r="M47" i="8"/>
  <c r="M57" i="8"/>
  <c r="M71" i="8"/>
  <c r="M90" i="8"/>
  <c r="M78" i="8"/>
  <c r="M94" i="8"/>
  <c r="M42" i="8"/>
  <c r="M95" i="8"/>
  <c r="N95" i="8" s="1"/>
  <c r="Y95" i="8" s="1"/>
  <c r="M75" i="8"/>
  <c r="M81" i="8"/>
  <c r="M40" i="8"/>
  <c r="M86" i="8"/>
  <c r="M39" i="8"/>
  <c r="M73" i="8"/>
  <c r="M80" i="8"/>
  <c r="M48" i="8"/>
  <c r="M44" i="8"/>
  <c r="M55" i="8"/>
  <c r="M63" i="8"/>
  <c r="M59" i="8"/>
  <c r="N37" i="8" l="1"/>
  <c r="Y37" i="8" s="1"/>
  <c r="N82" i="8"/>
  <c r="Y82" i="8" s="1"/>
  <c r="N89" i="8"/>
  <c r="Y89" i="8" s="1"/>
  <c r="N88" i="8"/>
  <c r="Y88" i="8" s="1"/>
  <c r="N92" i="8"/>
  <c r="Y92" i="8" s="1"/>
  <c r="N94" i="8"/>
  <c r="Y94" i="8" s="1"/>
  <c r="N69" i="8"/>
  <c r="Y69" i="8" s="1"/>
  <c r="N93" i="8"/>
  <c r="Y93" i="8" s="1"/>
  <c r="N91" i="8"/>
  <c r="Y91" i="8" s="1"/>
  <c r="N81" i="8"/>
  <c r="Y81" i="8" s="1"/>
  <c r="N86" i="8"/>
  <c r="Y86" i="8" s="1"/>
  <c r="N60" i="8"/>
  <c r="Y60" i="8" s="1"/>
  <c r="N74" i="8"/>
  <c r="Y74" i="8" s="1"/>
  <c r="N71" i="8"/>
  <c r="Y71" i="8" s="1"/>
  <c r="N67" i="8"/>
  <c r="Y67" i="8" s="1"/>
  <c r="N87" i="8"/>
  <c r="Y87" i="8" s="1"/>
  <c r="N41" i="8"/>
  <c r="Y41" i="8" s="1"/>
  <c r="N90" i="8"/>
  <c r="Y90" i="8" s="1"/>
  <c r="N59" i="8"/>
  <c r="Y59" i="8" s="1"/>
  <c r="N75" i="8"/>
  <c r="Y75" i="8" s="1"/>
  <c r="N53" i="8"/>
  <c r="Y53" i="8" s="1"/>
  <c r="N38" i="8"/>
  <c r="Y38" i="8" s="1"/>
  <c r="N70" i="8"/>
  <c r="Y70" i="8" s="1"/>
  <c r="N85" i="8"/>
  <c r="Y85" i="8" s="1"/>
  <c r="N79" i="8"/>
  <c r="Y79" i="8" s="1"/>
  <c r="N43" i="8"/>
  <c r="Y43" i="8" s="1"/>
  <c r="N42" i="8"/>
  <c r="Y42" i="8" s="1"/>
  <c r="N54" i="8"/>
  <c r="Y54" i="8" s="1"/>
  <c r="N80" i="8"/>
  <c r="Y80" i="8" s="1"/>
  <c r="N39" i="8"/>
  <c r="Y39" i="8" s="1"/>
  <c r="N51" i="8"/>
  <c r="Y51" i="8" s="1"/>
  <c r="N46" i="8"/>
  <c r="Y46" i="8" s="1"/>
  <c r="N72" i="8"/>
  <c r="Y72" i="8" s="1"/>
  <c r="N83" i="8"/>
  <c r="Y83" i="8" s="1"/>
  <c r="N68" i="8"/>
  <c r="Y68" i="8" s="1"/>
  <c r="N44" i="8"/>
  <c r="Y44" i="8" s="1"/>
  <c r="N66" i="8"/>
  <c r="Y66" i="8" s="1"/>
  <c r="N76" i="8"/>
  <c r="Y76" i="8" s="1"/>
  <c r="N48" i="8"/>
  <c r="Y48" i="8" s="1"/>
  <c r="N65" i="8"/>
  <c r="Y65" i="8" s="1"/>
  <c r="N52" i="8"/>
  <c r="Y52" i="8" s="1"/>
  <c r="N64" i="8"/>
  <c r="Y64" i="8" s="1"/>
  <c r="N84" i="8"/>
  <c r="Y84" i="8" s="1"/>
  <c r="N77" i="8"/>
  <c r="Y77" i="8" s="1"/>
  <c r="N57" i="8"/>
  <c r="Y57" i="8" s="1"/>
  <c r="N78" i="8"/>
  <c r="Y78" i="8" s="1"/>
  <c r="N63" i="8"/>
  <c r="Y63" i="8" s="1"/>
  <c r="N40" i="8"/>
  <c r="Y40" i="8" s="1"/>
  <c r="N47" i="8"/>
  <c r="Y47" i="8" s="1"/>
  <c r="N56" i="8"/>
  <c r="Y56" i="8" s="1"/>
  <c r="N45" i="8"/>
  <c r="Y45" i="8" s="1"/>
  <c r="N50" i="8"/>
  <c r="Y50" i="8" s="1"/>
  <c r="N62" i="8"/>
  <c r="Y62" i="8" s="1"/>
  <c r="N73" i="8"/>
  <c r="Y73" i="8" s="1"/>
  <c r="N55" i="8"/>
  <c r="Y55" i="8" s="1"/>
  <c r="N61" i="8"/>
  <c r="Y61" i="8" s="1"/>
  <c r="N58" i="8"/>
  <c r="Y58" i="8" s="1"/>
  <c r="N49" i="8"/>
  <c r="Y49" i="8" s="1"/>
  <c r="Z45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3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作者: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31" authorId="0" shapeId="0" xr:uid="{DCE73DA7-3F9E-492F-8142-BF51AF32C5D4}">
      <text>
        <r>
          <rPr>
            <b/>
            <sz val="9"/>
            <color rgb="FF000000"/>
            <rFont val="Tahoma"/>
            <family val="2"/>
          </rPr>
          <t>作者: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sharedStrings.xml><?xml version="1.0" encoding="utf-8"?>
<sst xmlns="http://schemas.openxmlformats.org/spreadsheetml/2006/main" count="1053" uniqueCount="331">
  <si>
    <t>Single Wing box span</t>
    <phoneticPr fontId="3" type="noConversion"/>
  </si>
  <si>
    <t>m</t>
  </si>
  <si>
    <t>Single Wing mass</t>
    <phoneticPr fontId="3" type="noConversion"/>
  </si>
  <si>
    <t>kg</t>
  </si>
  <si>
    <t>Fuel tank span</t>
  </si>
  <si>
    <t>Fuel tank capacity</t>
  </si>
  <si>
    <t>L</t>
  </si>
  <si>
    <t>Additional hardpoint</t>
  </si>
  <si>
    <t>V-n  diagram</t>
  </si>
  <si>
    <t>Objective:</t>
  </si>
  <si>
    <t>Visualise the operational limits to gain an understanding of the critical aerodynamic and structural load cases</t>
  </si>
  <si>
    <t>Define variables to characterise aircraft and vertices of V-n diagram</t>
  </si>
  <si>
    <t>Load Factors</t>
  </si>
  <si>
    <t>Specification</t>
  </si>
  <si>
    <t>Source</t>
  </si>
  <si>
    <t xml:space="preserve">Design Airspeeds </t>
  </si>
  <si>
    <t>Aero Coefficients</t>
  </si>
  <si>
    <t>Variable</t>
  </si>
  <si>
    <t>Value</t>
  </si>
  <si>
    <t>Units</t>
  </si>
  <si>
    <t>Max Load</t>
  </si>
  <si>
    <t>Sref</t>
  </si>
  <si>
    <t>m^2</t>
  </si>
  <si>
    <t>Vs0</t>
  </si>
  <si>
    <t>km/hr</t>
  </si>
  <si>
    <t>CL_0</t>
  </si>
  <si>
    <t>Min Load</t>
  </si>
  <si>
    <t>bref</t>
  </si>
  <si>
    <t>Vs1</t>
  </si>
  <si>
    <t>CL_a</t>
  </si>
  <si>
    <t>cref</t>
  </si>
  <si>
    <t>CL_max</t>
  </si>
  <si>
    <t>MTOW</t>
  </si>
  <si>
    <t>Vc</t>
  </si>
  <si>
    <t>CL_min</t>
  </si>
  <si>
    <t>W/S</t>
  </si>
  <si>
    <t>kg/m^2</t>
  </si>
  <si>
    <t>Vne</t>
  </si>
  <si>
    <t>Cm_0</t>
  </si>
  <si>
    <t>Cm_a</t>
  </si>
  <si>
    <t>V-n Diagram</t>
  </si>
  <si>
    <t>Plot envelope</t>
  </si>
  <si>
    <t>EAS (m/s)</t>
  </si>
  <si>
    <t>EAS (km/hr)</t>
  </si>
  <si>
    <t>qbar</t>
  </si>
  <si>
    <t>Left up</t>
  </si>
  <si>
    <t>Left down</t>
  </si>
  <si>
    <t>Design Speed</t>
  </si>
  <si>
    <t>Speed Value</t>
  </si>
  <si>
    <t>Load Factor</t>
  </si>
  <si>
    <t>Upper Speed Limit</t>
  </si>
  <si>
    <t>Step 3:</t>
  </si>
  <si>
    <t>Lift and Moment Plots</t>
  </si>
  <si>
    <t>Calculating pitching moments</t>
  </si>
  <si>
    <t>AOA deg</t>
  </si>
  <si>
    <t>AOA rad</t>
  </si>
  <si>
    <t>CL</t>
  </si>
  <si>
    <t>Cm</t>
  </si>
  <si>
    <t>Case</t>
  </si>
  <si>
    <t>Va</t>
  </si>
  <si>
    <t>M_0</t>
  </si>
  <si>
    <t>Nm</t>
  </si>
  <si>
    <t>AOA</t>
  </si>
  <si>
    <t>deg</t>
  </si>
  <si>
    <t>Wing Inertia Load</t>
  </si>
  <si>
    <t>Calculate the shear and bending moment distributions across the wing semi span caused by inertia only</t>
  </si>
  <si>
    <t xml:space="preserve">Diagrams to illustrate wing geometry </t>
  </si>
  <si>
    <t>Define variable to characterise wing inertial properties</t>
  </si>
  <si>
    <t>Information for loading estimation</t>
  </si>
  <si>
    <t>Calculate Total Wing Weight</t>
  </si>
  <si>
    <t>Wing span</t>
  </si>
  <si>
    <t>Cabin width</t>
  </si>
  <si>
    <t>Load factor</t>
  </si>
  <si>
    <t>Lift required</t>
  </si>
  <si>
    <t>N</t>
  </si>
  <si>
    <t>Roskam Part V Appendix A</t>
  </si>
  <si>
    <t>Payload</t>
  </si>
  <si>
    <t>Mk 81 GPB</t>
  </si>
  <si>
    <t>PL weight</t>
  </si>
  <si>
    <t>WT fuel weight</t>
    <phoneticPr fontId="3" type="noConversion"/>
  </si>
  <si>
    <t>N</t>
    <phoneticPr fontId="3" type="noConversion"/>
  </si>
  <si>
    <t>Wing weight</t>
    <phoneticPr fontId="3" type="noConversion"/>
  </si>
  <si>
    <t>No Payload</t>
  </si>
  <si>
    <t>Total weight</t>
    <phoneticPr fontId="3" type="noConversion"/>
  </si>
  <si>
    <t>Auxiliary fuel tank</t>
    <phoneticPr fontId="3" type="noConversion"/>
  </si>
  <si>
    <t>kg/m^3</t>
  </si>
  <si>
    <t>Plot inertia, shear and bending moment distributions</t>
  </si>
  <si>
    <t>Inertial, Shear and Bending Moment Distribution Plots</t>
  </si>
  <si>
    <t>Span station</t>
  </si>
  <si>
    <t>Wing</t>
  </si>
  <si>
    <t>Fuel</t>
  </si>
  <si>
    <t>Combined</t>
    <phoneticPr fontId="3" type="noConversion"/>
  </si>
  <si>
    <t>SF</t>
  </si>
  <si>
    <t>dM</t>
  </si>
  <si>
    <t>BM</t>
  </si>
  <si>
    <t>N/m</t>
  </si>
  <si>
    <t>Sum</t>
  </si>
  <si>
    <t>Wing Aero Load</t>
  </si>
  <si>
    <t xml:space="preserve">Calculate shear and bending moment distributions across the wing semi-span caused by lift and combine with previous inertial results </t>
  </si>
  <si>
    <t>Diagram to illustrate wing geometry</t>
  </si>
  <si>
    <t>Define variables to characterise wing lift distribution</t>
  </si>
  <si>
    <t>Wing Parameters Duplicated from Previous Sheet</t>
  </si>
  <si>
    <t>Calculate Parameters to Characterise Lift Distribution</t>
  </si>
  <si>
    <t>Elliptical lift distribution</t>
  </si>
  <si>
    <t>Fundamentals of Aerodynamcis, Anderson J, 1984, Section 5.3.1</t>
  </si>
  <si>
    <t>Check Lift</t>
  </si>
  <si>
    <t>L0</t>
  </si>
  <si>
    <t>1/2 Lift</t>
    <phoneticPr fontId="3" type="noConversion"/>
  </si>
  <si>
    <t>b/2</t>
  </si>
  <si>
    <t>Auxiliary fuel tank</t>
  </si>
  <si>
    <t>Plot lift, shear and bending moment distribution for semi-span</t>
  </si>
  <si>
    <t>dL</t>
  </si>
  <si>
    <t>Lift (N)</t>
  </si>
  <si>
    <t>Add the shear and bending moment distributions caused by the aerodynamic loads to those caused by the inertial loads</t>
  </si>
  <si>
    <t>Aero+Inertia Loading on the wing</t>
    <phoneticPr fontId="3" type="noConversion"/>
  </si>
  <si>
    <t>Wing Torque</t>
  </si>
  <si>
    <t>case</t>
  </si>
  <si>
    <t>Property</t>
  </si>
  <si>
    <t>Symbol</t>
  </si>
  <si>
    <t>Lift arm</t>
    <phoneticPr fontId="3" type="noConversion"/>
  </si>
  <si>
    <t>a</t>
    <phoneticPr fontId="3" type="noConversion"/>
  </si>
  <si>
    <t>mm</t>
    <phoneticPr fontId="3" type="noConversion"/>
  </si>
  <si>
    <t>Lift</t>
    <phoneticPr fontId="3" type="noConversion"/>
  </si>
  <si>
    <t>L</t>
    <phoneticPr fontId="3" type="noConversion"/>
  </si>
  <si>
    <t>Cell 1 area</t>
    <phoneticPr fontId="3" type="noConversion"/>
  </si>
  <si>
    <t>An</t>
    <phoneticPr fontId="3" type="noConversion"/>
  </si>
  <si>
    <t>mm^2</t>
    <phoneticPr fontId="3" type="noConversion"/>
  </si>
  <si>
    <t>Wing mass</t>
    <phoneticPr fontId="3" type="noConversion"/>
  </si>
  <si>
    <t>W_wing</t>
    <phoneticPr fontId="3" type="noConversion"/>
  </si>
  <si>
    <t>kg</t>
    <phoneticPr fontId="3" type="noConversion"/>
  </si>
  <si>
    <t>Fuel mass</t>
    <phoneticPr fontId="3" type="noConversion"/>
  </si>
  <si>
    <t>W_fuel</t>
    <phoneticPr fontId="3" type="noConversion"/>
  </si>
  <si>
    <t>Cell 2 area</t>
    <phoneticPr fontId="3" type="noConversion"/>
  </si>
  <si>
    <t>Ar</t>
    <phoneticPr fontId="3" type="noConversion"/>
  </si>
  <si>
    <t>WM arm</t>
    <phoneticPr fontId="3" type="noConversion"/>
  </si>
  <si>
    <t>b1</t>
  </si>
  <si>
    <t>Payload mass</t>
  </si>
  <si>
    <t>W_PL</t>
  </si>
  <si>
    <t>Circumference 1</t>
    <phoneticPr fontId="3" type="noConversion"/>
  </si>
  <si>
    <t>Sn</t>
    <phoneticPr fontId="3" type="noConversion"/>
  </si>
  <si>
    <t>FM arm</t>
    <phoneticPr fontId="3" type="noConversion"/>
  </si>
  <si>
    <t>b2</t>
  </si>
  <si>
    <t>Load factor</t>
    <phoneticPr fontId="3" type="noConversion"/>
  </si>
  <si>
    <t>n</t>
    <phoneticPr fontId="3" type="noConversion"/>
  </si>
  <si>
    <t>Sr</t>
    <phoneticPr fontId="3" type="noConversion"/>
  </si>
  <si>
    <t>PL arm</t>
  </si>
  <si>
    <t>b3</t>
  </si>
  <si>
    <t>Spar height</t>
    <phoneticPr fontId="3" type="noConversion"/>
  </si>
  <si>
    <t>h_w</t>
    <phoneticPr fontId="3" type="noConversion"/>
  </si>
  <si>
    <t>Aero Pitch moment</t>
  </si>
  <si>
    <t>M_0</t>
    <phoneticPr fontId="3" type="noConversion"/>
  </si>
  <si>
    <t>Nm</t>
    <phoneticPr fontId="3" type="noConversion"/>
  </si>
  <si>
    <t>Spar Dist to SC</t>
    <phoneticPr fontId="3" type="noConversion"/>
  </si>
  <si>
    <t>d</t>
    <phoneticPr fontId="3" type="noConversion"/>
  </si>
  <si>
    <t xml:space="preserve">Torque </t>
    <phoneticPr fontId="3" type="noConversion"/>
  </si>
  <si>
    <t>T</t>
    <phoneticPr fontId="3" type="noConversion"/>
  </si>
  <si>
    <t>Nmm</t>
  </si>
  <si>
    <t>Load</t>
    <phoneticPr fontId="3" type="noConversion"/>
  </si>
  <si>
    <t>P</t>
    <phoneticPr fontId="3" type="noConversion"/>
  </si>
  <si>
    <t>Spar thichness</t>
  </si>
  <si>
    <t>t_w</t>
    <phoneticPr fontId="3" type="noConversion"/>
  </si>
  <si>
    <t>Torque</t>
    <phoneticPr fontId="3" type="noConversion"/>
  </si>
  <si>
    <t>Skin thickness</t>
  </si>
  <si>
    <t>tn</t>
    <phoneticPr fontId="3" type="noConversion"/>
  </si>
  <si>
    <t>tr</t>
    <phoneticPr fontId="3" type="noConversion"/>
  </si>
  <si>
    <t>Lift Moment</t>
  </si>
  <si>
    <t>L*a</t>
  </si>
  <si>
    <t>Pitching Moment</t>
  </si>
  <si>
    <t xml:space="preserve">M_0 </t>
  </si>
  <si>
    <t xml:space="preserve">Nm </t>
  </si>
  <si>
    <t>Wing Weight Moment</t>
  </si>
  <si>
    <t>W_wing*b1</t>
  </si>
  <si>
    <t>Fuel Weight Moment</t>
  </si>
  <si>
    <t>W_fuel*b2</t>
  </si>
  <si>
    <t>Payload Weight Moment</t>
  </si>
  <si>
    <t>W_PL*b3</t>
  </si>
  <si>
    <t>Fuselage Station No. = Distance from reference point in cm</t>
  </si>
  <si>
    <t xml:space="preserve">Input tail aerodynamic load </t>
  </si>
  <si>
    <t>Tail trim load</t>
    <phoneticPr fontId="2" type="noConversion"/>
  </si>
  <si>
    <t>kg</t>
    <phoneticPr fontId="2" type="noConversion"/>
  </si>
  <si>
    <t>Total load</t>
    <phoneticPr fontId="2" type="noConversion"/>
  </si>
  <si>
    <t>Moment about ref</t>
  </si>
  <si>
    <t>kg*cm</t>
    <phoneticPr fontId="2" type="noConversion"/>
  </si>
  <si>
    <t xml:space="preserve"> </t>
  </si>
  <si>
    <t>R_F</t>
  </si>
  <si>
    <t>R_R</t>
  </si>
  <si>
    <t>Matrix solution</t>
  </si>
  <si>
    <t>=</t>
    <phoneticPr fontId="2" type="noConversion"/>
  </si>
  <si>
    <t>MMULT(MINVERSE(A),B)</t>
  </si>
  <si>
    <t>Reaction R_F at stat 185.4 =</t>
  </si>
  <si>
    <t>Station</t>
  </si>
  <si>
    <t>Sum</t>
    <phoneticPr fontId="2" type="noConversion"/>
  </si>
  <si>
    <t>Reaction R_R at stat 294.6 =</t>
  </si>
  <si>
    <t>Inertia</t>
    <phoneticPr fontId="2" type="noConversion"/>
  </si>
  <si>
    <t xml:space="preserve">Aero </t>
    <phoneticPr fontId="2" type="noConversion"/>
  </si>
  <si>
    <t>Moment R_F from stat 185.4 =</t>
  </si>
  <si>
    <t xml:space="preserve">Total </t>
    <phoneticPr fontId="2" type="noConversion"/>
  </si>
  <si>
    <t>Moment R_R from stat 294.6 =</t>
  </si>
  <si>
    <t>dBM</t>
    <phoneticPr fontId="2" type="noConversion"/>
  </si>
  <si>
    <t>BM</t>
    <phoneticPr fontId="2" type="noConversion"/>
  </si>
  <si>
    <t>Inertia Item</t>
  </si>
  <si>
    <t>Weight budget</t>
  </si>
  <si>
    <t>Weight Check</t>
  </si>
  <si>
    <t>Power plant</t>
  </si>
  <si>
    <t>Fuselage</t>
  </si>
  <si>
    <t>Tail</t>
  </si>
  <si>
    <t>Control surfaces</t>
  </si>
  <si>
    <t>Electrical system</t>
  </si>
  <si>
    <t>Tail wheel</t>
  </si>
  <si>
    <t>Furnishings</t>
  </si>
  <si>
    <t>Radio</t>
  </si>
  <si>
    <t>Pilot</t>
  </si>
  <si>
    <t>Student</t>
  </si>
  <si>
    <t>Fuselage CG at</t>
  </si>
  <si>
    <t>cm</t>
    <phoneticPr fontId="2" type="noConversion"/>
  </si>
  <si>
    <t>Additional landing gear load</t>
  </si>
  <si>
    <t>Landing load factor</t>
  </si>
  <si>
    <t>Gear load</t>
  </si>
  <si>
    <t>Actual Gear Load Factor</t>
  </si>
  <si>
    <t>Gear+Tail</t>
  </si>
  <si>
    <t>Arm</t>
  </si>
  <si>
    <t>Total BM</t>
  </si>
  <si>
    <t>Moment</t>
  </si>
  <si>
    <t>source</t>
  </si>
  <si>
    <t>Fuselage Air Load</t>
  </si>
  <si>
    <t>Step 1</t>
  </si>
  <si>
    <t>Location (m)</t>
  </si>
  <si>
    <t>Discretise fuselage across its length</t>
  </si>
  <si>
    <t>Tail load</t>
  </si>
  <si>
    <t>Integral</t>
  </si>
  <si>
    <t>Lift Moment Distribution (Nmm/m)</t>
  </si>
  <si>
    <t>Pitching Moment Distribution (Nm/m)</t>
  </si>
  <si>
    <t>Wing Weight Moment Distribution (Nmm/m)</t>
  </si>
  <si>
    <t>Fuel Weight Moment Distribution(Nmm/m)</t>
  </si>
  <si>
    <t>Step 2</t>
  </si>
  <si>
    <t>Pitching Moment (Nmm)</t>
  </si>
  <si>
    <t>Wing Weight Moment (Nmm)</t>
  </si>
  <si>
    <t>Fuel Weight Moment (Nmm)</t>
  </si>
  <si>
    <t>Moment Distributions</t>
  </si>
  <si>
    <t>Calculate reaction forces in wing spars</t>
  </si>
  <si>
    <t>Calculate shear and bending moment at each station</t>
  </si>
  <si>
    <t>Shear and Bending Moment on the Fuselage</t>
  </si>
  <si>
    <t>Fuselage Inertial Load</t>
  </si>
  <si>
    <t>Objective</t>
  </si>
  <si>
    <t>Calculate fuselage loads caused inertia</t>
  </si>
  <si>
    <t>Calculate fuselage loads caused by horizontal tail trim load</t>
  </si>
  <si>
    <t>Total</t>
  </si>
  <si>
    <t>kg*cm</t>
  </si>
  <si>
    <t>Aero load</t>
  </si>
  <si>
    <t>Find moment caused by maximum load on horizontal tail</t>
  </si>
  <si>
    <t>Calculate moment about reference caused inertial components</t>
  </si>
  <si>
    <t>Fuselage Gear Load</t>
  </si>
  <si>
    <t>Calculate fuselage loadds due to landing gear</t>
  </si>
  <si>
    <t>Total inertial load</t>
  </si>
  <si>
    <t>Resultant load</t>
  </si>
  <si>
    <t>Resultant moment</t>
  </si>
  <si>
    <t>Inertia item</t>
  </si>
  <si>
    <t>Calculate total inertial load at each station</t>
  </si>
  <si>
    <t>Total inertial moment</t>
  </si>
  <si>
    <t>Calculate resultant load and bending moment when including gear reaction load</t>
  </si>
  <si>
    <t>Loads</t>
  </si>
  <si>
    <t>Shear and Bending Moment on Fuselage</t>
  </si>
  <si>
    <t>Wing Properties</t>
  </si>
  <si>
    <t>Load Conditions</t>
  </si>
  <si>
    <t>Double-cell Case Properties</t>
  </si>
  <si>
    <t>Payload Weight Moment (Nmm)</t>
  </si>
  <si>
    <t xml:space="preserve"> Integral Contributions</t>
  </si>
  <si>
    <t>Combined  Moment (Nmm)</t>
  </si>
  <si>
    <t xml:space="preserve">Diagrams to illustrate the causes of the wing toques, their geometries, and their relationship with the total wing torque </t>
  </si>
  <si>
    <t>Step 3</t>
  </si>
  <si>
    <t>Define the wing geometry properties, case load conditions, and double-cell case properties.</t>
  </si>
  <si>
    <t>Step 4</t>
  </si>
  <si>
    <t>Evaluate the moment distribution integrals across the semispan and compare to the pointwise calculations</t>
  </si>
  <si>
    <t>Calculate the moment distributions and their integral contributions. Then calculate and visulaise the combined torque and its integral across the semispan.</t>
  </si>
  <si>
    <t xml:space="preserve"> Torque Integral from b to x  (Nmm)</t>
  </si>
  <si>
    <t>Pointwise Moment Calculation Results</t>
  </si>
  <si>
    <t>Moment Distribution Integral Results</t>
  </si>
  <si>
    <t>Evaluate and visualise the torques acting across the semispan due to structural and aerodynamic loads for a given design case</t>
  </si>
  <si>
    <t>Wing Layout</t>
  </si>
  <si>
    <t>Satep 1</t>
  </si>
  <si>
    <t>Unit</t>
  </si>
  <si>
    <t>Define geometric wing properties and understand the wing structure</t>
  </si>
  <si>
    <t>Define geometric wing  properties</t>
  </si>
  <si>
    <t>Geometric Wing Properties</t>
  </si>
  <si>
    <t>Diagram show the aircrafts basic dimensions</t>
  </si>
  <si>
    <t>Diagrams to show the structural components of the aircraft wing and their assembly</t>
  </si>
  <si>
    <t>Cross Section</t>
  </si>
  <si>
    <t>65-018</t>
  </si>
  <si>
    <t>Introduction</t>
  </si>
  <si>
    <t>Provide an introduction to the work sheet</t>
  </si>
  <si>
    <t>This worksheet presents an analysis of the of the loading of a Zenith CH650 light sport aircraft.</t>
  </si>
  <si>
    <t>It is broken into 8 sections, each presenting a step in the loading analysis. These can be accessed using the link below.</t>
  </si>
  <si>
    <t>Section</t>
  </si>
  <si>
    <t>Title</t>
  </si>
  <si>
    <t>n-V Diagram</t>
  </si>
  <si>
    <t> </t>
  </si>
  <si>
    <t>Front spar reaction force</t>
  </si>
  <si>
    <t xml:space="preserve">Spar reaction </t>
  </si>
  <si>
    <t>Rear spar reaction force</t>
  </si>
  <si>
    <t>Gear Load</t>
  </si>
  <si>
    <t>Vg</t>
  </si>
  <si>
    <t>n</t>
  </si>
  <si>
    <t>v</t>
  </si>
  <si>
    <t>Upper Ultimate Load Limit</t>
  </si>
  <si>
    <t>Limit Load Limits</t>
  </si>
  <si>
    <t>Lower Ultimate Load Limit</t>
  </si>
  <si>
    <t>Vgu</t>
  </si>
  <si>
    <t>Vau</t>
  </si>
  <si>
    <t>Calculate wing pitching moment at Vau and Vne (for use by later sheets)</t>
  </si>
  <si>
    <t xml:space="preserve">Calculated Design Airspeeds </t>
  </si>
  <si>
    <t>Definition</t>
  </si>
  <si>
    <t>Minimum speed at which positive limit load can be aerodynamically sustained</t>
  </si>
  <si>
    <t>Minimum speed at which negative limit load can be aerodynamically sustained</t>
  </si>
  <si>
    <t>Minimum speed at which positive ultimate load can be aerodynamically sustained</t>
  </si>
  <si>
    <t>Minimum speed at which negative ultimate load can be aerodynamically sustained</t>
  </si>
  <si>
    <t>ASTM F2245-10c</t>
  </si>
  <si>
    <t>Source: ASTM F2245-10c 5.2</t>
  </si>
  <si>
    <t>Note: Va and Vg are defined in ASTM F2245-10c 5.2 (see CS-LSA.15) but Vau and Vgu are are only defined in this worksheet</t>
  </si>
  <si>
    <t>CS-LSA</t>
  </si>
  <si>
    <t>Jet A-1 density</t>
  </si>
  <si>
    <t>Jet-A1 density</t>
  </si>
  <si>
    <t>Engine</t>
  </si>
  <si>
    <t>Ground Load</t>
  </si>
  <si>
    <t>Plotting Ground Reaction Force</t>
  </si>
  <si>
    <t>Combined Ground/Aero</t>
  </si>
  <si>
    <t>c/c_root</t>
  </si>
  <si>
    <t>Calculate Total Fground Reaction Force</t>
    <phoneticPr fontId="3" type="noConversion"/>
  </si>
  <si>
    <t>root
correction</t>
    <phoneticPr fontId="3" type="noConversion"/>
  </si>
  <si>
    <t xml:space="preserve"> Torque Integral from b to x  (Nm)</t>
    <phoneticPr fontId="3" type="noConversion"/>
  </si>
  <si>
    <t>Engine
Torque</t>
    <phoneticPr fontId="3" type="noConversion"/>
  </si>
  <si>
    <t>Engine Thrust Moment (Nmm)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</si>
</sst>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"/>
    <numFmt numFmtId="177" formatCode="0.0"/>
    <numFmt numFmtId="178" formatCode="0.00_ "/>
    <numFmt numFmtId="179" formatCode="0.000000000"/>
    <numFmt numFmtId="180" formatCode="0.00000_ "/>
    <numFmt numFmtId="181" formatCode="0.00000000_ "/>
  </numFmts>
  <fonts count="53"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b/>
      <sz val="20"/>
      <color rgb="FF000000"/>
      <name val="Arial"/>
      <family val="2"/>
    </font>
    <font>
      <sz val="9"/>
      <name val="等线"/>
      <family val="3"/>
      <charset val="134"/>
      <scheme val="minor"/>
    </font>
    <font>
      <b/>
      <sz val="11"/>
      <name val="Arial"/>
      <family val="2"/>
    </font>
    <font>
      <sz val="11"/>
      <color theme="1"/>
      <name val="Aptos"/>
      <family val="2"/>
    </font>
    <font>
      <b/>
      <sz val="18"/>
      <color theme="1"/>
      <name val="Aptos"/>
      <family val="2"/>
    </font>
    <font>
      <b/>
      <sz val="11"/>
      <color theme="1"/>
      <name val="Aptos"/>
      <family val="2"/>
    </font>
    <font>
      <b/>
      <sz val="11"/>
      <name val="Aptos"/>
      <family val="2"/>
    </font>
    <font>
      <sz val="11"/>
      <color theme="0"/>
      <name val="Aptos"/>
      <family val="2"/>
    </font>
    <font>
      <i/>
      <sz val="11"/>
      <color theme="1"/>
      <name val="Aptos"/>
      <family val="2"/>
    </font>
    <font>
      <b/>
      <sz val="14"/>
      <color theme="1"/>
      <name val="Aptos"/>
      <family val="2"/>
    </font>
    <font>
      <b/>
      <sz val="14"/>
      <color theme="0"/>
      <name val="Aptos"/>
      <family val="2"/>
    </font>
    <font>
      <sz val="14"/>
      <color theme="0"/>
      <name val="Aptos"/>
      <family val="2"/>
    </font>
    <font>
      <sz val="14"/>
      <color theme="0"/>
      <name val="Aptos"/>
      <family val="2"/>
    </font>
    <font>
      <b/>
      <sz val="18"/>
      <color theme="1"/>
      <name val="Aptos"/>
      <family val="2"/>
    </font>
    <font>
      <sz val="18"/>
      <color theme="1"/>
      <name val="Aptos"/>
      <family val="2"/>
    </font>
    <font>
      <b/>
      <sz val="14"/>
      <color theme="1"/>
      <name val="Aptos"/>
      <family val="2"/>
    </font>
    <font>
      <sz val="11"/>
      <color theme="1"/>
      <name val="Aptos"/>
      <family val="2"/>
    </font>
    <font>
      <b/>
      <sz val="12"/>
      <color theme="1"/>
      <name val="Aptos"/>
      <family val="2"/>
    </font>
    <font>
      <b/>
      <sz val="11"/>
      <color theme="1"/>
      <name val="Aptos"/>
      <family val="2"/>
    </font>
    <font>
      <sz val="14"/>
      <color theme="1"/>
      <name val="Aptos"/>
      <family val="2"/>
    </font>
    <font>
      <sz val="11"/>
      <name val="Aptos"/>
      <family val="2"/>
    </font>
    <font>
      <sz val="11"/>
      <color rgb="FFFF0000"/>
      <name val="Aptos"/>
      <family val="2"/>
    </font>
    <font>
      <b/>
      <sz val="14"/>
      <name val="Aptos"/>
      <family val="2"/>
    </font>
    <font>
      <sz val="11"/>
      <name val="Aptos"/>
      <family val="2"/>
    </font>
    <font>
      <sz val="11"/>
      <color theme="1"/>
      <name val="Aptos"/>
      <family val="2"/>
    </font>
    <font>
      <sz val="11"/>
      <color rgb="FFFF0000"/>
      <name val="Aptos"/>
      <family val="2"/>
    </font>
    <font>
      <i/>
      <sz val="11"/>
      <color theme="1"/>
      <name val="Aptos"/>
      <family val="2"/>
    </font>
    <font>
      <sz val="11"/>
      <color theme="0"/>
      <name val="Aptos"/>
      <family val="2"/>
    </font>
    <font>
      <sz val="14"/>
      <color theme="0"/>
      <name val="Aptos"/>
      <family val="2"/>
    </font>
    <font>
      <b/>
      <sz val="14"/>
      <color theme="0"/>
      <name val="Aptos"/>
      <family val="2"/>
    </font>
    <font>
      <i/>
      <sz val="11"/>
      <name val="Aptos"/>
      <family val="2"/>
    </font>
    <font>
      <b/>
      <sz val="11"/>
      <color theme="0"/>
      <name val="Aptos"/>
      <family val="2"/>
    </font>
    <font>
      <sz val="11"/>
      <color theme="0"/>
      <name val="等线"/>
      <family val="2"/>
      <scheme val="minor"/>
    </font>
    <font>
      <b/>
      <sz val="18"/>
      <color theme="1"/>
      <name val="等线"/>
      <family val="2"/>
      <scheme val="minor"/>
    </font>
    <font>
      <b/>
      <sz val="14"/>
      <color theme="1"/>
      <name val="等线"/>
      <family val="2"/>
      <scheme val="minor"/>
    </font>
    <font>
      <i/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theme="1"/>
      <name val="Aptos"/>
      <family val="2"/>
    </font>
    <font>
      <b/>
      <sz val="20"/>
      <color rgb="FF000000"/>
      <name val="Aptos"/>
      <family val="2"/>
    </font>
    <font>
      <u/>
      <sz val="11"/>
      <color theme="10"/>
      <name val="Aptos"/>
      <family val="2"/>
    </font>
    <font>
      <b/>
      <sz val="18"/>
      <color rgb="FF000000"/>
      <name val="Aptos"/>
      <family val="2"/>
    </font>
    <font>
      <sz val="18"/>
      <color theme="1"/>
      <name val="Aptos"/>
      <family val="2"/>
    </font>
    <font>
      <b/>
      <sz val="14"/>
      <color rgb="FF000000"/>
      <name val="Aptos"/>
      <family val="2"/>
    </font>
    <font>
      <sz val="14"/>
      <color theme="1"/>
      <name val="等线"/>
      <family val="2"/>
      <scheme val="minor"/>
    </font>
    <font>
      <b/>
      <sz val="14"/>
      <color theme="1"/>
      <name val="Aptos"/>
      <family val="2"/>
    </font>
    <font>
      <sz val="11"/>
      <color rgb="FF0000CD"/>
      <name val="Aptos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theme="1"/>
      <name val="Aptos"/>
      <family val="2"/>
    </font>
    <font>
      <sz val="10"/>
      <color rgb="FF000000"/>
      <name val="Helvetica Neue"/>
      <family val="2"/>
    </font>
    <font>
      <b/>
      <strike/>
      <sz val="11"/>
      <color rgb="FF00B0F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0000C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3">
    <xf numFmtId="0" fontId="0" fillId="0" borderId="0" xfId="0"/>
    <xf numFmtId="0" fontId="1" fillId="0" borderId="0" xfId="1"/>
    <xf numFmtId="0" fontId="4" fillId="0" borderId="0" xfId="0" applyFont="1"/>
    <xf numFmtId="0" fontId="0" fillId="0" borderId="1" xfId="0" applyBorder="1" applyAlignment="1">
      <alignment horizontal="right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177" fontId="5" fillId="0" borderId="1" xfId="0" applyNumberFormat="1" applyFont="1" applyBorder="1"/>
    <xf numFmtId="0" fontId="0" fillId="0" borderId="0" xfId="0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0" fontId="5" fillId="0" borderId="18" xfId="0" applyFont="1" applyBorder="1"/>
    <xf numFmtId="0" fontId="5" fillId="0" borderId="10" xfId="0" applyFont="1" applyBorder="1"/>
    <xf numFmtId="2" fontId="5" fillId="0" borderId="1" xfId="0" applyNumberFormat="1" applyFont="1" applyBorder="1" applyAlignment="1">
      <alignment horizontal="center"/>
    </xf>
    <xf numFmtId="0" fontId="5" fillId="2" borderId="19" xfId="0" applyFont="1" applyFill="1" applyBorder="1"/>
    <xf numFmtId="0" fontId="9" fillId="2" borderId="19" xfId="0" applyFont="1" applyFill="1" applyBorder="1"/>
    <xf numFmtId="177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  <xf numFmtId="177" fontId="5" fillId="0" borderId="1" xfId="0" applyNumberFormat="1" applyFont="1" applyBorder="1" applyAlignment="1">
      <alignment horizontal="right"/>
    </xf>
    <xf numFmtId="0" fontId="13" fillId="2" borderId="19" xfId="0" applyFont="1" applyFill="1" applyBorder="1"/>
    <xf numFmtId="0" fontId="5" fillId="4" borderId="21" xfId="0" applyFont="1" applyFill="1" applyBorder="1" applyAlignment="1">
      <alignment horizontal="justify" vertical="center"/>
    </xf>
    <xf numFmtId="0" fontId="18" fillId="4" borderId="21" xfId="0" applyFont="1" applyFill="1" applyBorder="1"/>
    <xf numFmtId="0" fontId="18" fillId="0" borderId="0" xfId="0" applyFont="1"/>
    <xf numFmtId="0" fontId="19" fillId="0" borderId="0" xfId="0" applyFont="1" applyAlignment="1">
      <alignment vertical="center"/>
    </xf>
    <xf numFmtId="0" fontId="18" fillId="0" borderId="10" xfId="0" applyFont="1" applyBorder="1"/>
    <xf numFmtId="0" fontId="18" fillId="0" borderId="1" xfId="0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2" fontId="18" fillId="0" borderId="1" xfId="0" applyNumberFormat="1" applyFont="1" applyBorder="1"/>
    <xf numFmtId="177" fontId="18" fillId="0" borderId="1" xfId="0" applyNumberFormat="1" applyFont="1" applyBorder="1"/>
    <xf numFmtId="178" fontId="18" fillId="0" borderId="1" xfId="0" applyNumberFormat="1" applyFont="1" applyBorder="1"/>
    <xf numFmtId="177" fontId="18" fillId="0" borderId="1" xfId="0" applyNumberFormat="1" applyFont="1" applyBorder="1" applyAlignment="1">
      <alignment horizontal="center"/>
    </xf>
    <xf numFmtId="177" fontId="5" fillId="0" borderId="1" xfId="0" applyNumberFormat="1" applyFont="1" applyBorder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vertical="center"/>
    </xf>
    <xf numFmtId="0" fontId="13" fillId="2" borderId="20" xfId="0" applyFont="1" applyFill="1" applyBorder="1" applyAlignment="1">
      <alignment horizontal="justify" vertical="center"/>
    </xf>
    <xf numFmtId="0" fontId="21" fillId="4" borderId="21" xfId="0" applyFont="1" applyFill="1" applyBorder="1"/>
    <xf numFmtId="0" fontId="20" fillId="0" borderId="1" xfId="0" applyFont="1" applyBorder="1" applyAlignment="1">
      <alignment horizontal="center"/>
    </xf>
    <xf numFmtId="177" fontId="18" fillId="0" borderId="0" xfId="0" applyNumberFormat="1" applyFont="1"/>
    <xf numFmtId="177" fontId="18" fillId="0" borderId="10" xfId="0" applyNumberFormat="1" applyFont="1" applyBorder="1"/>
    <xf numFmtId="0" fontId="22" fillId="0" borderId="1" xfId="0" applyFont="1" applyBorder="1" applyAlignment="1">
      <alignment horizontal="center"/>
    </xf>
    <xf numFmtId="0" fontId="5" fillId="2" borderId="0" xfId="0" applyFont="1" applyFill="1"/>
    <xf numFmtId="0" fontId="8" fillId="0" borderId="0" xfId="0" applyFont="1"/>
    <xf numFmtId="2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77" fontId="5" fillId="0" borderId="0" xfId="0" applyNumberFormat="1" applyFont="1"/>
    <xf numFmtId="0" fontId="5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2" borderId="25" xfId="0" applyFont="1" applyFill="1" applyBorder="1"/>
    <xf numFmtId="0" fontId="5" fillId="2" borderId="0" xfId="0" applyFont="1" applyFill="1" applyAlignment="1">
      <alignment horizontal="justify" vertical="center"/>
    </xf>
    <xf numFmtId="0" fontId="9" fillId="2" borderId="0" xfId="0" applyFont="1" applyFill="1" applyAlignment="1">
      <alignment horizontal="justify" vertical="center"/>
    </xf>
    <xf numFmtId="0" fontId="9" fillId="2" borderId="25" xfId="0" applyFont="1" applyFill="1" applyBorder="1"/>
    <xf numFmtId="0" fontId="18" fillId="0" borderId="1" xfId="0" applyFont="1" applyBorder="1"/>
    <xf numFmtId="0" fontId="7" fillId="0" borderId="0" xfId="0" applyFont="1"/>
    <xf numFmtId="0" fontId="7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right"/>
    </xf>
    <xf numFmtId="2" fontId="18" fillId="0" borderId="0" xfId="0" applyNumberFormat="1" applyFont="1"/>
    <xf numFmtId="0" fontId="18" fillId="0" borderId="16" xfId="0" applyFont="1" applyBorder="1"/>
    <xf numFmtId="0" fontId="18" fillId="0" borderId="17" xfId="0" applyFont="1" applyBorder="1"/>
    <xf numFmtId="0" fontId="18" fillId="0" borderId="2" xfId="0" applyFont="1" applyBorder="1"/>
    <xf numFmtId="0" fontId="18" fillId="0" borderId="14" xfId="0" applyFont="1" applyBorder="1"/>
    <xf numFmtId="0" fontId="18" fillId="0" borderId="15" xfId="0" applyFont="1" applyBorder="1"/>
    <xf numFmtId="0" fontId="18" fillId="0" borderId="3" xfId="0" applyFont="1" applyBorder="1"/>
    <xf numFmtId="0" fontId="22" fillId="0" borderId="0" xfId="0" applyFont="1" applyAlignment="1">
      <alignment horizontal="center"/>
    </xf>
    <xf numFmtId="0" fontId="18" fillId="4" borderId="10" xfId="0" applyFont="1" applyFill="1" applyBorder="1"/>
    <xf numFmtId="2" fontId="5" fillId="0" borderId="0" xfId="0" applyNumberFormat="1" applyFont="1"/>
    <xf numFmtId="0" fontId="26" fillId="0" borderId="0" xfId="0" applyFont="1"/>
    <xf numFmtId="0" fontId="26" fillId="0" borderId="10" xfId="0" applyFont="1" applyBorder="1"/>
    <xf numFmtId="0" fontId="27" fillId="0" borderId="0" xfId="0" applyFont="1"/>
    <xf numFmtId="0" fontId="25" fillId="0" borderId="0" xfId="0" applyFont="1"/>
    <xf numFmtId="2" fontId="5" fillId="0" borderId="9" xfId="0" applyNumberFormat="1" applyFont="1" applyBorder="1" applyAlignment="1">
      <alignment horizontal="center" vertical="center"/>
    </xf>
    <xf numFmtId="2" fontId="5" fillId="0" borderId="26" xfId="0" applyNumberFormat="1" applyFont="1" applyBorder="1" applyAlignment="1">
      <alignment horizontal="center" vertical="center"/>
    </xf>
    <xf numFmtId="2" fontId="5" fillId="0" borderId="2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18" fillId="0" borderId="0" xfId="0" applyFont="1" applyAlignment="1">
      <alignment horizontal="left"/>
    </xf>
    <xf numFmtId="0" fontId="26" fillId="0" borderId="14" xfId="0" applyFont="1" applyBorder="1" applyAlignment="1">
      <alignment horizontal="right"/>
    </xf>
    <xf numFmtId="0" fontId="26" fillId="0" borderId="28" xfId="0" applyFont="1" applyBorder="1" applyAlignment="1">
      <alignment horizontal="right"/>
    </xf>
    <xf numFmtId="0" fontId="26" fillId="0" borderId="15" xfId="0" applyFont="1" applyBorder="1" applyAlignment="1">
      <alignment horizontal="right"/>
    </xf>
    <xf numFmtId="0" fontId="5" fillId="4" borderId="10" xfId="0" applyFont="1" applyFill="1" applyBorder="1"/>
    <xf numFmtId="2" fontId="5" fillId="0" borderId="1" xfId="0" applyNumberFormat="1" applyFont="1" applyBorder="1"/>
    <xf numFmtId="0" fontId="9" fillId="2" borderId="0" xfId="0" applyFont="1" applyFill="1"/>
    <xf numFmtId="0" fontId="5" fillId="0" borderId="3" xfId="0" applyFont="1" applyBorder="1" applyAlignment="1">
      <alignment horizontal="center"/>
    </xf>
    <xf numFmtId="0" fontId="22" fillId="0" borderId="17" xfId="0" applyFont="1" applyBorder="1"/>
    <xf numFmtId="0" fontId="22" fillId="0" borderId="4" xfId="0" applyFont="1" applyBorder="1"/>
    <xf numFmtId="0" fontId="22" fillId="0" borderId="15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4" xfId="0" applyFont="1" applyBorder="1"/>
    <xf numFmtId="0" fontId="5" fillId="0" borderId="15" xfId="0" applyFont="1" applyBorder="1"/>
    <xf numFmtId="0" fontId="22" fillId="0" borderId="2" xfId="0" applyFont="1" applyBorder="1"/>
    <xf numFmtId="0" fontId="22" fillId="0" borderId="6" xfId="0" applyFont="1" applyBorder="1"/>
    <xf numFmtId="0" fontId="22" fillId="0" borderId="3" xfId="0" applyFont="1" applyBorder="1"/>
    <xf numFmtId="0" fontId="18" fillId="3" borderId="1" xfId="0" applyFont="1" applyFill="1" applyBorder="1"/>
    <xf numFmtId="0" fontId="18" fillId="0" borderId="7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left"/>
    </xf>
    <xf numFmtId="0" fontId="29" fillId="2" borderId="19" xfId="0" applyFont="1" applyFill="1" applyBorder="1"/>
    <xf numFmtId="0" fontId="23" fillId="0" borderId="3" xfId="0" applyFont="1" applyBorder="1"/>
    <xf numFmtId="0" fontId="5" fillId="0" borderId="28" xfId="0" applyFont="1" applyBorder="1" applyAlignment="1">
      <alignment horizontal="right"/>
    </xf>
    <xf numFmtId="177" fontId="22" fillId="3" borderId="3" xfId="0" applyNumberFormat="1" applyFont="1" applyFill="1" applyBorder="1"/>
    <xf numFmtId="0" fontId="22" fillId="3" borderId="1" xfId="0" applyFont="1" applyFill="1" applyBorder="1"/>
    <xf numFmtId="177" fontId="5" fillId="0" borderId="12" xfId="0" applyNumberFormat="1" applyFont="1" applyBorder="1" applyAlignment="1">
      <alignment horizontal="center"/>
    </xf>
    <xf numFmtId="0" fontId="5" fillId="3" borderId="16" xfId="0" applyFont="1" applyFill="1" applyBorder="1"/>
    <xf numFmtId="0" fontId="5" fillId="3" borderId="29" xfId="0" applyFont="1" applyFill="1" applyBorder="1"/>
    <xf numFmtId="0" fontId="5" fillId="3" borderId="17" xfId="0" applyFont="1" applyFill="1" applyBorder="1"/>
    <xf numFmtId="0" fontId="5" fillId="3" borderId="5" xfId="0" applyFont="1" applyFill="1" applyBorder="1"/>
    <xf numFmtId="0" fontId="5" fillId="3" borderId="0" xfId="0" applyFont="1" applyFill="1"/>
    <xf numFmtId="0" fontId="5" fillId="3" borderId="4" xfId="0" applyFont="1" applyFill="1" applyBorder="1"/>
    <xf numFmtId="0" fontId="5" fillId="3" borderId="14" xfId="0" applyFont="1" applyFill="1" applyBorder="1"/>
    <xf numFmtId="0" fontId="5" fillId="3" borderId="28" xfId="0" applyFont="1" applyFill="1" applyBorder="1"/>
    <xf numFmtId="0" fontId="5" fillId="3" borderId="15" xfId="0" applyFont="1" applyFill="1" applyBorder="1"/>
    <xf numFmtId="0" fontId="32" fillId="0" borderId="1" xfId="0" applyFont="1" applyBorder="1" applyAlignment="1">
      <alignment horizontal="center"/>
    </xf>
    <xf numFmtId="1" fontId="18" fillId="0" borderId="1" xfId="0" applyNumberFormat="1" applyFont="1" applyBorder="1"/>
    <xf numFmtId="1" fontId="18" fillId="0" borderId="1" xfId="0" applyNumberFormat="1" applyFont="1" applyBorder="1" applyAlignment="1">
      <alignment horizontal="center"/>
    </xf>
    <xf numFmtId="1" fontId="18" fillId="0" borderId="0" xfId="0" applyNumberFormat="1" applyFont="1"/>
    <xf numFmtId="0" fontId="10" fillId="0" borderId="1" xfId="0" applyFont="1" applyBorder="1"/>
    <xf numFmtId="0" fontId="10" fillId="0" borderId="8" xfId="0" applyFont="1" applyBorder="1"/>
    <xf numFmtId="0" fontId="10" fillId="0" borderId="13" xfId="0" applyFont="1" applyBorder="1"/>
    <xf numFmtId="0" fontId="10" fillId="0" borderId="7" xfId="0" applyFont="1" applyBorder="1"/>
    <xf numFmtId="177" fontId="5" fillId="0" borderId="3" xfId="0" applyNumberFormat="1" applyFont="1" applyBorder="1"/>
    <xf numFmtId="177" fontId="22" fillId="0" borderId="1" xfId="0" applyNumberFormat="1" applyFont="1" applyBorder="1"/>
    <xf numFmtId="177" fontId="10" fillId="0" borderId="1" xfId="0" applyNumberFormat="1" applyFont="1" applyBorder="1"/>
    <xf numFmtId="177" fontId="10" fillId="0" borderId="1" xfId="0" applyNumberFormat="1" applyFont="1" applyBorder="1" applyAlignment="1">
      <alignment horizontal="center"/>
    </xf>
    <xf numFmtId="177" fontId="5" fillId="0" borderId="8" xfId="0" applyNumberFormat="1" applyFont="1" applyBorder="1"/>
    <xf numFmtId="177" fontId="5" fillId="0" borderId="11" xfId="0" applyNumberFormat="1" applyFont="1" applyBorder="1"/>
    <xf numFmtId="0" fontId="5" fillId="0" borderId="5" xfId="0" applyFont="1" applyBorder="1"/>
    <xf numFmtId="0" fontId="5" fillId="2" borderId="30" xfId="0" applyFont="1" applyFill="1" applyBorder="1"/>
    <xf numFmtId="0" fontId="5" fillId="0" borderId="31" xfId="0" applyFont="1" applyBorder="1"/>
    <xf numFmtId="0" fontId="5" fillId="2" borderId="32" xfId="0" applyFont="1" applyFill="1" applyBorder="1"/>
    <xf numFmtId="0" fontId="10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33" xfId="0" applyNumberFormat="1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12" fillId="2" borderId="19" xfId="0" applyFont="1" applyFill="1" applyBorder="1" applyAlignment="1">
      <alignment horizontal="center"/>
    </xf>
    <xf numFmtId="0" fontId="12" fillId="2" borderId="19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center" vertical="top"/>
    </xf>
    <xf numFmtId="0" fontId="12" fillId="2" borderId="24" xfId="0" applyFont="1" applyFill="1" applyBorder="1" applyAlignment="1">
      <alignment horizontal="center" vertical="top"/>
    </xf>
    <xf numFmtId="0" fontId="13" fillId="2" borderId="19" xfId="0" applyFont="1" applyFill="1" applyBorder="1" applyAlignment="1">
      <alignment horizontal="center" vertical="top"/>
    </xf>
    <xf numFmtId="0" fontId="33" fillId="2" borderId="0" xfId="0" applyFont="1" applyFill="1" applyAlignment="1">
      <alignment horizontal="center" vertical="center"/>
    </xf>
    <xf numFmtId="0" fontId="5" fillId="0" borderId="37" xfId="0" applyFont="1" applyBorder="1"/>
    <xf numFmtId="0" fontId="5" fillId="2" borderId="30" xfId="0" applyFont="1" applyFill="1" applyBorder="1" applyAlignment="1">
      <alignment horizontal="justify" vertical="center"/>
    </xf>
    <xf numFmtId="177" fontId="5" fillId="0" borderId="37" xfId="0" applyNumberFormat="1" applyFont="1" applyBorder="1"/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0" fillId="2" borderId="0" xfId="0" applyFill="1"/>
    <xf numFmtId="0" fontId="0" fillId="4" borderId="31" xfId="0" applyFill="1" applyBorder="1"/>
    <xf numFmtId="0" fontId="34" fillId="2" borderId="0" xfId="0" applyFont="1" applyFill="1" applyAlignment="1">
      <alignment horizontal="center"/>
    </xf>
    <xf numFmtId="2" fontId="0" fillId="0" borderId="33" xfId="0" applyNumberFormat="1" applyBorder="1" applyAlignment="1">
      <alignment horizontal="center"/>
    </xf>
    <xf numFmtId="0" fontId="37" fillId="0" borderId="33" xfId="0" applyFont="1" applyBorder="1" applyAlignment="1">
      <alignment horizontal="center"/>
    </xf>
    <xf numFmtId="0" fontId="0" fillId="0" borderId="37" xfId="0" applyBorder="1"/>
    <xf numFmtId="0" fontId="38" fillId="2" borderId="0" xfId="0" applyFont="1" applyFill="1" applyAlignment="1">
      <alignment horizontal="center"/>
    </xf>
    <xf numFmtId="0" fontId="0" fillId="0" borderId="31" xfId="0" applyBorder="1"/>
    <xf numFmtId="0" fontId="0" fillId="0" borderId="34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37" fillId="0" borderId="0" xfId="0" applyFont="1" applyAlignment="1">
      <alignment horizontal="center"/>
    </xf>
    <xf numFmtId="0" fontId="13" fillId="2" borderId="19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vertical="center" wrapText="1"/>
    </xf>
    <xf numFmtId="0" fontId="0" fillId="0" borderId="33" xfId="0" applyBorder="1"/>
    <xf numFmtId="0" fontId="0" fillId="0" borderId="29" xfId="0" applyBorder="1"/>
    <xf numFmtId="0" fontId="0" fillId="2" borderId="32" xfId="0" applyFill="1" applyBorder="1"/>
    <xf numFmtId="0" fontId="0" fillId="2" borderId="30" xfId="0" applyFill="1" applyBorder="1"/>
    <xf numFmtId="0" fontId="39" fillId="2" borderId="0" xfId="0" applyFont="1" applyFill="1" applyAlignment="1">
      <alignment horizontal="justify" vertical="center"/>
    </xf>
    <xf numFmtId="0" fontId="40" fillId="2" borderId="0" xfId="0" applyFont="1" applyFill="1" applyAlignment="1">
      <alignment horizontal="center"/>
    </xf>
    <xf numFmtId="0" fontId="40" fillId="0" borderId="0" xfId="0" applyFont="1" applyAlignment="1">
      <alignment horizontal="center"/>
    </xf>
    <xf numFmtId="0" fontId="39" fillId="0" borderId="0" xfId="0" applyFont="1"/>
    <xf numFmtId="0" fontId="41" fillId="0" borderId="0" xfId="1" applyFont="1"/>
    <xf numFmtId="0" fontId="39" fillId="2" borderId="0" xfId="0" applyFont="1" applyFill="1"/>
    <xf numFmtId="0" fontId="39" fillId="4" borderId="31" xfId="0" applyFont="1" applyFill="1" applyBorder="1"/>
    <xf numFmtId="0" fontId="39" fillId="0" borderId="37" xfId="0" applyFont="1" applyBorder="1"/>
    <xf numFmtId="0" fontId="39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right" vertical="top"/>
    </xf>
    <xf numFmtId="0" fontId="39" fillId="0" borderId="33" xfId="0" applyFont="1" applyBorder="1" applyAlignment="1">
      <alignment horizontal="right"/>
    </xf>
    <xf numFmtId="0" fontId="47" fillId="0" borderId="33" xfId="1" applyFont="1" applyBorder="1" applyAlignment="1">
      <alignment horizontal="left" vertical="top" indent="1"/>
    </xf>
    <xf numFmtId="0" fontId="47" fillId="0" borderId="33" xfId="1" applyFont="1" applyBorder="1" applyAlignment="1">
      <alignment horizontal="left" indent="1"/>
    </xf>
    <xf numFmtId="0" fontId="39" fillId="0" borderId="31" xfId="0" applyFont="1" applyBorder="1"/>
    <xf numFmtId="0" fontId="39" fillId="2" borderId="30" xfId="0" applyFont="1" applyFill="1" applyBorder="1"/>
    <xf numFmtId="0" fontId="39" fillId="2" borderId="32" xfId="0" applyFont="1" applyFill="1" applyBorder="1"/>
    <xf numFmtId="0" fontId="13" fillId="2" borderId="25" xfId="0" applyFont="1" applyFill="1" applyBorder="1"/>
    <xf numFmtId="0" fontId="13" fillId="2" borderId="0" xfId="0" applyFont="1" applyFill="1" applyAlignment="1">
      <alignment horizontal="justify" vertical="center"/>
    </xf>
    <xf numFmtId="0" fontId="29" fillId="2" borderId="25" xfId="0" applyFont="1" applyFill="1" applyBorder="1"/>
    <xf numFmtId="0" fontId="30" fillId="2" borderId="0" xfId="0" applyFont="1" applyFill="1" applyAlignment="1">
      <alignment horizontal="justify" vertical="center"/>
    </xf>
    <xf numFmtId="0" fontId="31" fillId="2" borderId="19" xfId="0" applyFont="1" applyFill="1" applyBorder="1" applyAlignment="1">
      <alignment horizontal="center"/>
    </xf>
    <xf numFmtId="0" fontId="9" fillId="2" borderId="24" xfId="0" applyFont="1" applyFill="1" applyBorder="1"/>
    <xf numFmtId="0" fontId="12" fillId="2" borderId="0" xfId="0" applyFont="1" applyFill="1" applyAlignment="1">
      <alignment horizontal="center"/>
    </xf>
    <xf numFmtId="0" fontId="9" fillId="2" borderId="30" xfId="0" applyFont="1" applyFill="1" applyBorder="1"/>
    <xf numFmtId="0" fontId="50" fillId="0" borderId="0" xfId="0" applyFont="1"/>
    <xf numFmtId="0" fontId="10" fillId="0" borderId="39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/>
    </xf>
    <xf numFmtId="2" fontId="5" fillId="0" borderId="40" xfId="0" applyNumberFormat="1" applyFont="1" applyBorder="1" applyAlignment="1">
      <alignment horizontal="center" vertical="center"/>
    </xf>
    <xf numFmtId="2" fontId="5" fillId="0" borderId="41" xfId="0" applyNumberFormat="1" applyFont="1" applyBorder="1" applyAlignment="1">
      <alignment horizontal="center" vertical="center"/>
    </xf>
    <xf numFmtId="0" fontId="28" fillId="0" borderId="42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43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5" fillId="0" borderId="1" xfId="0" quotePrefix="1" applyFont="1" applyBorder="1"/>
    <xf numFmtId="0" fontId="51" fillId="0" borderId="0" xfId="0" applyFont="1"/>
    <xf numFmtId="0" fontId="5" fillId="0" borderId="5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77" fontId="0" fillId="0" borderId="0" xfId="0" applyNumberFormat="1"/>
    <xf numFmtId="179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78" fontId="18" fillId="0" borderId="0" xfId="0" applyNumberFormat="1" applyFont="1"/>
    <xf numFmtId="180" fontId="5" fillId="0" borderId="0" xfId="0" applyNumberFormat="1" applyFont="1"/>
    <xf numFmtId="181" fontId="18" fillId="0" borderId="0" xfId="0" applyNumberFormat="1" applyFont="1"/>
    <xf numFmtId="0" fontId="5" fillId="0" borderId="0" xfId="0" applyFont="1" applyAlignment="1">
      <alignment horizontal="left" vertical="center" wrapText="1"/>
    </xf>
    <xf numFmtId="0" fontId="42" fillId="4" borderId="31" xfId="0" applyFont="1" applyFill="1" applyBorder="1" applyAlignment="1">
      <alignment horizontal="center" vertical="center"/>
    </xf>
    <xf numFmtId="0" fontId="43" fillId="0" borderId="31" xfId="0" applyFont="1" applyBorder="1" applyAlignment="1">
      <alignment vertical="center"/>
    </xf>
    <xf numFmtId="0" fontId="44" fillId="4" borderId="31" xfId="0" applyFont="1" applyFill="1" applyBorder="1" applyAlignment="1">
      <alignment horizontal="center" vertical="center"/>
    </xf>
    <xf numFmtId="0" fontId="45" fillId="0" borderId="31" xfId="0" applyFont="1" applyBorder="1" applyAlignment="1">
      <alignment vertical="center"/>
    </xf>
    <xf numFmtId="0" fontId="46" fillId="0" borderId="31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34" fillId="2" borderId="0" xfId="0" applyFont="1" applyFill="1" applyAlignment="1">
      <alignment horizontal="center" wrapText="1"/>
    </xf>
    <xf numFmtId="0" fontId="0" fillId="0" borderId="0" xfId="0"/>
    <xf numFmtId="0" fontId="35" fillId="4" borderId="31" xfId="0" applyFont="1" applyFill="1" applyBorder="1" applyAlignment="1">
      <alignment horizontal="center" vertical="center"/>
    </xf>
    <xf numFmtId="0" fontId="35" fillId="0" borderId="31" xfId="0" applyFont="1" applyBorder="1" applyAlignment="1">
      <alignment horizontal="center" vertical="center"/>
    </xf>
    <xf numFmtId="0" fontId="36" fillId="4" borderId="31" xfId="0" applyFont="1" applyFill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0" fontId="36" fillId="4" borderId="31" xfId="0" applyFont="1" applyFill="1" applyBorder="1" applyAlignment="1">
      <alignment vertical="center"/>
    </xf>
    <xf numFmtId="0" fontId="36" fillId="0" borderId="31" xfId="0" applyFont="1" applyBorder="1" applyAlignment="1">
      <alignment vertic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34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14" fillId="2" borderId="19" xfId="0" applyFont="1" applyFill="1" applyBorder="1" applyAlignment="1">
      <alignment horizontal="center" vertical="top" wrapText="1"/>
    </xf>
    <xf numFmtId="0" fontId="13" fillId="2" borderId="19" xfId="0" applyFont="1" applyFill="1" applyBorder="1" applyAlignment="1">
      <alignment horizontal="center" vertical="top" wrapText="1"/>
    </xf>
    <xf numFmtId="0" fontId="6" fillId="4" borderId="21" xfId="0" applyFont="1" applyFill="1" applyBorder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0" borderId="8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1" fillId="4" borderId="21" xfId="0" applyFont="1" applyFill="1" applyBorder="1" applyAlignment="1">
      <alignment horizontal="justify" vertical="center"/>
    </xf>
    <xf numFmtId="0" fontId="5" fillId="0" borderId="1" xfId="0" applyFont="1" applyBorder="1" applyAlignment="1">
      <alignment horizontal="center"/>
    </xf>
    <xf numFmtId="0" fontId="0" fillId="0" borderId="19" xfId="0" applyBorder="1" applyAlignment="1">
      <alignment horizontal="center" vertical="top"/>
    </xf>
    <xf numFmtId="0" fontId="15" fillId="4" borderId="21" xfId="0" applyFont="1" applyFill="1" applyBorder="1" applyAlignment="1">
      <alignment horizontal="center" vertical="center"/>
    </xf>
    <xf numFmtId="0" fontId="16" fillId="4" borderId="21" xfId="0" applyFont="1" applyFill="1" applyBorder="1" applyAlignment="1">
      <alignment horizontal="center" vertical="center"/>
    </xf>
    <xf numFmtId="0" fontId="16" fillId="4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left" vertical="center"/>
    </xf>
    <xf numFmtId="0" fontId="18" fillId="0" borderId="1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0" fillId="0" borderId="19" xfId="0" applyBorder="1" applyAlignment="1">
      <alignment horizontal="center" vertical="top" wrapText="1"/>
    </xf>
    <xf numFmtId="0" fontId="21" fillId="4" borderId="21" xfId="0" applyFont="1" applyFill="1" applyBorder="1" applyAlignment="1">
      <alignment horizontal="center" vertical="center"/>
    </xf>
    <xf numFmtId="0" fontId="21" fillId="4" borderId="22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left" vertical="center"/>
    </xf>
    <xf numFmtId="0" fontId="0" fillId="0" borderId="19" xfId="0" applyBorder="1" applyAlignment="1">
      <alignment vertical="top"/>
    </xf>
    <xf numFmtId="0" fontId="0" fillId="0" borderId="25" xfId="0" applyBorder="1" applyAlignment="1">
      <alignment vertical="top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19" xfId="0" applyBorder="1"/>
    <xf numFmtId="0" fontId="5" fillId="0" borderId="36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9" fillId="2" borderId="0" xfId="0" applyFont="1" applyFill="1" applyAlignment="1">
      <alignment horizontal="center" vertical="top" wrapText="1"/>
    </xf>
    <xf numFmtId="0" fontId="34" fillId="0" borderId="0" xfId="0" applyFont="1" applyAlignment="1">
      <alignment horizontal="center" vertical="top" wrapText="1"/>
    </xf>
    <xf numFmtId="0" fontId="34" fillId="0" borderId="30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34" fillId="0" borderId="0" xfId="0" applyFont="1" applyAlignment="1">
      <alignment vertical="top" wrapText="1"/>
    </xf>
    <xf numFmtId="0" fontId="5" fillId="0" borderId="3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4" xfId="0" applyFont="1" applyBorder="1" applyAlignment="1">
      <alignment horizontal="center"/>
    </xf>
    <xf numFmtId="0" fontId="11" fillId="4" borderId="10" xfId="0" applyFont="1" applyFill="1" applyBorder="1" applyAlignment="1">
      <alignment horizontal="left" vertical="center"/>
    </xf>
    <xf numFmtId="0" fontId="5" fillId="4" borderId="10" xfId="0" applyFont="1" applyFill="1" applyBorder="1" applyAlignment="1">
      <alignment horizontal="left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22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17" fillId="4" borderId="10" xfId="0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30" fillId="2" borderId="19" xfId="0" applyFont="1" applyFill="1" applyBorder="1" applyAlignment="1">
      <alignment horizontal="center" vertical="top" wrapText="1"/>
    </xf>
    <xf numFmtId="0" fontId="11" fillId="4" borderId="10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0" fillId="0" borderId="2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2" fillId="0" borderId="2" xfId="0" applyFont="1" applyBorder="1" applyAlignment="1">
      <alignment horizontal="center"/>
    </xf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horizontal="left" vertical="center" wrapText="1"/>
    </xf>
    <xf numFmtId="0" fontId="21" fillId="4" borderId="10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center" wrapText="1"/>
    </xf>
    <xf numFmtId="0" fontId="10" fillId="0" borderId="17" xfId="0" applyFont="1" applyBorder="1" applyAlignment="1">
      <alignment horizontal="center" wrapText="1"/>
    </xf>
  </cellXfs>
  <cellStyles count="2">
    <cellStyle name="常规" xfId="0" builtinId="0"/>
    <cellStyle name="超链接" xfId="1" builtinId="8"/>
  </cellStyles>
  <dxfs count="4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8B4513"/>
      <color rgb="FF008080"/>
      <color rgb="FFDC143C"/>
      <color rgb="FF0000CD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V-n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 n-V diagram'!$F$14</c:f>
              <c:strCache>
                <c:ptCount val="1"/>
                <c:pt idx="0">
                  <c:v>Left up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diagram'!$F$15:$F$37</c:f>
              <c:numCache>
                <c:formatCode>0.0</c:formatCode>
                <c:ptCount val="23"/>
                <c:pt idx="0">
                  <c:v>0</c:v>
                </c:pt>
                <c:pt idx="1">
                  <c:v>1.1485740167509265E-2</c:v>
                </c:pt>
                <c:pt idx="2">
                  <c:v>5.0652114138715856E-2</c:v>
                </c:pt>
                <c:pt idx="3">
                  <c:v>5.9707471686780172E-2</c:v>
                </c:pt>
                <c:pt idx="4">
                  <c:v>7.17858760469329E-2</c:v>
                </c:pt>
                <c:pt idx="5">
                  <c:v>8.3731045821142533E-2</c:v>
                </c:pt>
                <c:pt idx="6">
                  <c:v>0.10337166150758337</c:v>
                </c:pt>
                <c:pt idx="7">
                  <c:v>0.14070031705198849</c:v>
                </c:pt>
                <c:pt idx="8">
                  <c:v>0.18377184268014823</c:v>
                </c:pt>
                <c:pt idx="9">
                  <c:v>0.23258623839206258</c:v>
                </c:pt>
                <c:pt idx="10">
                  <c:v>0.24303826194449607</c:v>
                </c:pt>
                <c:pt idx="11">
                  <c:v>0.25372000030027964</c:v>
                </c:pt>
                <c:pt idx="12">
                  <c:v>0.26463145345941347</c:v>
                </c:pt>
                <c:pt idx="13">
                  <c:v>0.27577262142189746</c:v>
                </c:pt>
                <c:pt idx="14">
                  <c:v>0.2871435041877316</c:v>
                </c:pt>
                <c:pt idx="15">
                  <c:v>2.2192556498711782</c:v>
                </c:pt>
                <c:pt idx="16">
                  <c:v>0.31057441412945053</c:v>
                </c:pt>
                <c:pt idx="17">
                  <c:v>0.32263444130533525</c:v>
                </c:pt>
                <c:pt idx="18">
                  <c:v>0.33492418328457013</c:v>
                </c:pt>
                <c:pt idx="19">
                  <c:v>0.34744364006715528</c:v>
                </c:pt>
                <c:pt idx="20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8-46FF-81A7-7DD817640B4F}"/>
            </c:ext>
          </c:extLst>
        </c:ser>
        <c:ser>
          <c:idx val="1"/>
          <c:order val="1"/>
          <c:tx>
            <c:strRef>
              <c:f>' n-V diagram'!$G$14</c:f>
              <c:strCache>
                <c:ptCount val="1"/>
                <c:pt idx="0">
                  <c:v>Left down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diagram'!$G$15:$G$37</c:f>
              <c:numCache>
                <c:formatCode>0.0</c:formatCode>
                <c:ptCount val="23"/>
                <c:pt idx="0">
                  <c:v>0</c:v>
                </c:pt>
                <c:pt idx="1">
                  <c:v>-7.766601240029509E-3</c:v>
                </c:pt>
                <c:pt idx="2">
                  <c:v>-3.4250711468530121E-2</c:v>
                </c:pt>
                <c:pt idx="3">
                  <c:v>-4.03738998861694E-2</c:v>
                </c:pt>
                <c:pt idx="4">
                  <c:v>-4.8541257750184426E-2</c:v>
                </c:pt>
                <c:pt idx="5">
                  <c:v>-5.6618523039815113E-2</c:v>
                </c:pt>
                <c:pt idx="6">
                  <c:v>-6.9899411160265559E-2</c:v>
                </c:pt>
                <c:pt idx="7">
                  <c:v>-9.5140865190361468E-2</c:v>
                </c:pt>
                <c:pt idx="8">
                  <c:v>-0.12426561984047214</c:v>
                </c:pt>
                <c:pt idx="9">
                  <c:v>-0.15727367511059748</c:v>
                </c:pt>
                <c:pt idx="10">
                  <c:v>-0.16434128223902439</c:v>
                </c:pt>
                <c:pt idx="11">
                  <c:v>-0.17156422139225183</c:v>
                </c:pt>
                <c:pt idx="12">
                  <c:v>-0.17894249257027986</c:v>
                </c:pt>
                <c:pt idx="13">
                  <c:v>-0.1864760957731085</c:v>
                </c:pt>
                <c:pt idx="14">
                  <c:v>-0.1941650310007377</c:v>
                </c:pt>
                <c:pt idx="15">
                  <c:v>-1.5006497997394368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18-46FF-81A7-7DD817640B4F}"/>
            </c:ext>
          </c:extLst>
        </c:ser>
        <c:ser>
          <c:idx val="2"/>
          <c:order val="2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579.672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diagram'!$J$15:$J$16</c:f>
              <c:numCache>
                <c:formatCode>General</c:formatCode>
                <c:ptCount val="2"/>
                <c:pt idx="0" formatCode="0">
                  <c:v>650.48702898185968</c:v>
                </c:pt>
                <c:pt idx="1">
                  <c:v>579.67200000000003</c:v>
                </c:pt>
              </c:numCache>
            </c:numRef>
          </c:xVal>
          <c:yVal>
            <c:numRef>
              <c:f>' n-V diagram'!$K$15:$K$16</c:f>
              <c:numCache>
                <c:formatCode>General</c:formatCode>
                <c:ptCount val="2"/>
                <c:pt idx="0">
                  <c:v>3.75</c:v>
                </c:pt>
                <c:pt idx="1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18-46FF-81A7-7DD817640B4F}"/>
            </c:ext>
          </c:extLst>
        </c:ser>
        <c:ser>
          <c:idx val="3"/>
          <c:order val="3"/>
          <c:tx>
            <c:v>Ultimate Load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diagram'!$J$21:$J$22</c:f>
              <c:numCache>
                <c:formatCode>General</c:formatCode>
                <c:ptCount val="2"/>
                <c:pt idx="0" formatCode="0">
                  <c:v>500.41079999999994</c:v>
                </c:pt>
                <c:pt idx="1">
                  <c:v>579.67200000000003</c:v>
                </c:pt>
              </c:numCache>
            </c:numRef>
          </c:xVal>
          <c:yVal>
            <c:numRef>
              <c:f>' n-V diagram'!$K$21:$K$22</c:f>
              <c:numCache>
                <c:formatCode>General</c:formatCode>
                <c:ptCount val="2"/>
                <c:pt idx="0">
                  <c:v>-1.5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18-46FF-81A7-7DD817640B4F}"/>
            </c:ext>
          </c:extLst>
        </c:ser>
        <c:ser>
          <c:idx val="4"/>
          <c:order val="4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579.672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diagram'!$J$27:$J$28</c:f>
              <c:numCache>
                <c:formatCode>General</c:formatCode>
                <c:ptCount val="2"/>
                <c:pt idx="0">
                  <c:v>579.67200000000003</c:v>
                </c:pt>
                <c:pt idx="1">
                  <c:v>579.67200000000003</c:v>
                </c:pt>
              </c:numCache>
            </c:numRef>
          </c:xVal>
          <c:yVal>
            <c:numRef>
              <c:f>' n-V diagram'!$K$27:$K$28</c:f>
              <c:numCache>
                <c:formatCode>General</c:formatCode>
                <c:ptCount val="2"/>
                <c:pt idx="0">
                  <c:v>3.75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18-46FF-81A7-7DD817640B4F}"/>
            </c:ext>
          </c:extLst>
        </c:ser>
        <c:ser>
          <c:idx val="5"/>
          <c:order val="5"/>
          <c:tx>
            <c:v>Limit Load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diagram'!$K$32:$K$33</c:f>
              <c:numCache>
                <c:formatCode>0</c:formatCode>
                <c:ptCount val="2"/>
                <c:pt idx="0">
                  <c:v>531.02987999999993</c:v>
                </c:pt>
                <c:pt idx="1">
                  <c:v>579.67200000000003</c:v>
                </c:pt>
              </c:numCache>
            </c:numRef>
          </c:xVal>
          <c:yVal>
            <c:numRef>
              <c:f>' n-V diagram'!$J$32:$J$34</c:f>
              <c:numCache>
                <c:formatCode>0.00</c:formatCode>
                <c:ptCount val="3"/>
                <c:pt idx="0">
                  <c:v>2.5</c:v>
                </c:pt>
                <c:pt idx="1">
                  <c:v>2.5</c:v>
                </c:pt>
                <c:pt idx="2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2-4507-BBB8-7DEDD0DB22E0}"/>
            </c:ext>
          </c:extLst>
        </c:ser>
        <c:ser>
          <c:idx val="6"/>
          <c:order val="6"/>
          <c:tx>
            <c:v>Lower Limit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diagram'!$K$34:$K$35</c:f>
              <c:numCache>
                <c:formatCode>0</c:formatCode>
                <c:ptCount val="2"/>
                <c:pt idx="0">
                  <c:v>408.63240000000002</c:v>
                </c:pt>
                <c:pt idx="1">
                  <c:v>579.67200000000003</c:v>
                </c:pt>
              </c:numCache>
            </c:numRef>
          </c:xVal>
          <c:yVal>
            <c:numRef>
              <c:f>' n-V diagram'!$J$34:$J$35</c:f>
              <c:numCache>
                <c:formatCode>0.00</c:formatCode>
                <c:ptCount val="2"/>
                <c:pt idx="0">
                  <c:v>-1.0004331998262912</c:v>
                </c:pt>
                <c:pt idx="1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2-4507-BBB8-7DEDD0DB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46368"/>
        <c:axId val="235948288"/>
      </c:scatterChart>
      <c:valAx>
        <c:axId val="235946368"/>
        <c:scaling>
          <c:orientation val="minMax"/>
          <c:max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EAS,</a:t>
                </a:r>
                <a:r>
                  <a:rPr lang="en-GB" baseline="0"/>
                  <a:t> km/hr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8288"/>
        <c:crosses val="autoZero"/>
        <c:crossBetween val="midCat"/>
        <c:majorUnit val="20"/>
      </c:valAx>
      <c:valAx>
        <c:axId val="23594828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Factor, 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6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diagram'!$F$42:$F$50</c:f>
              <c:numCache>
                <c:formatCode>0.00</c:formatCode>
                <c:ptCount val="9"/>
                <c:pt idx="0">
                  <c:v>0.13109999999999999</c:v>
                </c:pt>
                <c:pt idx="1">
                  <c:v>0.1136479930191972</c:v>
                </c:pt>
                <c:pt idx="2">
                  <c:v>9.619598603839441E-2</c:v>
                </c:pt>
                <c:pt idx="3">
                  <c:v>7.8743979057591618E-2</c:v>
                </c:pt>
                <c:pt idx="4">
                  <c:v>6.1291972076788825E-2</c:v>
                </c:pt>
                <c:pt idx="5">
                  <c:v>4.3839965095986033E-2</c:v>
                </c:pt>
                <c:pt idx="6">
                  <c:v>2.6387958115183241E-2</c:v>
                </c:pt>
                <c:pt idx="7">
                  <c:v>1.7661954624781845E-2</c:v>
                </c:pt>
                <c:pt idx="8">
                  <c:v>8.9359511343804487E-3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0672"/>
        <c:axId val="235982208"/>
      </c:scatterChart>
      <c:valAx>
        <c:axId val="2359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2208"/>
        <c:crosses val="autoZero"/>
        <c:crossBetween val="midCat"/>
      </c:valAx>
      <c:valAx>
        <c:axId val="2359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diagram'!$E$42:$E$50</c:f>
              <c:numCache>
                <c:formatCode>0.00</c:formatCode>
                <c:ptCount val="9"/>
                <c:pt idx="0">
                  <c:v>0.52</c:v>
                </c:pt>
                <c:pt idx="1">
                  <c:v>0.67483071553228624</c:v>
                </c:pt>
                <c:pt idx="2">
                  <c:v>0.82966143106457246</c:v>
                </c:pt>
                <c:pt idx="3">
                  <c:v>0.98449214659685869</c:v>
                </c:pt>
                <c:pt idx="4">
                  <c:v>1.1393228621291449</c:v>
                </c:pt>
                <c:pt idx="5">
                  <c:v>1.2941535776614312</c:v>
                </c:pt>
                <c:pt idx="6">
                  <c:v>1.4489842931937174</c:v>
                </c:pt>
                <c:pt idx="7">
                  <c:v>1.5263996509598605</c:v>
                </c:pt>
                <c:pt idx="8">
                  <c:v>1.6038150087260035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98592"/>
        <c:axId val="236008576"/>
      </c:scatterChart>
      <c:valAx>
        <c:axId val="2359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8576"/>
        <c:crosses val="autoZero"/>
        <c:crossBetween val="midCat"/>
      </c:valAx>
      <c:valAx>
        <c:axId val="2360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23205.596125000051</c:v>
                </c:pt>
                <c:pt idx="1">
                  <c:v>23205.596125000051</c:v>
                </c:pt>
                <c:pt idx="2">
                  <c:v>23205.596125000051</c:v>
                </c:pt>
                <c:pt idx="3">
                  <c:v>23205.596125000051</c:v>
                </c:pt>
                <c:pt idx="4">
                  <c:v>23205.596125000051</c:v>
                </c:pt>
                <c:pt idx="5">
                  <c:v>23205.596125000051</c:v>
                </c:pt>
                <c:pt idx="6">
                  <c:v>23205.596125000051</c:v>
                </c:pt>
                <c:pt idx="7">
                  <c:v>1926.3161250000003</c:v>
                </c:pt>
                <c:pt idx="8">
                  <c:v>1926.3161250000003</c:v>
                </c:pt>
                <c:pt idx="9">
                  <c:v>1926.3161250000003</c:v>
                </c:pt>
                <c:pt idx="10">
                  <c:v>1926.3161250000003</c:v>
                </c:pt>
                <c:pt idx="11">
                  <c:v>92055.691124999998</c:v>
                </c:pt>
                <c:pt idx="12">
                  <c:v>1926.3161250000003</c:v>
                </c:pt>
                <c:pt idx="13">
                  <c:v>1926.3161250000003</c:v>
                </c:pt>
                <c:pt idx="14">
                  <c:v>1926.3161250000003</c:v>
                </c:pt>
                <c:pt idx="15">
                  <c:v>1926.3161250000003</c:v>
                </c:pt>
                <c:pt idx="16">
                  <c:v>1926.3161250000003</c:v>
                </c:pt>
                <c:pt idx="17">
                  <c:v>1926.3161250000003</c:v>
                </c:pt>
                <c:pt idx="18">
                  <c:v>1926.3161250000003</c:v>
                </c:pt>
                <c:pt idx="19">
                  <c:v>1926.3161250000003</c:v>
                </c:pt>
                <c:pt idx="20">
                  <c:v>1926.3161250000003</c:v>
                </c:pt>
                <c:pt idx="21">
                  <c:v>1926.3161250000003</c:v>
                </c:pt>
                <c:pt idx="22">
                  <c:v>1926.3161250000003</c:v>
                </c:pt>
                <c:pt idx="23">
                  <c:v>1926.3161250000003</c:v>
                </c:pt>
                <c:pt idx="24">
                  <c:v>1926.3161250000003</c:v>
                </c:pt>
                <c:pt idx="25">
                  <c:v>1926.3161250000003</c:v>
                </c:pt>
                <c:pt idx="26">
                  <c:v>1926.3161250000003</c:v>
                </c:pt>
                <c:pt idx="27">
                  <c:v>1926.3161250000003</c:v>
                </c:pt>
                <c:pt idx="28">
                  <c:v>1926.3161250000003</c:v>
                </c:pt>
                <c:pt idx="29">
                  <c:v>1926.3161250000003</c:v>
                </c:pt>
                <c:pt idx="30">
                  <c:v>1926.3161250000003</c:v>
                </c:pt>
                <c:pt idx="31">
                  <c:v>1926.3161250000003</c:v>
                </c:pt>
                <c:pt idx="32">
                  <c:v>1926.3161250000003</c:v>
                </c:pt>
                <c:pt idx="33">
                  <c:v>1926.3161250000003</c:v>
                </c:pt>
                <c:pt idx="34">
                  <c:v>92055.691124999998</c:v>
                </c:pt>
                <c:pt idx="35">
                  <c:v>1926.3161250000003</c:v>
                </c:pt>
                <c:pt idx="36">
                  <c:v>1926.3161250000003</c:v>
                </c:pt>
                <c:pt idx="37">
                  <c:v>1926.3161250000003</c:v>
                </c:pt>
                <c:pt idx="38">
                  <c:v>1926.3161250000003</c:v>
                </c:pt>
                <c:pt idx="39">
                  <c:v>1926.3161250000003</c:v>
                </c:pt>
                <c:pt idx="40">
                  <c:v>1926.3161250000003</c:v>
                </c:pt>
                <c:pt idx="41">
                  <c:v>1926.3161250000003</c:v>
                </c:pt>
                <c:pt idx="42">
                  <c:v>1926.3161250000003</c:v>
                </c:pt>
                <c:pt idx="43">
                  <c:v>1926.3161250000003</c:v>
                </c:pt>
                <c:pt idx="44">
                  <c:v>1926.3161250000003</c:v>
                </c:pt>
                <c:pt idx="45">
                  <c:v>1926.3161250000003</c:v>
                </c:pt>
                <c:pt idx="46">
                  <c:v>1926.3161250000003</c:v>
                </c:pt>
                <c:pt idx="47">
                  <c:v>1926.3161250000003</c:v>
                </c:pt>
                <c:pt idx="48">
                  <c:v>1926.3161250000003</c:v>
                </c:pt>
                <c:pt idx="49">
                  <c:v>1926.3161250000003</c:v>
                </c:pt>
                <c:pt idx="50">
                  <c:v>1926.3161250000003</c:v>
                </c:pt>
                <c:pt idx="51">
                  <c:v>1926.3161250000003</c:v>
                </c:pt>
                <c:pt idx="52">
                  <c:v>1926.3161250000003</c:v>
                </c:pt>
                <c:pt idx="53">
                  <c:v>1926.3161250000003</c:v>
                </c:pt>
                <c:pt idx="54">
                  <c:v>1926.3161250000003</c:v>
                </c:pt>
                <c:pt idx="55">
                  <c:v>1926.3161250000003</c:v>
                </c:pt>
                <c:pt idx="56">
                  <c:v>1926.3161250000003</c:v>
                </c:pt>
                <c:pt idx="57">
                  <c:v>1926.3161250000003</c:v>
                </c:pt>
                <c:pt idx="58">
                  <c:v>1194.3159974999953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load'!$H$46:$H$105</c:f>
              <c:numCache>
                <c:formatCode>0.0</c:formatCode>
                <c:ptCount val="60"/>
                <c:pt idx="0">
                  <c:v>-442134.36124750093</c:v>
                </c:pt>
                <c:pt idx="1">
                  <c:v>-418928.76512250089</c:v>
                </c:pt>
                <c:pt idx="2">
                  <c:v>-395723.16899750079</c:v>
                </c:pt>
                <c:pt idx="3">
                  <c:v>-372517.57287250069</c:v>
                </c:pt>
                <c:pt idx="4">
                  <c:v>-349311.97674750065</c:v>
                </c:pt>
                <c:pt idx="5">
                  <c:v>-326106.38062250061</c:v>
                </c:pt>
                <c:pt idx="6">
                  <c:v>-302900.78449750051</c:v>
                </c:pt>
                <c:pt idx="7">
                  <c:v>-279695.1883725003</c:v>
                </c:pt>
                <c:pt idx="8">
                  <c:v>-277768.87224750029</c:v>
                </c:pt>
                <c:pt idx="9">
                  <c:v>-275842.55612250022</c:v>
                </c:pt>
                <c:pt idx="10">
                  <c:v>-273916.2399975002</c:v>
                </c:pt>
                <c:pt idx="11">
                  <c:v>-271989.92387250019</c:v>
                </c:pt>
                <c:pt idx="12">
                  <c:v>-179934.23274750027</c:v>
                </c:pt>
                <c:pt idx="13">
                  <c:v>-178007.91662250028</c:v>
                </c:pt>
                <c:pt idx="14">
                  <c:v>-176081.60049750027</c:v>
                </c:pt>
                <c:pt idx="15">
                  <c:v>-174155.28437250026</c:v>
                </c:pt>
                <c:pt idx="16">
                  <c:v>-172228.96824750025</c:v>
                </c:pt>
                <c:pt idx="17">
                  <c:v>-170302.65212250024</c:v>
                </c:pt>
                <c:pt idx="18">
                  <c:v>-168376.33599750022</c:v>
                </c:pt>
                <c:pt idx="19">
                  <c:v>-166450.01987250021</c:v>
                </c:pt>
                <c:pt idx="20">
                  <c:v>-164523.7037475002</c:v>
                </c:pt>
                <c:pt idx="21">
                  <c:v>-162597.38762250019</c:v>
                </c:pt>
                <c:pt idx="22">
                  <c:v>-160671.07149750018</c:v>
                </c:pt>
                <c:pt idx="23">
                  <c:v>-158744.75537250013</c:v>
                </c:pt>
                <c:pt idx="24">
                  <c:v>-156818.43924750012</c:v>
                </c:pt>
                <c:pt idx="25">
                  <c:v>-154892.12312250011</c:v>
                </c:pt>
                <c:pt idx="26">
                  <c:v>-152965.8069975001</c:v>
                </c:pt>
                <c:pt idx="27">
                  <c:v>-151039.49087250009</c:v>
                </c:pt>
                <c:pt idx="28">
                  <c:v>-149113.17474750007</c:v>
                </c:pt>
                <c:pt idx="29">
                  <c:v>-147186.85862250006</c:v>
                </c:pt>
                <c:pt idx="30">
                  <c:v>-145260.54249750005</c:v>
                </c:pt>
                <c:pt idx="31">
                  <c:v>-143334.22637250004</c:v>
                </c:pt>
                <c:pt idx="32">
                  <c:v>-141407.9102475</c:v>
                </c:pt>
                <c:pt idx="33">
                  <c:v>-139481.59412249998</c:v>
                </c:pt>
                <c:pt idx="34">
                  <c:v>-137555.27799749997</c:v>
                </c:pt>
                <c:pt idx="35">
                  <c:v>-45499.586872499996</c:v>
                </c:pt>
                <c:pt idx="36">
                  <c:v>-43573.270747499999</c:v>
                </c:pt>
                <c:pt idx="37">
                  <c:v>-41646.954622500001</c:v>
                </c:pt>
                <c:pt idx="38">
                  <c:v>-39720.638497500004</c:v>
                </c:pt>
                <c:pt idx="39">
                  <c:v>-37794.322372500006</c:v>
                </c:pt>
                <c:pt idx="40">
                  <c:v>-35868.006247500009</c:v>
                </c:pt>
                <c:pt idx="41">
                  <c:v>-33941.690122500011</c:v>
                </c:pt>
                <c:pt idx="42">
                  <c:v>-32015.37399750001</c:v>
                </c:pt>
                <c:pt idx="43">
                  <c:v>-30089.057872500009</c:v>
                </c:pt>
                <c:pt idx="44">
                  <c:v>-28162.741747500007</c:v>
                </c:pt>
                <c:pt idx="45">
                  <c:v>-26236.425622500006</c:v>
                </c:pt>
                <c:pt idx="46">
                  <c:v>-24310.109497500005</c:v>
                </c:pt>
                <c:pt idx="47">
                  <c:v>-22383.793372500004</c:v>
                </c:pt>
                <c:pt idx="48">
                  <c:v>-20457.477247500003</c:v>
                </c:pt>
                <c:pt idx="49">
                  <c:v>-18531.161122500002</c:v>
                </c:pt>
                <c:pt idx="50">
                  <c:v>-16604.8449975</c:v>
                </c:pt>
                <c:pt idx="51">
                  <c:v>-14678.528872499999</c:v>
                </c:pt>
                <c:pt idx="52">
                  <c:v>-12752.212747499998</c:v>
                </c:pt>
                <c:pt idx="53">
                  <c:v>-10825.896622499997</c:v>
                </c:pt>
                <c:pt idx="54">
                  <c:v>-8899.5804974999955</c:v>
                </c:pt>
                <c:pt idx="55">
                  <c:v>-6973.2643724999962</c:v>
                </c:pt>
                <c:pt idx="56">
                  <c:v>-5046.9482474999959</c:v>
                </c:pt>
                <c:pt idx="57">
                  <c:v>-3120.6321224999956</c:v>
                </c:pt>
                <c:pt idx="58">
                  <c:v>-1194.3159974999953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load'!$J$46:$J$105</c:f>
              <c:numCache>
                <c:formatCode>0.0</c:formatCode>
                <c:ptCount val="60"/>
                <c:pt idx="0">
                  <c:v>-3988498.9490321171</c:v>
                </c:pt>
                <c:pt idx="1">
                  <c:v>-3773233.1674396168</c:v>
                </c:pt>
                <c:pt idx="2">
                  <c:v>-3569570.183909616</c:v>
                </c:pt>
                <c:pt idx="3">
                  <c:v>-3377509.9984421157</c:v>
                </c:pt>
                <c:pt idx="4">
                  <c:v>-3197052.6110371156</c:v>
                </c:pt>
                <c:pt idx="5">
                  <c:v>-3028198.021694615</c:v>
                </c:pt>
                <c:pt idx="6">
                  <c:v>-2870946.2304146145</c:v>
                </c:pt>
                <c:pt idx="7">
                  <c:v>-2725297.2371971146</c:v>
                </c:pt>
                <c:pt idx="8">
                  <c:v>-2585931.2220421149</c:v>
                </c:pt>
                <c:pt idx="9">
                  <c:v>-2447528.3649496147</c:v>
                </c:pt>
                <c:pt idx="10">
                  <c:v>-2310088.6659196145</c:v>
                </c:pt>
                <c:pt idx="11">
                  <c:v>-2173612.1249521142</c:v>
                </c:pt>
                <c:pt idx="12">
                  <c:v>-2060631.0857971145</c:v>
                </c:pt>
                <c:pt idx="13">
                  <c:v>-1971145.5484546141</c:v>
                </c:pt>
                <c:pt idx="14">
                  <c:v>-1882623.1691746141</c:v>
                </c:pt>
                <c:pt idx="15">
                  <c:v>-1795063.9479571141</c:v>
                </c:pt>
                <c:pt idx="16">
                  <c:v>-1708467.884802114</c:v>
                </c:pt>
                <c:pt idx="17">
                  <c:v>-1622834.9797096138</c:v>
                </c:pt>
                <c:pt idx="18">
                  <c:v>-1538165.2326796136</c:v>
                </c:pt>
                <c:pt idx="19">
                  <c:v>-1454458.6437121134</c:v>
                </c:pt>
                <c:pt idx="20">
                  <c:v>-1371715.2128071131</c:v>
                </c:pt>
                <c:pt idx="21">
                  <c:v>-1289934.9399646132</c:v>
                </c:pt>
                <c:pt idx="22">
                  <c:v>-1209117.8251846132</c:v>
                </c:pt>
                <c:pt idx="23">
                  <c:v>-1129263.868467113</c:v>
                </c:pt>
                <c:pt idx="24">
                  <c:v>-1050373.0698121127</c:v>
                </c:pt>
                <c:pt idx="25">
                  <c:v>-972445.42921961262</c:v>
                </c:pt>
                <c:pt idx="26">
                  <c:v>-895480.94668961258</c:v>
                </c:pt>
                <c:pt idx="27">
                  <c:v>-819479.62222211261</c:v>
                </c:pt>
                <c:pt idx="28">
                  <c:v>-744441.45581711247</c:v>
                </c:pt>
                <c:pt idx="29">
                  <c:v>-670366.44747461251</c:v>
                </c:pt>
                <c:pt idx="30">
                  <c:v>-597254.59719461238</c:v>
                </c:pt>
                <c:pt idx="31">
                  <c:v>-525105.90497711254</c:v>
                </c:pt>
                <c:pt idx="32">
                  <c:v>-453920.37082211243</c:v>
                </c:pt>
                <c:pt idx="33">
                  <c:v>-383697.99472961249</c:v>
                </c:pt>
                <c:pt idx="34">
                  <c:v>-314438.77669961244</c:v>
                </c:pt>
                <c:pt idx="35">
                  <c:v>-268675.06048211246</c:v>
                </c:pt>
                <c:pt idx="36">
                  <c:v>-246406.84607711251</c:v>
                </c:pt>
                <c:pt idx="37">
                  <c:v>-225101.78973461254</c:v>
                </c:pt>
                <c:pt idx="38">
                  <c:v>-204759.89145461252</c:v>
                </c:pt>
                <c:pt idx="39">
                  <c:v>-185381.15123711253</c:v>
                </c:pt>
                <c:pt idx="40">
                  <c:v>-166965.56908211252</c:v>
                </c:pt>
                <c:pt idx="41">
                  <c:v>-149513.14498961251</c:v>
                </c:pt>
                <c:pt idx="42">
                  <c:v>-133023.87895961254</c:v>
                </c:pt>
                <c:pt idx="43">
                  <c:v>-117497.77099211251</c:v>
                </c:pt>
                <c:pt idx="44">
                  <c:v>-102934.82108711252</c:v>
                </c:pt>
                <c:pt idx="45">
                  <c:v>-89335.02924461251</c:v>
                </c:pt>
                <c:pt idx="46">
                  <c:v>-76698.395464612491</c:v>
                </c:pt>
                <c:pt idx="47">
                  <c:v>-65024.919747112486</c:v>
                </c:pt>
                <c:pt idx="48">
                  <c:v>-54314.60209211248</c:v>
                </c:pt>
                <c:pt idx="49">
                  <c:v>-44567.44249961248</c:v>
                </c:pt>
                <c:pt idx="50">
                  <c:v>-35783.440969612479</c:v>
                </c:pt>
                <c:pt idx="51">
                  <c:v>-27962.597502112487</c:v>
                </c:pt>
                <c:pt idx="52">
                  <c:v>-21104.912097112487</c:v>
                </c:pt>
                <c:pt idx="53">
                  <c:v>-15210.384754612487</c:v>
                </c:pt>
                <c:pt idx="54">
                  <c:v>-10279.01547461249</c:v>
                </c:pt>
                <c:pt idx="55">
                  <c:v>-6310.8042571124915</c:v>
                </c:pt>
                <c:pt idx="56">
                  <c:v>-3305.7511021124942</c:v>
                </c:pt>
                <c:pt idx="57">
                  <c:v>-1263.8560096124963</c:v>
                </c:pt>
                <c:pt idx="58">
                  <c:v>-185.11897961249852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514225324258"/>
          <c:y val="6.4431176941294757E-2"/>
          <c:w val="0.81902170782179351"/>
          <c:h val="0.8170681974881048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23205.596125000051</c:v>
                </c:pt>
                <c:pt idx="1">
                  <c:v>23205.596125000051</c:v>
                </c:pt>
                <c:pt idx="2">
                  <c:v>23205.596125000051</c:v>
                </c:pt>
                <c:pt idx="3">
                  <c:v>23205.596125000051</c:v>
                </c:pt>
                <c:pt idx="4">
                  <c:v>23205.596125000051</c:v>
                </c:pt>
                <c:pt idx="5">
                  <c:v>23205.596125000051</c:v>
                </c:pt>
                <c:pt idx="6">
                  <c:v>23205.596125000051</c:v>
                </c:pt>
                <c:pt idx="7">
                  <c:v>1926.3161250000003</c:v>
                </c:pt>
                <c:pt idx="8">
                  <c:v>1926.3161250000003</c:v>
                </c:pt>
                <c:pt idx="9">
                  <c:v>1926.3161250000003</c:v>
                </c:pt>
                <c:pt idx="10">
                  <c:v>1926.3161250000003</c:v>
                </c:pt>
                <c:pt idx="11">
                  <c:v>92055.691124999998</c:v>
                </c:pt>
                <c:pt idx="12">
                  <c:v>1926.3161250000003</c:v>
                </c:pt>
                <c:pt idx="13">
                  <c:v>1926.3161250000003</c:v>
                </c:pt>
                <c:pt idx="14">
                  <c:v>1926.3161250000003</c:v>
                </c:pt>
                <c:pt idx="15">
                  <c:v>1926.3161250000003</c:v>
                </c:pt>
                <c:pt idx="16">
                  <c:v>1926.3161250000003</c:v>
                </c:pt>
                <c:pt idx="17">
                  <c:v>1926.3161250000003</c:v>
                </c:pt>
                <c:pt idx="18">
                  <c:v>1926.3161250000003</c:v>
                </c:pt>
                <c:pt idx="19">
                  <c:v>1926.3161250000003</c:v>
                </c:pt>
                <c:pt idx="20">
                  <c:v>1926.3161250000003</c:v>
                </c:pt>
                <c:pt idx="21">
                  <c:v>1926.3161250000003</c:v>
                </c:pt>
                <c:pt idx="22">
                  <c:v>1926.3161250000003</c:v>
                </c:pt>
                <c:pt idx="23">
                  <c:v>1926.3161250000003</c:v>
                </c:pt>
                <c:pt idx="24">
                  <c:v>1926.3161250000003</c:v>
                </c:pt>
                <c:pt idx="25">
                  <c:v>1926.3161250000003</c:v>
                </c:pt>
                <c:pt idx="26">
                  <c:v>1926.3161250000003</c:v>
                </c:pt>
                <c:pt idx="27">
                  <c:v>1926.3161250000003</c:v>
                </c:pt>
                <c:pt idx="28">
                  <c:v>1926.3161250000003</c:v>
                </c:pt>
                <c:pt idx="29">
                  <c:v>1926.3161250000003</c:v>
                </c:pt>
                <c:pt idx="30">
                  <c:v>1926.3161250000003</c:v>
                </c:pt>
                <c:pt idx="31">
                  <c:v>1926.3161250000003</c:v>
                </c:pt>
                <c:pt idx="32">
                  <c:v>1926.3161250000003</c:v>
                </c:pt>
                <c:pt idx="33">
                  <c:v>1926.3161250000003</c:v>
                </c:pt>
                <c:pt idx="34">
                  <c:v>92055.691124999998</c:v>
                </c:pt>
                <c:pt idx="35">
                  <c:v>1926.3161250000003</c:v>
                </c:pt>
                <c:pt idx="36">
                  <c:v>1926.3161250000003</c:v>
                </c:pt>
                <c:pt idx="37">
                  <c:v>1926.3161250000003</c:v>
                </c:pt>
                <c:pt idx="38">
                  <c:v>1926.3161250000003</c:v>
                </c:pt>
                <c:pt idx="39">
                  <c:v>1926.3161250000003</c:v>
                </c:pt>
                <c:pt idx="40">
                  <c:v>1926.3161250000003</c:v>
                </c:pt>
                <c:pt idx="41">
                  <c:v>1926.3161250000003</c:v>
                </c:pt>
                <c:pt idx="42">
                  <c:v>1926.3161250000003</c:v>
                </c:pt>
                <c:pt idx="43">
                  <c:v>1926.3161250000003</c:v>
                </c:pt>
                <c:pt idx="44">
                  <c:v>1926.3161250000003</c:v>
                </c:pt>
                <c:pt idx="45">
                  <c:v>1926.3161250000003</c:v>
                </c:pt>
                <c:pt idx="46">
                  <c:v>1926.3161250000003</c:v>
                </c:pt>
                <c:pt idx="47">
                  <c:v>1926.3161250000003</c:v>
                </c:pt>
                <c:pt idx="48">
                  <c:v>1926.3161250000003</c:v>
                </c:pt>
                <c:pt idx="49">
                  <c:v>1926.3161250000003</c:v>
                </c:pt>
                <c:pt idx="50">
                  <c:v>1926.3161250000003</c:v>
                </c:pt>
                <c:pt idx="51">
                  <c:v>1926.3161250000003</c:v>
                </c:pt>
                <c:pt idx="52">
                  <c:v>1926.3161250000003</c:v>
                </c:pt>
                <c:pt idx="53">
                  <c:v>1926.3161250000003</c:v>
                </c:pt>
                <c:pt idx="54">
                  <c:v>1926.3161250000003</c:v>
                </c:pt>
                <c:pt idx="55">
                  <c:v>1926.3161250000003</c:v>
                </c:pt>
                <c:pt idx="56">
                  <c:v>1926.3161250000003</c:v>
                </c:pt>
                <c:pt idx="57">
                  <c:v>1926.3161250000003</c:v>
                </c:pt>
                <c:pt idx="58">
                  <c:v>1194.3159974999953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6-427F-8E6F-22E9CF36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805338062137304"/>
              <c:y val="0.8849315447570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5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1.2397979031795936E-2"/>
              <c:y val="0.10366040111520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23205.596125000051</c:v>
                </c:pt>
                <c:pt idx="1">
                  <c:v>23205.596125000051</c:v>
                </c:pt>
                <c:pt idx="2">
                  <c:v>23205.596125000051</c:v>
                </c:pt>
                <c:pt idx="3">
                  <c:v>23205.596125000051</c:v>
                </c:pt>
                <c:pt idx="4">
                  <c:v>23205.596125000051</c:v>
                </c:pt>
                <c:pt idx="5">
                  <c:v>23205.596125000051</c:v>
                </c:pt>
                <c:pt idx="6">
                  <c:v>23205.596125000051</c:v>
                </c:pt>
                <c:pt idx="7">
                  <c:v>1926.3161250000003</c:v>
                </c:pt>
                <c:pt idx="8">
                  <c:v>1926.3161250000003</c:v>
                </c:pt>
                <c:pt idx="9">
                  <c:v>1926.3161250000003</c:v>
                </c:pt>
                <c:pt idx="10">
                  <c:v>1926.3161250000003</c:v>
                </c:pt>
                <c:pt idx="11">
                  <c:v>92055.691124999998</c:v>
                </c:pt>
                <c:pt idx="12">
                  <c:v>1926.3161250000003</c:v>
                </c:pt>
                <c:pt idx="13">
                  <c:v>1926.3161250000003</c:v>
                </c:pt>
                <c:pt idx="14">
                  <c:v>1926.3161250000003</c:v>
                </c:pt>
                <c:pt idx="15">
                  <c:v>1926.3161250000003</c:v>
                </c:pt>
                <c:pt idx="16">
                  <c:v>1926.3161250000003</c:v>
                </c:pt>
                <c:pt idx="17">
                  <c:v>1926.3161250000003</c:v>
                </c:pt>
                <c:pt idx="18">
                  <c:v>1926.3161250000003</c:v>
                </c:pt>
                <c:pt idx="19">
                  <c:v>1926.3161250000003</c:v>
                </c:pt>
                <c:pt idx="20">
                  <c:v>1926.3161250000003</c:v>
                </c:pt>
                <c:pt idx="21">
                  <c:v>1926.3161250000003</c:v>
                </c:pt>
                <c:pt idx="22">
                  <c:v>1926.3161250000003</c:v>
                </c:pt>
                <c:pt idx="23">
                  <c:v>1926.3161250000003</c:v>
                </c:pt>
                <c:pt idx="24">
                  <c:v>1926.3161250000003</c:v>
                </c:pt>
                <c:pt idx="25">
                  <c:v>1926.3161250000003</c:v>
                </c:pt>
                <c:pt idx="26">
                  <c:v>1926.3161250000003</c:v>
                </c:pt>
                <c:pt idx="27">
                  <c:v>1926.3161250000003</c:v>
                </c:pt>
                <c:pt idx="28">
                  <c:v>1926.3161250000003</c:v>
                </c:pt>
                <c:pt idx="29">
                  <c:v>1926.3161250000003</c:v>
                </c:pt>
                <c:pt idx="30">
                  <c:v>1926.3161250000003</c:v>
                </c:pt>
                <c:pt idx="31">
                  <c:v>1926.3161250000003</c:v>
                </c:pt>
                <c:pt idx="32">
                  <c:v>1926.3161250000003</c:v>
                </c:pt>
                <c:pt idx="33">
                  <c:v>1926.3161250000003</c:v>
                </c:pt>
                <c:pt idx="34">
                  <c:v>92055.691124999998</c:v>
                </c:pt>
                <c:pt idx="35">
                  <c:v>1926.3161250000003</c:v>
                </c:pt>
                <c:pt idx="36">
                  <c:v>1926.3161250000003</c:v>
                </c:pt>
                <c:pt idx="37">
                  <c:v>1926.3161250000003</c:v>
                </c:pt>
                <c:pt idx="38">
                  <c:v>1926.3161250000003</c:v>
                </c:pt>
                <c:pt idx="39">
                  <c:v>1926.3161250000003</c:v>
                </c:pt>
                <c:pt idx="40">
                  <c:v>1926.3161250000003</c:v>
                </c:pt>
                <c:pt idx="41">
                  <c:v>1926.3161250000003</c:v>
                </c:pt>
                <c:pt idx="42">
                  <c:v>1926.3161250000003</c:v>
                </c:pt>
                <c:pt idx="43">
                  <c:v>1926.3161250000003</c:v>
                </c:pt>
                <c:pt idx="44">
                  <c:v>1926.3161250000003</c:v>
                </c:pt>
                <c:pt idx="45">
                  <c:v>1926.3161250000003</c:v>
                </c:pt>
                <c:pt idx="46">
                  <c:v>1926.3161250000003</c:v>
                </c:pt>
                <c:pt idx="47">
                  <c:v>1926.3161250000003</c:v>
                </c:pt>
                <c:pt idx="48">
                  <c:v>1926.3161250000003</c:v>
                </c:pt>
                <c:pt idx="49">
                  <c:v>1926.3161250000003</c:v>
                </c:pt>
                <c:pt idx="50">
                  <c:v>1926.3161250000003</c:v>
                </c:pt>
                <c:pt idx="51">
                  <c:v>1926.3161250000003</c:v>
                </c:pt>
                <c:pt idx="52">
                  <c:v>1926.3161250000003</c:v>
                </c:pt>
                <c:pt idx="53">
                  <c:v>1926.3161250000003</c:v>
                </c:pt>
                <c:pt idx="54">
                  <c:v>1926.3161250000003</c:v>
                </c:pt>
                <c:pt idx="55">
                  <c:v>1926.3161250000003</c:v>
                </c:pt>
                <c:pt idx="56">
                  <c:v>1926.3161250000003</c:v>
                </c:pt>
                <c:pt idx="57">
                  <c:v>1926.3161250000003</c:v>
                </c:pt>
                <c:pt idx="58">
                  <c:v>1194.3159974999953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5-4FC4-A0DB-BDCFCA64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-3161205.4010093315</c:v>
                </c:pt>
                <c:pt idx="1">
                  <c:v>-3092509.5637686662</c:v>
                </c:pt>
                <c:pt idx="2">
                  <c:v>-3023833.7250007973</c:v>
                </c:pt>
                <c:pt idx="3">
                  <c:v>-2955197.9006645284</c:v>
                </c:pt>
                <c:pt idx="4">
                  <c:v>-2886622.1417672564</c:v>
                </c:pt>
                <c:pt idx="5">
                  <c:v>-2818126.5520815053</c:v>
                </c:pt>
                <c:pt idx="6">
                  <c:v>-2749731.3060943452</c:v>
                </c:pt>
                <c:pt idx="7">
                  <c:v>-2681456.6672710702</c:v>
                </c:pt>
                <c:pt idx="8">
                  <c:v>-2613323.0067177657</c:v>
                </c:pt>
                <c:pt idx="9">
                  <c:v>-2545350.8223316404</c:v>
                </c:pt>
                <c:pt idx="10">
                  <c:v>-2477560.7585332175</c:v>
                </c:pt>
                <c:pt idx="11">
                  <c:v>-2409973.6266808603</c:v>
                </c:pt>
                <c:pt idx="12">
                  <c:v>-2342610.4262756854</c:v>
                </c:pt>
                <c:pt idx="13">
                  <c:v>-2275492.3670739545</c:v>
                </c:pt>
                <c:pt idx="14">
                  <c:v>-2208640.8922346225</c:v>
                </c:pt>
                <c:pt idx="15">
                  <c:v>-2142077.7026421558</c:v>
                </c:pt>
                <c:pt idx="16">
                  <c:v>-2075824.7825592761</c:v>
                </c:pt>
                <c:pt idx="17">
                  <c:v>-2009904.4267812483</c:v>
                </c:pt>
                <c:pt idx="18">
                  <c:v>-1944339.2694831882</c:v>
                </c:pt>
                <c:pt idx="19">
                  <c:v>-1879152.3149750298</c:v>
                </c:pt>
                <c:pt idx="20">
                  <c:v>-1814366.9706059415</c:v>
                </c:pt>
                <c:pt idx="21">
                  <c:v>-1750007.0820918377</c:v>
                </c:pt>
                <c:pt idx="22">
                  <c:v>-1686096.9715770753</c:v>
                </c:pt>
                <c:pt idx="23">
                  <c:v>-1622661.4787856145</c:v>
                </c:pt>
                <c:pt idx="24">
                  <c:v>-1559726.0056692413</c:v>
                </c:pt>
                <c:pt idx="25">
                  <c:v>-1497316.5650225892</c:v>
                </c:pt>
                <c:pt idx="26">
                  <c:v>-1435459.8336088876</c:v>
                </c:pt>
                <c:pt idx="27">
                  <c:v>-1374183.2104292428</c:v>
                </c:pt>
                <c:pt idx="28">
                  <c:v>-1313514.8808753542</c:v>
                </c:pt>
                <c:pt idx="29">
                  <c:v>-1253483.8876352292</c:v>
                </c:pt>
                <c:pt idx="30">
                  <c:v>-1194120.2093793727</c:v>
                </c:pt>
                <c:pt idx="31">
                  <c:v>-1135454.8484483599</c:v>
                </c:pt>
                <c:pt idx="32">
                  <c:v>-1077519.9290012964</c:v>
                </c:pt>
                <c:pt idx="33">
                  <c:v>-1020348.8073808893</c:v>
                </c:pt>
                <c:pt idx="34">
                  <c:v>-963976.19682153454</c:v>
                </c:pt>
                <c:pt idx="35">
                  <c:v>-908438.30909430771</c:v>
                </c:pt>
                <c:pt idx="36">
                  <c:v>-853773.01627756655</c:v>
                </c:pt>
                <c:pt idx="37">
                  <c:v>-800020.03660577757</c:v>
                </c:pt>
                <c:pt idx="38">
                  <c:v>-747221.14934030909</c:v>
                </c:pt>
                <c:pt idx="39">
                  <c:v>-695420.44490615826</c:v>
                </c:pt>
                <c:pt idx="40">
                  <c:v>-644664.61826494418</c:v>
                </c:pt>
                <c:pt idx="41">
                  <c:v>-595003.31581713585</c:v>
                </c:pt>
                <c:pt idx="42">
                  <c:v>-546489.54929688689</c:v>
                </c:pt>
                <c:pt idx="43">
                  <c:v>-499180.19452031684</c:v>
                </c:pt>
                <c:pt idx="44">
                  <c:v>-453136.59905679018</c:v>
                </c:pt>
                <c:pt idx="45">
                  <c:v>-408425.33183440025</c:v>
                </c:pt>
                <c:pt idx="46">
                  <c:v>-365119.12085894612</c:v>
                </c:pt>
                <c:pt idx="47">
                  <c:v>-323298.04511439399</c:v>
                </c:pt>
                <c:pt idx="48">
                  <c:v>-283051.07763320074</c:v>
                </c:pt>
                <c:pt idx="49">
                  <c:v>-244478.12642858375</c:v>
                </c:pt>
                <c:pt idx="50">
                  <c:v>-207692.80306156131</c:v>
                </c:pt>
                <c:pt idx="51">
                  <c:v>-172826.29407992677</c:v>
                </c:pt>
                <c:pt idx="52">
                  <c:v>-140032.97994874205</c:v>
                </c:pt>
                <c:pt idx="53">
                  <c:v>-109498.98080246012</c:v>
                </c:pt>
                <c:pt idx="54">
                  <c:v>-81455.967938359041</c:v>
                </c:pt>
                <c:pt idx="55">
                  <c:v>-56205.408822574522</c:v>
                </c:pt>
                <c:pt idx="56">
                  <c:v>-34166.566207586788</c:v>
                </c:pt>
                <c:pt idx="57">
                  <c:v>-15992.12875376296</c:v>
                </c:pt>
                <c:pt idx="58">
                  <c:v>-2989.6463936997056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7-48B6-B334-1B8E934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-39299274.806276791</c:v>
                </c:pt>
                <c:pt idx="1">
                  <c:v>-37735846.065082289</c:v>
                </c:pt>
                <c:pt idx="2">
                  <c:v>-36206760.242889926</c:v>
                </c:pt>
                <c:pt idx="3">
                  <c:v>-34712002.336473584</c:v>
                </c:pt>
                <c:pt idx="4">
                  <c:v>-33251547.32586566</c:v>
                </c:pt>
                <c:pt idx="5">
                  <c:v>-31825360.15240347</c:v>
                </c:pt>
                <c:pt idx="6">
                  <c:v>-30433395.687859509</c:v>
                </c:pt>
                <c:pt idx="7">
                  <c:v>-29075598.694518153</c:v>
                </c:pt>
                <c:pt idx="8">
                  <c:v>-27751903.776020944</c:v>
                </c:pt>
                <c:pt idx="9">
                  <c:v>-26462235.318758592</c:v>
                </c:pt>
                <c:pt idx="10">
                  <c:v>-25206507.423542373</c:v>
                </c:pt>
                <c:pt idx="11">
                  <c:v>-23984623.827238854</c:v>
                </c:pt>
                <c:pt idx="12">
                  <c:v>-22796477.81399972</c:v>
                </c:pt>
                <c:pt idx="13">
                  <c:v>-21641952.11566231</c:v>
                </c:pt>
                <c:pt idx="14">
                  <c:v>-20520918.80083517</c:v>
                </c:pt>
                <c:pt idx="15">
                  <c:v>-19433239.152115971</c:v>
                </c:pt>
                <c:pt idx="16">
                  <c:v>-18378763.530815616</c:v>
                </c:pt>
                <c:pt idx="17">
                  <c:v>-17357331.228480488</c:v>
                </c:pt>
                <c:pt idx="18">
                  <c:v>-16368770.304414369</c:v>
                </c:pt>
                <c:pt idx="19">
                  <c:v>-15412897.408299815</c:v>
                </c:pt>
                <c:pt idx="20">
                  <c:v>-14489517.586904574</c:v>
                </c:pt>
                <c:pt idx="21">
                  <c:v>-13598424.073730126</c:v>
                </c:pt>
                <c:pt idx="22">
                  <c:v>-12739398.060312901</c:v>
                </c:pt>
                <c:pt idx="23">
                  <c:v>-11912208.447722226</c:v>
                </c:pt>
                <c:pt idx="24">
                  <c:v>-11116611.576608513</c:v>
                </c:pt>
                <c:pt idx="25">
                  <c:v>-10352350.933935553</c:v>
                </c:pt>
                <c:pt idx="26">
                  <c:v>-9619156.8342776857</c:v>
                </c:pt>
                <c:pt idx="27">
                  <c:v>-8916746.0732681528</c:v>
                </c:pt>
                <c:pt idx="28">
                  <c:v>-8244821.5504420064</c:v>
                </c:pt>
                <c:pt idx="29">
                  <c:v>-7603071.8583143596</c:v>
                </c:pt>
                <c:pt idx="30">
                  <c:v>-6991170.8340607099</c:v>
                </c:pt>
                <c:pt idx="31">
                  <c:v>-6408777.0696037766</c:v>
                </c:pt>
                <c:pt idx="32">
                  <c:v>-5855533.3752413625</c:v>
                </c:pt>
                <c:pt idx="33">
                  <c:v>-5331066.1911458159</c:v>
                </c:pt>
                <c:pt idx="34">
                  <c:v>-4834984.9400952104</c:v>
                </c:pt>
                <c:pt idx="35">
                  <c:v>-4366881.3136162488</c:v>
                </c:pt>
                <c:pt idx="36">
                  <c:v>-3926328.4822732802</c:v>
                </c:pt>
                <c:pt idx="37">
                  <c:v>-3512880.2190524437</c:v>
                </c:pt>
                <c:pt idx="38">
                  <c:v>-3126069.9225659226</c:v>
                </c:pt>
                <c:pt idx="39">
                  <c:v>-2765409.5240043057</c:v>
                </c:pt>
                <c:pt idx="40">
                  <c:v>-2430388.2582115298</c:v>
                </c:pt>
                <c:pt idx="41">
                  <c:v>-2120471.2746910104</c:v>
                </c:pt>
                <c:pt idx="42">
                  <c:v>-1835098.0584125044</c:v>
                </c:pt>
                <c:pt idx="43">
                  <c:v>-1573680.6224582037</c:v>
                </c:pt>
                <c:pt idx="44">
                  <c:v>-1335601.4240639268</c:v>
                </c:pt>
                <c:pt idx="45">
                  <c:v>-1120210.9413411289</c:v>
                </c:pt>
                <c:pt idx="46">
                  <c:v>-926824.82816779241</c:v>
                </c:pt>
                <c:pt idx="47">
                  <c:v>-754720.53667445737</c:v>
                </c:pt>
                <c:pt idx="48">
                  <c:v>-603133.25598755875</c:v>
                </c:pt>
                <c:pt idx="49">
                  <c:v>-471250.95497211261</c:v>
                </c:pt>
                <c:pt idx="50">
                  <c:v>-358208.22259957634</c:v>
                </c:pt>
                <c:pt idx="51">
                  <c:v>-263078.44831420435</c:v>
                </c:pt>
                <c:pt idx="52">
                  <c:v>-184863.62980703713</c:v>
                </c:pt>
                <c:pt idx="53">
                  <c:v>-122480.63961923658</c:v>
                </c:pt>
                <c:pt idx="54">
                  <c:v>-74741.902434031785</c:v>
                </c:pt>
                <c:pt idx="55">
                  <c:v>-40326.55824379839</c:v>
                </c:pt>
                <c:pt idx="56">
                  <c:v>-17733.564486258059</c:v>
                </c:pt>
                <c:pt idx="57">
                  <c:v>-5193.890745920623</c:v>
                </c:pt>
                <c:pt idx="58">
                  <c:v>-448.44695905495689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C-4904-9CF5-6CA5AAAC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-2719071.0397618306</c:v>
                </c:pt>
                <c:pt idx="1">
                  <c:v>-2673580.7986461655</c:v>
                </c:pt>
                <c:pt idx="2">
                  <c:v>-2628110.5560032967</c:v>
                </c:pt>
                <c:pt idx="3">
                  <c:v>-2582680.3277920275</c:v>
                </c:pt>
                <c:pt idx="4">
                  <c:v>-2537310.1650197557</c:v>
                </c:pt>
                <c:pt idx="5">
                  <c:v>-2492020.1714590047</c:v>
                </c:pt>
                <c:pt idx="6">
                  <c:v>-2446830.5215968448</c:v>
                </c:pt>
                <c:pt idx="7">
                  <c:v>-2401761.4788985699</c:v>
                </c:pt>
                <c:pt idx="8">
                  <c:v>-2335554.1344702654</c:v>
                </c:pt>
                <c:pt idx="9">
                  <c:v>-2269508.2662091404</c:v>
                </c:pt>
                <c:pt idx="10">
                  <c:v>-2203644.5185357174</c:v>
                </c:pt>
                <c:pt idx="11">
                  <c:v>-2137983.7028083601</c:v>
                </c:pt>
                <c:pt idx="12">
                  <c:v>-2162676.1935281851</c:v>
                </c:pt>
                <c:pt idx="13">
                  <c:v>-2097484.4504514541</c:v>
                </c:pt>
                <c:pt idx="14">
                  <c:v>-2032559.2917371222</c:v>
                </c:pt>
                <c:pt idx="15">
                  <c:v>-1967922.4182696557</c:v>
                </c:pt>
                <c:pt idx="16">
                  <c:v>-1903595.8143117758</c:v>
                </c:pt>
                <c:pt idx="17">
                  <c:v>-1839601.7746587479</c:v>
                </c:pt>
                <c:pt idx="18">
                  <c:v>-1775962.9334856879</c:v>
                </c:pt>
                <c:pt idx="19">
                  <c:v>-1712702.2951025297</c:v>
                </c:pt>
                <c:pt idx="20">
                  <c:v>-1649843.2668584413</c:v>
                </c:pt>
                <c:pt idx="21">
                  <c:v>-1587409.6944693374</c:v>
                </c:pt>
                <c:pt idx="22">
                  <c:v>-1525425.9000795751</c:v>
                </c:pt>
                <c:pt idx="23">
                  <c:v>-1463916.7234131144</c:v>
                </c:pt>
                <c:pt idx="24">
                  <c:v>-1402907.5664217412</c:v>
                </c:pt>
                <c:pt idx="25">
                  <c:v>-1342424.4419000892</c:v>
                </c:pt>
                <c:pt idx="26">
                  <c:v>-1282494.0266113875</c:v>
                </c:pt>
                <c:pt idx="27">
                  <c:v>-1223143.7195567428</c:v>
                </c:pt>
                <c:pt idx="28">
                  <c:v>-1164401.7061278541</c:v>
                </c:pt>
                <c:pt idx="29">
                  <c:v>-1106297.0290127292</c:v>
                </c:pt>
                <c:pt idx="30">
                  <c:v>-1048859.6668818726</c:v>
                </c:pt>
                <c:pt idx="31">
                  <c:v>-992120.62207585981</c:v>
                </c:pt>
                <c:pt idx="32">
                  <c:v>-936112.01875379635</c:v>
                </c:pt>
                <c:pt idx="33">
                  <c:v>-880867.21325838938</c:v>
                </c:pt>
                <c:pt idx="34">
                  <c:v>-826420.91882403451</c:v>
                </c:pt>
                <c:pt idx="35">
                  <c:v>-862938.72222180769</c:v>
                </c:pt>
                <c:pt idx="36">
                  <c:v>-810199.74553006655</c:v>
                </c:pt>
                <c:pt idx="37">
                  <c:v>-758373.08198327757</c:v>
                </c:pt>
                <c:pt idx="38">
                  <c:v>-707500.5108428091</c:v>
                </c:pt>
                <c:pt idx="39">
                  <c:v>-657626.12253365829</c:v>
                </c:pt>
                <c:pt idx="40">
                  <c:v>-608796.61201744422</c:v>
                </c:pt>
                <c:pt idx="41">
                  <c:v>-561061.62569463579</c:v>
                </c:pt>
                <c:pt idx="42">
                  <c:v>-514474.1752993869</c:v>
                </c:pt>
                <c:pt idx="43">
                  <c:v>-469091.13664781686</c:v>
                </c:pt>
                <c:pt idx="44">
                  <c:v>-424973.85730929015</c:v>
                </c:pt>
                <c:pt idx="45">
                  <c:v>-382188.90621190023</c:v>
                </c:pt>
                <c:pt idx="46">
                  <c:v>-340809.01136144612</c:v>
                </c:pt>
                <c:pt idx="47">
                  <c:v>-300914.251741894</c:v>
                </c:pt>
                <c:pt idx="48">
                  <c:v>-262593.60038570076</c:v>
                </c:pt>
                <c:pt idx="49">
                  <c:v>-225946.96530608376</c:v>
                </c:pt>
                <c:pt idx="50">
                  <c:v>-191087.9580640613</c:v>
                </c:pt>
                <c:pt idx="51">
                  <c:v>-158147.76520742677</c:v>
                </c:pt>
                <c:pt idx="52">
                  <c:v>-127280.76720124205</c:v>
                </c:pt>
                <c:pt idx="53">
                  <c:v>-98673.084179960133</c:v>
                </c:pt>
                <c:pt idx="54">
                  <c:v>-72556.387440859049</c:v>
                </c:pt>
                <c:pt idx="55">
                  <c:v>-49232.144450074527</c:v>
                </c:pt>
                <c:pt idx="56">
                  <c:v>-29119.617960086791</c:v>
                </c:pt>
                <c:pt idx="57">
                  <c:v>-12871.496631262964</c:v>
                </c:pt>
                <c:pt idx="58">
                  <c:v>-1795.3303961997103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0-493E-81E6-EB2CCD9B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-35310775.85724467</c:v>
                </c:pt>
                <c:pt idx="1">
                  <c:v>-33962612.897642672</c:v>
                </c:pt>
                <c:pt idx="2">
                  <c:v>-32637190.058980308</c:v>
                </c:pt>
                <c:pt idx="3">
                  <c:v>-31334492.338031467</c:v>
                </c:pt>
                <c:pt idx="4">
                  <c:v>-30054494.714828543</c:v>
                </c:pt>
                <c:pt idx="5">
                  <c:v>-28797162.130708855</c:v>
                </c:pt>
                <c:pt idx="6">
                  <c:v>-27562449.457444895</c:v>
                </c:pt>
                <c:pt idx="7">
                  <c:v>-26350301.457321037</c:v>
                </c:pt>
                <c:pt idx="8">
                  <c:v>-25165972.553978831</c:v>
                </c:pt>
                <c:pt idx="9">
                  <c:v>-24014706.953808978</c:v>
                </c:pt>
                <c:pt idx="10">
                  <c:v>-22896418.75762276</c:v>
                </c:pt>
                <c:pt idx="11">
                  <c:v>-21811011.702286739</c:v>
                </c:pt>
                <c:pt idx="12">
                  <c:v>-20735846.728202604</c:v>
                </c:pt>
                <c:pt idx="13">
                  <c:v>-19670806.567207698</c:v>
                </c:pt>
                <c:pt idx="14">
                  <c:v>-18638295.631660555</c:v>
                </c:pt>
                <c:pt idx="15">
                  <c:v>-17638175.204158857</c:v>
                </c:pt>
                <c:pt idx="16">
                  <c:v>-16670295.646013502</c:v>
                </c:pt>
                <c:pt idx="17">
                  <c:v>-15734496.248770874</c:v>
                </c:pt>
                <c:pt idx="18">
                  <c:v>-14830605.071734756</c:v>
                </c:pt>
                <c:pt idx="19">
                  <c:v>-13958438.764587702</c:v>
                </c:pt>
                <c:pt idx="20">
                  <c:v>-13117802.374097461</c:v>
                </c:pt>
                <c:pt idx="21">
                  <c:v>-12308489.133765513</c:v>
                </c:pt>
                <c:pt idx="22">
                  <c:v>-11530280.235128287</c:v>
                </c:pt>
                <c:pt idx="23">
                  <c:v>-10782944.579255113</c:v>
                </c:pt>
                <c:pt idx="24">
                  <c:v>-10066238.506796399</c:v>
                </c:pt>
                <c:pt idx="25">
                  <c:v>-9379905.50471594</c:v>
                </c:pt>
                <c:pt idx="26">
                  <c:v>-8723675.8875880726</c:v>
                </c:pt>
                <c:pt idx="27">
                  <c:v>-8097266.4510460403</c:v>
                </c:pt>
                <c:pt idx="28">
                  <c:v>-7500380.0946248937</c:v>
                </c:pt>
                <c:pt idx="29">
                  <c:v>-6932705.4108397467</c:v>
                </c:pt>
                <c:pt idx="30">
                  <c:v>-6393916.2368660979</c:v>
                </c:pt>
                <c:pt idx="31">
                  <c:v>-5883671.1646266636</c:v>
                </c:pt>
                <c:pt idx="32">
                  <c:v>-5401613.0044192504</c:v>
                </c:pt>
                <c:pt idx="33">
                  <c:v>-4947368.1964162029</c:v>
                </c:pt>
                <c:pt idx="34">
                  <c:v>-4520546.1633955976</c:v>
                </c:pt>
                <c:pt idx="35">
                  <c:v>-4098206.2531341361</c:v>
                </c:pt>
                <c:pt idx="36">
                  <c:v>-3679921.6361961677</c:v>
                </c:pt>
                <c:pt idx="37">
                  <c:v>-3287778.4293178311</c:v>
                </c:pt>
                <c:pt idx="38">
                  <c:v>-2921310.0311113102</c:v>
                </c:pt>
                <c:pt idx="39">
                  <c:v>-2580028.3727671932</c:v>
                </c:pt>
                <c:pt idx="40">
                  <c:v>-2263422.6891294173</c:v>
                </c:pt>
                <c:pt idx="41">
                  <c:v>-1970958.1297013978</c:v>
                </c:pt>
                <c:pt idx="42">
                  <c:v>-1702074.1794528919</c:v>
                </c:pt>
                <c:pt idx="43">
                  <c:v>-1456182.8514660911</c:v>
                </c:pt>
                <c:pt idx="44">
                  <c:v>-1232666.6029768144</c:v>
                </c:pt>
                <c:pt idx="45">
                  <c:v>-1030875.9120965163</c:v>
                </c:pt>
                <c:pt idx="46">
                  <c:v>-850126.43270317989</c:v>
                </c:pt>
                <c:pt idx="47">
                  <c:v>-689695.61692734493</c:v>
                </c:pt>
                <c:pt idx="48">
                  <c:v>-548818.65389544622</c:v>
                </c:pt>
                <c:pt idx="49">
                  <c:v>-426683.51247250015</c:v>
                </c:pt>
                <c:pt idx="50">
                  <c:v>-322424.78162996389</c:v>
                </c:pt>
                <c:pt idx="51">
                  <c:v>-235115.85081209187</c:v>
                </c:pt>
                <c:pt idx="52">
                  <c:v>-163758.71770992465</c:v>
                </c:pt>
                <c:pt idx="53">
                  <c:v>-107270.25486462409</c:v>
                </c:pt>
                <c:pt idx="54">
                  <c:v>-64462.886959419295</c:v>
                </c:pt>
                <c:pt idx="55">
                  <c:v>-34015.753986685901</c:v>
                </c:pt>
                <c:pt idx="56">
                  <c:v>-14427.813384145566</c:v>
                </c:pt>
                <c:pt idx="57">
                  <c:v>-3930.0347363081264</c:v>
                </c:pt>
                <c:pt idx="58">
                  <c:v>-263.3279794424584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0-467D-9FA4-951098893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-137401.67153436417</c:v>
                </c:pt>
                <c:pt idx="1">
                  <c:v>-137381.67742829563</c:v>
                </c:pt>
                <c:pt idx="2">
                  <c:v>-137321.67764317905</c:v>
                </c:pt>
                <c:pt idx="3">
                  <c:v>-137221.61970189697</c:v>
                </c:pt>
                <c:pt idx="4">
                  <c:v>-137081.41588719032</c:v>
                </c:pt>
                <c:pt idx="5">
                  <c:v>-136900.94285581663</c:v>
                </c:pt>
                <c:pt idx="6">
                  <c:v>-136680.04109282469</c:v>
                </c:pt>
                <c:pt idx="7">
                  <c:v>-136418.51420027582</c:v>
                </c:pt>
                <c:pt idx="8">
                  <c:v>-136116.12801294128</c:v>
                </c:pt>
                <c:pt idx="9">
                  <c:v>-135772.6095315617</c:v>
                </c:pt>
                <c:pt idx="10">
                  <c:v>-135387.64566212959</c:v>
                </c:pt>
                <c:pt idx="11">
                  <c:v>-134960.88174730018</c:v>
                </c:pt>
                <c:pt idx="12">
                  <c:v>-134491.91987340007</c:v>
                </c:pt>
                <c:pt idx="13">
                  <c:v>-133980.31693352322</c:v>
                </c:pt>
                <c:pt idx="14">
                  <c:v>-133425.58242380482</c:v>
                </c:pt>
                <c:pt idx="15">
                  <c:v>-132827.17594606039</c:v>
                </c:pt>
                <c:pt idx="16">
                  <c:v>-132184.50438546028</c:v>
                </c:pt>
                <c:pt idx="17">
                  <c:v>-131496.91872665228</c:v>
                </c:pt>
                <c:pt idx="18">
                  <c:v>-130763.71046558661</c:v>
                </c:pt>
                <c:pt idx="19">
                  <c:v>-129984.10756704712</c:v>
                </c:pt>
                <c:pt idx="20">
                  <c:v>-129157.26990930681</c:v>
                </c:pt>
                <c:pt idx="21">
                  <c:v>-128282.28414710786</c:v>
                </c:pt>
                <c:pt idx="22">
                  <c:v>-127358.1579119416</c:v>
                </c:pt>
                <c:pt idx="23">
                  <c:v>-126383.81325390024</c:v>
                </c:pt>
                <c:pt idx="24">
                  <c:v>-125358.07921159429</c:v>
                </c:pt>
                <c:pt idx="25">
                  <c:v>-124279.68337501471</c:v>
                </c:pt>
                <c:pt idx="26">
                  <c:v>-123147.24227979044</c:v>
                </c:pt>
                <c:pt idx="27">
                  <c:v>-121959.25043878733</c:v>
                </c:pt>
                <c:pt idx="28">
                  <c:v>-120714.06777676837</c:v>
                </c:pt>
                <c:pt idx="29">
                  <c:v>-119409.90518373068</c:v>
                </c:pt>
                <c:pt idx="30">
                  <c:v>-118044.80783969627</c:v>
                </c:pt>
                <c:pt idx="31">
                  <c:v>-116616.63588435407</c:v>
                </c:pt>
                <c:pt idx="32">
                  <c:v>-115123.04190390022</c:v>
                </c:pt>
                <c:pt idx="33">
                  <c:v>-113561.44457772739</c:v>
                </c:pt>
                <c:pt idx="34">
                  <c:v>-111928.99765969174</c:v>
                </c:pt>
                <c:pt idx="35">
                  <c:v>-110222.55324921597</c:v>
                </c:pt>
                <c:pt idx="36">
                  <c:v>-108438.61801774845</c:v>
                </c:pt>
                <c:pt idx="37">
                  <c:v>-106573.30066940788</c:v>
                </c:pt>
                <c:pt idx="38">
                  <c:v>-104622.24839246576</c:v>
                </c:pt>
                <c:pt idx="39">
                  <c:v>-102580.56934413814</c:v>
                </c:pt>
                <c:pt idx="40">
                  <c:v>-100442.73722071802</c:v>
                </c:pt>
                <c:pt idx="41">
                  <c:v>-98202.472570515383</c:v>
                </c:pt>
                <c:pt idx="42">
                  <c:v>-95852.593510480394</c:v>
                </c:pt>
                <c:pt idx="43">
                  <c:v>-93384.82559579947</c:v>
                </c:pt>
                <c:pt idx="44">
                  <c:v>-90789.556258307159</c:v>
                </c:pt>
                <c:pt idx="45">
                  <c:v>-88055.512631252714</c:v>
                </c:pt>
                <c:pt idx="46">
                  <c:v>-85169.331270563722</c:v>
                </c:pt>
                <c:pt idx="47">
                  <c:v>-82114.971707644712</c:v>
                </c:pt>
                <c:pt idx="48">
                  <c:v>-78872.898217128357</c:v>
                </c:pt>
                <c:pt idx="49">
                  <c:v>-75418.906601339957</c:v>
                </c:pt>
                <c:pt idx="50">
                  <c:v>-71722.386866749788</c:v>
                </c:pt>
                <c:pt idx="51">
                  <c:v>-67743.649059788266</c:v>
                </c:pt>
                <c:pt idx="52">
                  <c:v>-63429.607464950634</c:v>
                </c:pt>
                <c:pt idx="53">
                  <c:v>-58706.389120176944</c:v>
                </c:pt>
                <c:pt idx="54">
                  <c:v>-53465.662336227382</c:v>
                </c:pt>
                <c:pt idx="55">
                  <c:v>-47536.574126910673</c:v>
                </c:pt>
                <c:pt idx="56">
                  <c:v>-40618.7963330403</c:v>
                </c:pt>
                <c:pt idx="57">
                  <c:v>-32078.953482255023</c:v>
                </c:pt>
                <c:pt idx="58">
                  <c:v>-19930.975957997991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1-448B-8158-B04099B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-137401.67153436417</c:v>
                </c:pt>
                <c:pt idx="1">
                  <c:v>-137381.67742829563</c:v>
                </c:pt>
                <c:pt idx="2">
                  <c:v>-137321.67764317905</c:v>
                </c:pt>
                <c:pt idx="3">
                  <c:v>-137221.61970189697</c:v>
                </c:pt>
                <c:pt idx="4">
                  <c:v>-137081.41588719032</c:v>
                </c:pt>
                <c:pt idx="5">
                  <c:v>-136900.94285581663</c:v>
                </c:pt>
                <c:pt idx="6">
                  <c:v>-136680.04109282469</c:v>
                </c:pt>
                <c:pt idx="7">
                  <c:v>-136418.51420027582</c:v>
                </c:pt>
                <c:pt idx="8">
                  <c:v>-136116.12801294128</c:v>
                </c:pt>
                <c:pt idx="9">
                  <c:v>-135772.6095315617</c:v>
                </c:pt>
                <c:pt idx="10">
                  <c:v>-135387.64566212959</c:v>
                </c:pt>
                <c:pt idx="11">
                  <c:v>-134960.88174730018</c:v>
                </c:pt>
                <c:pt idx="12">
                  <c:v>-134491.91987340007</c:v>
                </c:pt>
                <c:pt idx="13">
                  <c:v>-133980.31693352322</c:v>
                </c:pt>
                <c:pt idx="14">
                  <c:v>-133425.58242380482</c:v>
                </c:pt>
                <c:pt idx="15">
                  <c:v>-132827.17594606039</c:v>
                </c:pt>
                <c:pt idx="16">
                  <c:v>-132184.50438546028</c:v>
                </c:pt>
                <c:pt idx="17">
                  <c:v>-131496.91872665228</c:v>
                </c:pt>
                <c:pt idx="18">
                  <c:v>-130763.71046558661</c:v>
                </c:pt>
                <c:pt idx="19">
                  <c:v>-129984.10756704712</c:v>
                </c:pt>
                <c:pt idx="20">
                  <c:v>-129157.26990930681</c:v>
                </c:pt>
                <c:pt idx="21">
                  <c:v>-128282.28414710786</c:v>
                </c:pt>
                <c:pt idx="22">
                  <c:v>-127358.1579119416</c:v>
                </c:pt>
                <c:pt idx="23">
                  <c:v>-126383.81325390024</c:v>
                </c:pt>
                <c:pt idx="24">
                  <c:v>-125358.07921159429</c:v>
                </c:pt>
                <c:pt idx="25">
                  <c:v>-124279.68337501471</c:v>
                </c:pt>
                <c:pt idx="26">
                  <c:v>-123147.24227979044</c:v>
                </c:pt>
                <c:pt idx="27">
                  <c:v>-121959.25043878733</c:v>
                </c:pt>
                <c:pt idx="28">
                  <c:v>-120714.06777676837</c:v>
                </c:pt>
                <c:pt idx="29">
                  <c:v>-119409.90518373068</c:v>
                </c:pt>
                <c:pt idx="30">
                  <c:v>-118044.80783969627</c:v>
                </c:pt>
                <c:pt idx="31">
                  <c:v>-116616.63588435407</c:v>
                </c:pt>
                <c:pt idx="32">
                  <c:v>-115123.04190390022</c:v>
                </c:pt>
                <c:pt idx="33">
                  <c:v>-113561.44457772739</c:v>
                </c:pt>
                <c:pt idx="34">
                  <c:v>-111928.99765969174</c:v>
                </c:pt>
                <c:pt idx="35">
                  <c:v>-110222.55324921597</c:v>
                </c:pt>
                <c:pt idx="36">
                  <c:v>-108438.61801774845</c:v>
                </c:pt>
                <c:pt idx="37">
                  <c:v>-106573.30066940788</c:v>
                </c:pt>
                <c:pt idx="38">
                  <c:v>-104622.24839246576</c:v>
                </c:pt>
                <c:pt idx="39">
                  <c:v>-102580.56934413814</c:v>
                </c:pt>
                <c:pt idx="40">
                  <c:v>-100442.73722071802</c:v>
                </c:pt>
                <c:pt idx="41">
                  <c:v>-98202.472570515383</c:v>
                </c:pt>
                <c:pt idx="42">
                  <c:v>-95852.593510480394</c:v>
                </c:pt>
                <c:pt idx="43">
                  <c:v>-93384.82559579947</c:v>
                </c:pt>
                <c:pt idx="44">
                  <c:v>-90789.556258307159</c:v>
                </c:pt>
                <c:pt idx="45">
                  <c:v>-88055.512631252714</c:v>
                </c:pt>
                <c:pt idx="46">
                  <c:v>-85169.331270563722</c:v>
                </c:pt>
                <c:pt idx="47">
                  <c:v>-82114.971707644712</c:v>
                </c:pt>
                <c:pt idx="48">
                  <c:v>-78872.898217128357</c:v>
                </c:pt>
                <c:pt idx="49">
                  <c:v>-75418.906601339957</c:v>
                </c:pt>
                <c:pt idx="50">
                  <c:v>-71722.386866749788</c:v>
                </c:pt>
                <c:pt idx="51">
                  <c:v>-67743.649059788266</c:v>
                </c:pt>
                <c:pt idx="52">
                  <c:v>-63429.607464950634</c:v>
                </c:pt>
                <c:pt idx="53">
                  <c:v>-58706.389120176944</c:v>
                </c:pt>
                <c:pt idx="54">
                  <c:v>-53465.662336227382</c:v>
                </c:pt>
                <c:pt idx="55">
                  <c:v>-47536.574126910673</c:v>
                </c:pt>
                <c:pt idx="56">
                  <c:v>-40618.7963330403</c:v>
                </c:pt>
                <c:pt idx="57">
                  <c:v>-32078.953482255023</c:v>
                </c:pt>
                <c:pt idx="58">
                  <c:v>-19930.975957997991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1-4DE2-AABB-C7FF49A9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-114196.07540936412</c:v>
                </c:pt>
                <c:pt idx="1">
                  <c:v>-114176.08130329558</c:v>
                </c:pt>
                <c:pt idx="2">
                  <c:v>-114116.08151817899</c:v>
                </c:pt>
                <c:pt idx="3">
                  <c:v>-114016.02357689691</c:v>
                </c:pt>
                <c:pt idx="4">
                  <c:v>-113875.81976219027</c:v>
                </c:pt>
                <c:pt idx="5">
                  <c:v>-113695.34673081657</c:v>
                </c:pt>
                <c:pt idx="6">
                  <c:v>-113474.44496782463</c:v>
                </c:pt>
                <c:pt idx="7">
                  <c:v>-134492.19807527581</c:v>
                </c:pt>
                <c:pt idx="8">
                  <c:v>-134189.81188794127</c:v>
                </c:pt>
                <c:pt idx="9">
                  <c:v>-133846.29340656169</c:v>
                </c:pt>
                <c:pt idx="10">
                  <c:v>-133461.32953712958</c:v>
                </c:pt>
                <c:pt idx="11">
                  <c:v>-42905.190622300186</c:v>
                </c:pt>
                <c:pt idx="12">
                  <c:v>-132565.60374840006</c:v>
                </c:pt>
                <c:pt idx="13">
                  <c:v>-132054.00080852321</c:v>
                </c:pt>
                <c:pt idx="14">
                  <c:v>-131499.26629880481</c:v>
                </c:pt>
                <c:pt idx="15">
                  <c:v>-130900.8598210604</c:v>
                </c:pt>
                <c:pt idx="16">
                  <c:v>-130258.18826046029</c:v>
                </c:pt>
                <c:pt idx="17">
                  <c:v>-129570.60260165228</c:v>
                </c:pt>
                <c:pt idx="18">
                  <c:v>-128837.39434058662</c:v>
                </c:pt>
                <c:pt idx="19">
                  <c:v>-128057.79144204712</c:v>
                </c:pt>
                <c:pt idx="20">
                  <c:v>-127230.95378430681</c:v>
                </c:pt>
                <c:pt idx="21">
                  <c:v>-126355.96802210786</c:v>
                </c:pt>
                <c:pt idx="22">
                  <c:v>-125431.8417869416</c:v>
                </c:pt>
                <c:pt idx="23">
                  <c:v>-124457.49712890024</c:v>
                </c:pt>
                <c:pt idx="24">
                  <c:v>-123431.76308659429</c:v>
                </c:pt>
                <c:pt idx="25">
                  <c:v>-122353.36725001471</c:v>
                </c:pt>
                <c:pt idx="26">
                  <c:v>-121220.92615479045</c:v>
                </c:pt>
                <c:pt idx="27">
                  <c:v>-120032.93431378734</c:v>
                </c:pt>
                <c:pt idx="28">
                  <c:v>-118787.75165176837</c:v>
                </c:pt>
                <c:pt idx="29">
                  <c:v>-117483.58905873068</c:v>
                </c:pt>
                <c:pt idx="30">
                  <c:v>-116118.49171469627</c:v>
                </c:pt>
                <c:pt idx="31">
                  <c:v>-114690.31975935407</c:v>
                </c:pt>
                <c:pt idx="32">
                  <c:v>-113196.72577890022</c:v>
                </c:pt>
                <c:pt idx="33">
                  <c:v>-111635.1284527274</c:v>
                </c:pt>
                <c:pt idx="34">
                  <c:v>-19873.306534691743</c:v>
                </c:pt>
                <c:pt idx="35">
                  <c:v>-108296.23712421597</c:v>
                </c:pt>
                <c:pt idx="36">
                  <c:v>-106512.30189274845</c:v>
                </c:pt>
                <c:pt idx="37">
                  <c:v>-104646.98454440788</c:v>
                </c:pt>
                <c:pt idx="38">
                  <c:v>-102695.93226746576</c:v>
                </c:pt>
                <c:pt idx="39">
                  <c:v>-100654.25321913815</c:v>
                </c:pt>
                <c:pt idx="40">
                  <c:v>-98516.421095718018</c:v>
                </c:pt>
                <c:pt idx="41">
                  <c:v>-96276.156445515386</c:v>
                </c:pt>
                <c:pt idx="42">
                  <c:v>-93926.277385480396</c:v>
                </c:pt>
                <c:pt idx="43">
                  <c:v>-91458.509470799472</c:v>
                </c:pt>
                <c:pt idx="44">
                  <c:v>-88863.240133307161</c:v>
                </c:pt>
                <c:pt idx="45">
                  <c:v>-86129.196506252716</c:v>
                </c:pt>
                <c:pt idx="46">
                  <c:v>-83243.015145563724</c:v>
                </c:pt>
                <c:pt idx="47">
                  <c:v>-80188.655582644715</c:v>
                </c:pt>
                <c:pt idx="48">
                  <c:v>-76946.582092128359</c:v>
                </c:pt>
                <c:pt idx="49">
                  <c:v>-73492.590476339959</c:v>
                </c:pt>
                <c:pt idx="50">
                  <c:v>-69796.070741749791</c:v>
                </c:pt>
                <c:pt idx="51">
                  <c:v>-65817.332934788268</c:v>
                </c:pt>
                <c:pt idx="52">
                  <c:v>-61503.291339950636</c:v>
                </c:pt>
                <c:pt idx="53">
                  <c:v>-56780.072995176946</c:v>
                </c:pt>
                <c:pt idx="54">
                  <c:v>-51539.346211227385</c:v>
                </c:pt>
                <c:pt idx="55">
                  <c:v>-45610.258001910675</c:v>
                </c:pt>
                <c:pt idx="56">
                  <c:v>-38692.480208040302</c:v>
                </c:pt>
                <c:pt idx="57">
                  <c:v>-30152.637357255022</c:v>
                </c:pt>
                <c:pt idx="58">
                  <c:v>-18736.659960497997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A-4DAB-8D69-70D41FD1E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82082104974516"/>
          <c:y val="6.4590389952500049E-2"/>
          <c:w val="0.79000906455260356"/>
          <c:h val="0.80612870478714416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-137401.67153436417</c:v>
                </c:pt>
                <c:pt idx="1">
                  <c:v>-137381.67742829563</c:v>
                </c:pt>
                <c:pt idx="2">
                  <c:v>-137321.67764317905</c:v>
                </c:pt>
                <c:pt idx="3">
                  <c:v>-137221.61970189697</c:v>
                </c:pt>
                <c:pt idx="4">
                  <c:v>-137081.41588719032</c:v>
                </c:pt>
                <c:pt idx="5">
                  <c:v>-136900.94285581663</c:v>
                </c:pt>
                <c:pt idx="6">
                  <c:v>-136680.04109282469</c:v>
                </c:pt>
                <c:pt idx="7">
                  <c:v>-136418.51420027582</c:v>
                </c:pt>
                <c:pt idx="8">
                  <c:v>-136116.12801294128</c:v>
                </c:pt>
                <c:pt idx="9">
                  <c:v>-135772.6095315617</c:v>
                </c:pt>
                <c:pt idx="10">
                  <c:v>-135387.64566212959</c:v>
                </c:pt>
                <c:pt idx="11">
                  <c:v>-134960.88174730018</c:v>
                </c:pt>
                <c:pt idx="12">
                  <c:v>-134491.91987340007</c:v>
                </c:pt>
                <c:pt idx="13">
                  <c:v>-133980.31693352322</c:v>
                </c:pt>
                <c:pt idx="14">
                  <c:v>-133425.58242380482</c:v>
                </c:pt>
                <c:pt idx="15">
                  <c:v>-132827.17594606039</c:v>
                </c:pt>
                <c:pt idx="16">
                  <c:v>-132184.50438546028</c:v>
                </c:pt>
                <c:pt idx="17">
                  <c:v>-131496.91872665228</c:v>
                </c:pt>
                <c:pt idx="18">
                  <c:v>-130763.71046558661</c:v>
                </c:pt>
                <c:pt idx="19">
                  <c:v>-129984.10756704712</c:v>
                </c:pt>
                <c:pt idx="20">
                  <c:v>-129157.26990930681</c:v>
                </c:pt>
                <c:pt idx="21">
                  <c:v>-128282.28414710786</c:v>
                </c:pt>
                <c:pt idx="22">
                  <c:v>-127358.1579119416</c:v>
                </c:pt>
                <c:pt idx="23">
                  <c:v>-126383.81325390024</c:v>
                </c:pt>
                <c:pt idx="24">
                  <c:v>-125358.07921159429</c:v>
                </c:pt>
                <c:pt idx="25">
                  <c:v>-124279.68337501471</c:v>
                </c:pt>
                <c:pt idx="26">
                  <c:v>-123147.24227979044</c:v>
                </c:pt>
                <c:pt idx="27">
                  <c:v>-121959.25043878733</c:v>
                </c:pt>
                <c:pt idx="28">
                  <c:v>-120714.06777676837</c:v>
                </c:pt>
                <c:pt idx="29">
                  <c:v>-119409.90518373068</c:v>
                </c:pt>
                <c:pt idx="30">
                  <c:v>-118044.80783969627</c:v>
                </c:pt>
                <c:pt idx="31">
                  <c:v>-116616.63588435407</c:v>
                </c:pt>
                <c:pt idx="32">
                  <c:v>-115123.04190390022</c:v>
                </c:pt>
                <c:pt idx="33">
                  <c:v>-113561.44457772739</c:v>
                </c:pt>
                <c:pt idx="34">
                  <c:v>-111928.99765969174</c:v>
                </c:pt>
                <c:pt idx="35">
                  <c:v>-110222.55324921597</c:v>
                </c:pt>
                <c:pt idx="36">
                  <c:v>-108438.61801774845</c:v>
                </c:pt>
                <c:pt idx="37">
                  <c:v>-106573.30066940788</c:v>
                </c:pt>
                <c:pt idx="38">
                  <c:v>-104622.24839246576</c:v>
                </c:pt>
                <c:pt idx="39">
                  <c:v>-102580.56934413814</c:v>
                </c:pt>
                <c:pt idx="40">
                  <c:v>-100442.73722071802</c:v>
                </c:pt>
                <c:pt idx="41">
                  <c:v>-98202.472570515383</c:v>
                </c:pt>
                <c:pt idx="42">
                  <c:v>-95852.593510480394</c:v>
                </c:pt>
                <c:pt idx="43">
                  <c:v>-93384.82559579947</c:v>
                </c:pt>
                <c:pt idx="44">
                  <c:v>-90789.556258307159</c:v>
                </c:pt>
                <c:pt idx="45">
                  <c:v>-88055.512631252714</c:v>
                </c:pt>
                <c:pt idx="46">
                  <c:v>-85169.331270563722</c:v>
                </c:pt>
                <c:pt idx="47">
                  <c:v>-82114.971707644712</c:v>
                </c:pt>
                <c:pt idx="48">
                  <c:v>-78872.898217128357</c:v>
                </c:pt>
                <c:pt idx="49">
                  <c:v>-75418.906601339957</c:v>
                </c:pt>
                <c:pt idx="50">
                  <c:v>-71722.386866749788</c:v>
                </c:pt>
                <c:pt idx="51">
                  <c:v>-67743.649059788266</c:v>
                </c:pt>
                <c:pt idx="52">
                  <c:v>-63429.607464950634</c:v>
                </c:pt>
                <c:pt idx="53">
                  <c:v>-58706.389120176944</c:v>
                </c:pt>
                <c:pt idx="54">
                  <c:v>-53465.662336227382</c:v>
                </c:pt>
                <c:pt idx="55">
                  <c:v>-47536.574126910673</c:v>
                </c:pt>
                <c:pt idx="56">
                  <c:v>-40618.7963330403</c:v>
                </c:pt>
                <c:pt idx="57">
                  <c:v>-32078.953482255023</c:v>
                </c:pt>
                <c:pt idx="58">
                  <c:v>-19930.975957997991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9-459E-87AF-A8FAF6D7C1DF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23205.596125000051</c:v>
                </c:pt>
                <c:pt idx="1">
                  <c:v>23205.596125000051</c:v>
                </c:pt>
                <c:pt idx="2">
                  <c:v>23205.596125000051</c:v>
                </c:pt>
                <c:pt idx="3">
                  <c:v>23205.596125000051</c:v>
                </c:pt>
                <c:pt idx="4">
                  <c:v>23205.596125000051</c:v>
                </c:pt>
                <c:pt idx="5">
                  <c:v>23205.596125000051</c:v>
                </c:pt>
                <c:pt idx="6">
                  <c:v>23205.596125000051</c:v>
                </c:pt>
                <c:pt idx="7">
                  <c:v>1926.3161250000003</c:v>
                </c:pt>
                <c:pt idx="8">
                  <c:v>1926.3161250000003</c:v>
                </c:pt>
                <c:pt idx="9">
                  <c:v>1926.3161250000003</c:v>
                </c:pt>
                <c:pt idx="10">
                  <c:v>1926.3161250000003</c:v>
                </c:pt>
                <c:pt idx="11">
                  <c:v>92055.691124999998</c:v>
                </c:pt>
                <c:pt idx="12">
                  <c:v>1926.3161250000003</c:v>
                </c:pt>
                <c:pt idx="13">
                  <c:v>1926.3161250000003</c:v>
                </c:pt>
                <c:pt idx="14">
                  <c:v>1926.3161250000003</c:v>
                </c:pt>
                <c:pt idx="15">
                  <c:v>1926.3161250000003</c:v>
                </c:pt>
                <c:pt idx="16">
                  <c:v>1926.3161250000003</c:v>
                </c:pt>
                <c:pt idx="17">
                  <c:v>1926.3161250000003</c:v>
                </c:pt>
                <c:pt idx="18">
                  <c:v>1926.3161250000003</c:v>
                </c:pt>
                <c:pt idx="19">
                  <c:v>1926.3161250000003</c:v>
                </c:pt>
                <c:pt idx="20">
                  <c:v>1926.3161250000003</c:v>
                </c:pt>
                <c:pt idx="21">
                  <c:v>1926.3161250000003</c:v>
                </c:pt>
                <c:pt idx="22">
                  <c:v>1926.3161250000003</c:v>
                </c:pt>
                <c:pt idx="23">
                  <c:v>1926.3161250000003</c:v>
                </c:pt>
                <c:pt idx="24">
                  <c:v>1926.3161250000003</c:v>
                </c:pt>
                <c:pt idx="25">
                  <c:v>1926.3161250000003</c:v>
                </c:pt>
                <c:pt idx="26">
                  <c:v>1926.3161250000003</c:v>
                </c:pt>
                <c:pt idx="27">
                  <c:v>1926.3161250000003</c:v>
                </c:pt>
                <c:pt idx="28">
                  <c:v>1926.3161250000003</c:v>
                </c:pt>
                <c:pt idx="29">
                  <c:v>1926.3161250000003</c:v>
                </c:pt>
                <c:pt idx="30">
                  <c:v>1926.3161250000003</c:v>
                </c:pt>
                <c:pt idx="31">
                  <c:v>1926.3161250000003</c:v>
                </c:pt>
                <c:pt idx="32">
                  <c:v>1926.3161250000003</c:v>
                </c:pt>
                <c:pt idx="33">
                  <c:v>1926.3161250000003</c:v>
                </c:pt>
                <c:pt idx="34">
                  <c:v>92055.691124999998</c:v>
                </c:pt>
                <c:pt idx="35">
                  <c:v>1926.3161250000003</c:v>
                </c:pt>
                <c:pt idx="36">
                  <c:v>1926.3161250000003</c:v>
                </c:pt>
                <c:pt idx="37">
                  <c:v>1926.3161250000003</c:v>
                </c:pt>
                <c:pt idx="38">
                  <c:v>1926.3161250000003</c:v>
                </c:pt>
                <c:pt idx="39">
                  <c:v>1926.3161250000003</c:v>
                </c:pt>
                <c:pt idx="40">
                  <c:v>1926.3161250000003</c:v>
                </c:pt>
                <c:pt idx="41">
                  <c:v>1926.3161250000003</c:v>
                </c:pt>
                <c:pt idx="42">
                  <c:v>1926.3161250000003</c:v>
                </c:pt>
                <c:pt idx="43">
                  <c:v>1926.3161250000003</c:v>
                </c:pt>
                <c:pt idx="44">
                  <c:v>1926.3161250000003</c:v>
                </c:pt>
                <c:pt idx="45">
                  <c:v>1926.3161250000003</c:v>
                </c:pt>
                <c:pt idx="46">
                  <c:v>1926.3161250000003</c:v>
                </c:pt>
                <c:pt idx="47">
                  <c:v>1926.3161250000003</c:v>
                </c:pt>
                <c:pt idx="48">
                  <c:v>1926.3161250000003</c:v>
                </c:pt>
                <c:pt idx="49">
                  <c:v>1926.3161250000003</c:v>
                </c:pt>
                <c:pt idx="50">
                  <c:v>1926.3161250000003</c:v>
                </c:pt>
                <c:pt idx="51">
                  <c:v>1926.3161250000003</c:v>
                </c:pt>
                <c:pt idx="52">
                  <c:v>1926.3161250000003</c:v>
                </c:pt>
                <c:pt idx="53">
                  <c:v>1926.3161250000003</c:v>
                </c:pt>
                <c:pt idx="54">
                  <c:v>1926.3161250000003</c:v>
                </c:pt>
                <c:pt idx="55">
                  <c:v>1926.3161250000003</c:v>
                </c:pt>
                <c:pt idx="56">
                  <c:v>1926.3161250000003</c:v>
                </c:pt>
                <c:pt idx="57">
                  <c:v>1926.3161250000003</c:v>
                </c:pt>
                <c:pt idx="58">
                  <c:v>1194.3159974999953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9-459E-87AF-A8FAF6D7C1DF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-114196.07540936412</c:v>
                </c:pt>
                <c:pt idx="1">
                  <c:v>-114176.08130329558</c:v>
                </c:pt>
                <c:pt idx="2">
                  <c:v>-114116.08151817899</c:v>
                </c:pt>
                <c:pt idx="3">
                  <c:v>-114016.02357689691</c:v>
                </c:pt>
                <c:pt idx="4">
                  <c:v>-113875.81976219027</c:v>
                </c:pt>
                <c:pt idx="5">
                  <c:v>-113695.34673081657</c:v>
                </c:pt>
                <c:pt idx="6">
                  <c:v>-113474.44496782463</c:v>
                </c:pt>
                <c:pt idx="7">
                  <c:v>-134492.19807527581</c:v>
                </c:pt>
                <c:pt idx="8">
                  <c:v>-134189.81188794127</c:v>
                </c:pt>
                <c:pt idx="9">
                  <c:v>-133846.29340656169</c:v>
                </c:pt>
                <c:pt idx="10">
                  <c:v>-133461.32953712958</c:v>
                </c:pt>
                <c:pt idx="11">
                  <c:v>-42905.190622300186</c:v>
                </c:pt>
                <c:pt idx="12">
                  <c:v>-132565.60374840006</c:v>
                </c:pt>
                <c:pt idx="13">
                  <c:v>-132054.00080852321</c:v>
                </c:pt>
                <c:pt idx="14">
                  <c:v>-131499.26629880481</c:v>
                </c:pt>
                <c:pt idx="15">
                  <c:v>-130900.8598210604</c:v>
                </c:pt>
                <c:pt idx="16">
                  <c:v>-130258.18826046029</c:v>
                </c:pt>
                <c:pt idx="17">
                  <c:v>-129570.60260165228</c:v>
                </c:pt>
                <c:pt idx="18">
                  <c:v>-128837.39434058662</c:v>
                </c:pt>
                <c:pt idx="19">
                  <c:v>-128057.79144204712</c:v>
                </c:pt>
                <c:pt idx="20">
                  <c:v>-127230.95378430681</c:v>
                </c:pt>
                <c:pt idx="21">
                  <c:v>-126355.96802210786</c:v>
                </c:pt>
                <c:pt idx="22">
                  <c:v>-125431.8417869416</c:v>
                </c:pt>
                <c:pt idx="23">
                  <c:v>-124457.49712890024</c:v>
                </c:pt>
                <c:pt idx="24">
                  <c:v>-123431.76308659429</c:v>
                </c:pt>
                <c:pt idx="25">
                  <c:v>-122353.36725001471</c:v>
                </c:pt>
                <c:pt idx="26">
                  <c:v>-121220.92615479045</c:v>
                </c:pt>
                <c:pt idx="27">
                  <c:v>-120032.93431378734</c:v>
                </c:pt>
                <c:pt idx="28">
                  <c:v>-118787.75165176837</c:v>
                </c:pt>
                <c:pt idx="29">
                  <c:v>-117483.58905873068</c:v>
                </c:pt>
                <c:pt idx="30">
                  <c:v>-116118.49171469627</c:v>
                </c:pt>
                <c:pt idx="31">
                  <c:v>-114690.31975935407</c:v>
                </c:pt>
                <c:pt idx="32">
                  <c:v>-113196.72577890022</c:v>
                </c:pt>
                <c:pt idx="33">
                  <c:v>-111635.1284527274</c:v>
                </c:pt>
                <c:pt idx="34">
                  <c:v>-19873.306534691743</c:v>
                </c:pt>
                <c:pt idx="35">
                  <c:v>-108296.23712421597</c:v>
                </c:pt>
                <c:pt idx="36">
                  <c:v>-106512.30189274845</c:v>
                </c:pt>
                <c:pt idx="37">
                  <c:v>-104646.98454440788</c:v>
                </c:pt>
                <c:pt idx="38">
                  <c:v>-102695.93226746576</c:v>
                </c:pt>
                <c:pt idx="39">
                  <c:v>-100654.25321913815</c:v>
                </c:pt>
                <c:pt idx="40">
                  <c:v>-98516.421095718018</c:v>
                </c:pt>
                <c:pt idx="41">
                  <c:v>-96276.156445515386</c:v>
                </c:pt>
                <c:pt idx="42">
                  <c:v>-93926.277385480396</c:v>
                </c:pt>
                <c:pt idx="43">
                  <c:v>-91458.509470799472</c:v>
                </c:pt>
                <c:pt idx="44">
                  <c:v>-88863.240133307161</c:v>
                </c:pt>
                <c:pt idx="45">
                  <c:v>-86129.196506252716</c:v>
                </c:pt>
                <c:pt idx="46">
                  <c:v>-83243.015145563724</c:v>
                </c:pt>
                <c:pt idx="47">
                  <c:v>-80188.655582644715</c:v>
                </c:pt>
                <c:pt idx="48">
                  <c:v>-76946.582092128359</c:v>
                </c:pt>
                <c:pt idx="49">
                  <c:v>-73492.590476339959</c:v>
                </c:pt>
                <c:pt idx="50">
                  <c:v>-69796.070741749791</c:v>
                </c:pt>
                <c:pt idx="51">
                  <c:v>-65817.332934788268</c:v>
                </c:pt>
                <c:pt idx="52">
                  <c:v>-61503.291339950636</c:v>
                </c:pt>
                <c:pt idx="53">
                  <c:v>-56780.072995176946</c:v>
                </c:pt>
                <c:pt idx="54">
                  <c:v>-51539.346211227385</c:v>
                </c:pt>
                <c:pt idx="55">
                  <c:v>-45610.258001910675</c:v>
                </c:pt>
                <c:pt idx="56">
                  <c:v>-38692.480208040302</c:v>
                </c:pt>
                <c:pt idx="57">
                  <c:v>-30152.637357255022</c:v>
                </c:pt>
                <c:pt idx="58">
                  <c:v>-18736.659960497997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99-459E-87AF-A8FAF6D7C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Distribution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(N/m)</a:t>
                </a:r>
              </a:p>
            </c:rich>
          </c:tx>
          <c:layout>
            <c:manualLayout>
              <c:xMode val="edge"/>
              <c:yMode val="edge"/>
              <c:x val="1.0605992635065791E-3"/>
              <c:y val="0.169458640455941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5107916666666665"/>
          <c:y val="9.0557424076572052E-2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82082104974516"/>
          <c:y val="0.12986729881488063"/>
          <c:w val="0.79000906455260356"/>
          <c:h val="0.74085199701787952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-3161205.4010093315</c:v>
                </c:pt>
                <c:pt idx="1">
                  <c:v>-3092509.5637686662</c:v>
                </c:pt>
                <c:pt idx="2">
                  <c:v>-3023833.7250007973</c:v>
                </c:pt>
                <c:pt idx="3">
                  <c:v>-2955197.9006645284</c:v>
                </c:pt>
                <c:pt idx="4">
                  <c:v>-2886622.1417672564</c:v>
                </c:pt>
                <c:pt idx="5">
                  <c:v>-2818126.5520815053</c:v>
                </c:pt>
                <c:pt idx="6">
                  <c:v>-2749731.3060943452</c:v>
                </c:pt>
                <c:pt idx="7">
                  <c:v>-2681456.6672710702</c:v>
                </c:pt>
                <c:pt idx="8">
                  <c:v>-2613323.0067177657</c:v>
                </c:pt>
                <c:pt idx="9">
                  <c:v>-2545350.8223316404</c:v>
                </c:pt>
                <c:pt idx="10">
                  <c:v>-2477560.7585332175</c:v>
                </c:pt>
                <c:pt idx="11">
                  <c:v>-2409973.6266808603</c:v>
                </c:pt>
                <c:pt idx="12">
                  <c:v>-2342610.4262756854</c:v>
                </c:pt>
                <c:pt idx="13">
                  <c:v>-2275492.3670739545</c:v>
                </c:pt>
                <c:pt idx="14">
                  <c:v>-2208640.8922346225</c:v>
                </c:pt>
                <c:pt idx="15">
                  <c:v>-2142077.7026421558</c:v>
                </c:pt>
                <c:pt idx="16">
                  <c:v>-2075824.7825592761</c:v>
                </c:pt>
                <c:pt idx="17">
                  <c:v>-2009904.4267812483</c:v>
                </c:pt>
                <c:pt idx="18">
                  <c:v>-1944339.2694831882</c:v>
                </c:pt>
                <c:pt idx="19">
                  <c:v>-1879152.3149750298</c:v>
                </c:pt>
                <c:pt idx="20">
                  <c:v>-1814366.9706059415</c:v>
                </c:pt>
                <c:pt idx="21">
                  <c:v>-1750007.0820918377</c:v>
                </c:pt>
                <c:pt idx="22">
                  <c:v>-1686096.9715770753</c:v>
                </c:pt>
                <c:pt idx="23">
                  <c:v>-1622661.4787856145</c:v>
                </c:pt>
                <c:pt idx="24">
                  <c:v>-1559726.0056692413</c:v>
                </c:pt>
                <c:pt idx="25">
                  <c:v>-1497316.5650225892</c:v>
                </c:pt>
                <c:pt idx="26">
                  <c:v>-1435459.8336088876</c:v>
                </c:pt>
                <c:pt idx="27">
                  <c:v>-1374183.2104292428</c:v>
                </c:pt>
                <c:pt idx="28">
                  <c:v>-1313514.8808753542</c:v>
                </c:pt>
                <c:pt idx="29">
                  <c:v>-1253483.8876352292</c:v>
                </c:pt>
                <c:pt idx="30">
                  <c:v>-1194120.2093793727</c:v>
                </c:pt>
                <c:pt idx="31">
                  <c:v>-1135454.8484483599</c:v>
                </c:pt>
                <c:pt idx="32">
                  <c:v>-1077519.9290012964</c:v>
                </c:pt>
                <c:pt idx="33">
                  <c:v>-1020348.8073808893</c:v>
                </c:pt>
                <c:pt idx="34">
                  <c:v>-963976.19682153454</c:v>
                </c:pt>
                <c:pt idx="35">
                  <c:v>-908438.30909430771</c:v>
                </c:pt>
                <c:pt idx="36">
                  <c:v>-853773.01627756655</c:v>
                </c:pt>
                <c:pt idx="37">
                  <c:v>-800020.03660577757</c:v>
                </c:pt>
                <c:pt idx="38">
                  <c:v>-747221.14934030909</c:v>
                </c:pt>
                <c:pt idx="39">
                  <c:v>-695420.44490615826</c:v>
                </c:pt>
                <c:pt idx="40">
                  <c:v>-644664.61826494418</c:v>
                </c:pt>
                <c:pt idx="41">
                  <c:v>-595003.31581713585</c:v>
                </c:pt>
                <c:pt idx="42">
                  <c:v>-546489.54929688689</c:v>
                </c:pt>
                <c:pt idx="43">
                  <c:v>-499180.19452031684</c:v>
                </c:pt>
                <c:pt idx="44">
                  <c:v>-453136.59905679018</c:v>
                </c:pt>
                <c:pt idx="45">
                  <c:v>-408425.33183440025</c:v>
                </c:pt>
                <c:pt idx="46">
                  <c:v>-365119.12085894612</c:v>
                </c:pt>
                <c:pt idx="47">
                  <c:v>-323298.04511439399</c:v>
                </c:pt>
                <c:pt idx="48">
                  <c:v>-283051.07763320074</c:v>
                </c:pt>
                <c:pt idx="49">
                  <c:v>-244478.12642858375</c:v>
                </c:pt>
                <c:pt idx="50">
                  <c:v>-207692.80306156131</c:v>
                </c:pt>
                <c:pt idx="51">
                  <c:v>-172826.29407992677</c:v>
                </c:pt>
                <c:pt idx="52">
                  <c:v>-140032.97994874205</c:v>
                </c:pt>
                <c:pt idx="53">
                  <c:v>-109498.98080246012</c:v>
                </c:pt>
                <c:pt idx="54">
                  <c:v>-81455.967938359041</c:v>
                </c:pt>
                <c:pt idx="55">
                  <c:v>-56205.408822574522</c:v>
                </c:pt>
                <c:pt idx="56">
                  <c:v>-34166.566207586788</c:v>
                </c:pt>
                <c:pt idx="57">
                  <c:v>-15992.12875376296</c:v>
                </c:pt>
                <c:pt idx="58">
                  <c:v>-2989.6463936997056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5-40A4-A099-8221F38BAD07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inertia load'!$AE$45:$AE$104</c:f>
              <c:numCache>
                <c:formatCode>0.0</c:formatCode>
                <c:ptCount val="60"/>
                <c:pt idx="0">
                  <c:v>442134.36124750093</c:v>
                </c:pt>
                <c:pt idx="1">
                  <c:v>418928.76512250089</c:v>
                </c:pt>
                <c:pt idx="2">
                  <c:v>395723.16899750079</c:v>
                </c:pt>
                <c:pt idx="3">
                  <c:v>372517.57287250069</c:v>
                </c:pt>
                <c:pt idx="4">
                  <c:v>349311.97674750065</c:v>
                </c:pt>
                <c:pt idx="5">
                  <c:v>326106.38062250061</c:v>
                </c:pt>
                <c:pt idx="6">
                  <c:v>302900.78449750051</c:v>
                </c:pt>
                <c:pt idx="7">
                  <c:v>279695.1883725003</c:v>
                </c:pt>
                <c:pt idx="8">
                  <c:v>277768.87224750029</c:v>
                </c:pt>
                <c:pt idx="9">
                  <c:v>275842.55612250022</c:v>
                </c:pt>
                <c:pt idx="10">
                  <c:v>273916.2399975002</c:v>
                </c:pt>
                <c:pt idx="11">
                  <c:v>271989.92387250019</c:v>
                </c:pt>
                <c:pt idx="12">
                  <c:v>179934.23274750027</c:v>
                </c:pt>
                <c:pt idx="13">
                  <c:v>178007.91662250028</c:v>
                </c:pt>
                <c:pt idx="14">
                  <c:v>176081.60049750027</c:v>
                </c:pt>
                <c:pt idx="15">
                  <c:v>174155.28437250026</c:v>
                </c:pt>
                <c:pt idx="16">
                  <c:v>172228.96824750025</c:v>
                </c:pt>
                <c:pt idx="17">
                  <c:v>170302.65212250024</c:v>
                </c:pt>
                <c:pt idx="18">
                  <c:v>168376.33599750022</c:v>
                </c:pt>
                <c:pt idx="19">
                  <c:v>166450.01987250021</c:v>
                </c:pt>
                <c:pt idx="20">
                  <c:v>164523.7037475002</c:v>
                </c:pt>
                <c:pt idx="21">
                  <c:v>162597.38762250019</c:v>
                </c:pt>
                <c:pt idx="22">
                  <c:v>160671.07149750018</c:v>
                </c:pt>
                <c:pt idx="23">
                  <c:v>158744.75537250013</c:v>
                </c:pt>
                <c:pt idx="24">
                  <c:v>156818.43924750012</c:v>
                </c:pt>
                <c:pt idx="25">
                  <c:v>154892.12312250011</c:v>
                </c:pt>
                <c:pt idx="26">
                  <c:v>152965.8069975001</c:v>
                </c:pt>
                <c:pt idx="27">
                  <c:v>151039.49087250009</c:v>
                </c:pt>
                <c:pt idx="28">
                  <c:v>149113.17474750007</c:v>
                </c:pt>
                <c:pt idx="29">
                  <c:v>147186.85862250006</c:v>
                </c:pt>
                <c:pt idx="30">
                  <c:v>145260.54249750005</c:v>
                </c:pt>
                <c:pt idx="31">
                  <c:v>143334.22637250004</c:v>
                </c:pt>
                <c:pt idx="32">
                  <c:v>141407.9102475</c:v>
                </c:pt>
                <c:pt idx="33">
                  <c:v>139481.59412249998</c:v>
                </c:pt>
                <c:pt idx="34">
                  <c:v>137555.27799749997</c:v>
                </c:pt>
                <c:pt idx="35">
                  <c:v>45499.586872499996</c:v>
                </c:pt>
                <c:pt idx="36">
                  <c:v>43573.270747499999</c:v>
                </c:pt>
                <c:pt idx="37">
                  <c:v>41646.954622500001</c:v>
                </c:pt>
                <c:pt idx="38">
                  <c:v>39720.638497500004</c:v>
                </c:pt>
                <c:pt idx="39">
                  <c:v>37794.322372500006</c:v>
                </c:pt>
                <c:pt idx="40">
                  <c:v>35868.006247500009</c:v>
                </c:pt>
                <c:pt idx="41">
                  <c:v>33941.690122500011</c:v>
                </c:pt>
                <c:pt idx="42">
                  <c:v>32015.37399750001</c:v>
                </c:pt>
                <c:pt idx="43">
                  <c:v>30089.057872500009</c:v>
                </c:pt>
                <c:pt idx="44">
                  <c:v>28162.741747500007</c:v>
                </c:pt>
                <c:pt idx="45">
                  <c:v>26236.425622500006</c:v>
                </c:pt>
                <c:pt idx="46">
                  <c:v>24310.109497500005</c:v>
                </c:pt>
                <c:pt idx="47">
                  <c:v>22383.793372500004</c:v>
                </c:pt>
                <c:pt idx="48">
                  <c:v>20457.477247500003</c:v>
                </c:pt>
                <c:pt idx="49">
                  <c:v>18531.161122500002</c:v>
                </c:pt>
                <c:pt idx="50">
                  <c:v>16604.8449975</c:v>
                </c:pt>
                <c:pt idx="51">
                  <c:v>14678.528872499999</c:v>
                </c:pt>
                <c:pt idx="52">
                  <c:v>12752.212747499998</c:v>
                </c:pt>
                <c:pt idx="53">
                  <c:v>10825.896622499997</c:v>
                </c:pt>
                <c:pt idx="54">
                  <c:v>8899.5804974999955</c:v>
                </c:pt>
                <c:pt idx="55">
                  <c:v>6973.2643724999962</c:v>
                </c:pt>
                <c:pt idx="56">
                  <c:v>5046.9482474999959</c:v>
                </c:pt>
                <c:pt idx="57">
                  <c:v>3120.6321224999956</c:v>
                </c:pt>
                <c:pt idx="58">
                  <c:v>1194.3159974999953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85-40A4-A099-8221F38BAD07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-2719071.0397618306</c:v>
                </c:pt>
                <c:pt idx="1">
                  <c:v>-2673580.7986461655</c:v>
                </c:pt>
                <c:pt idx="2">
                  <c:v>-2628110.5560032967</c:v>
                </c:pt>
                <c:pt idx="3">
                  <c:v>-2582680.3277920275</c:v>
                </c:pt>
                <c:pt idx="4">
                  <c:v>-2537310.1650197557</c:v>
                </c:pt>
                <c:pt idx="5">
                  <c:v>-2492020.1714590047</c:v>
                </c:pt>
                <c:pt idx="6">
                  <c:v>-2446830.5215968448</c:v>
                </c:pt>
                <c:pt idx="7">
                  <c:v>-2401761.4788985699</c:v>
                </c:pt>
                <c:pt idx="8">
                  <c:v>-2335554.1344702654</c:v>
                </c:pt>
                <c:pt idx="9">
                  <c:v>-2269508.2662091404</c:v>
                </c:pt>
                <c:pt idx="10">
                  <c:v>-2203644.5185357174</c:v>
                </c:pt>
                <c:pt idx="11">
                  <c:v>-2137983.7028083601</c:v>
                </c:pt>
                <c:pt idx="12">
                  <c:v>-2162676.1935281851</c:v>
                </c:pt>
                <c:pt idx="13">
                  <c:v>-2097484.4504514541</c:v>
                </c:pt>
                <c:pt idx="14">
                  <c:v>-2032559.2917371222</c:v>
                </c:pt>
                <c:pt idx="15">
                  <c:v>-1967922.4182696557</c:v>
                </c:pt>
                <c:pt idx="16">
                  <c:v>-1903595.8143117758</c:v>
                </c:pt>
                <c:pt idx="17">
                  <c:v>-1839601.7746587479</c:v>
                </c:pt>
                <c:pt idx="18">
                  <c:v>-1775962.9334856879</c:v>
                </c:pt>
                <c:pt idx="19">
                  <c:v>-1712702.2951025297</c:v>
                </c:pt>
                <c:pt idx="20">
                  <c:v>-1649843.2668584413</c:v>
                </c:pt>
                <c:pt idx="21">
                  <c:v>-1587409.6944693374</c:v>
                </c:pt>
                <c:pt idx="22">
                  <c:v>-1525425.9000795751</c:v>
                </c:pt>
                <c:pt idx="23">
                  <c:v>-1463916.7234131144</c:v>
                </c:pt>
                <c:pt idx="24">
                  <c:v>-1402907.5664217412</c:v>
                </c:pt>
                <c:pt idx="25">
                  <c:v>-1342424.4419000892</c:v>
                </c:pt>
                <c:pt idx="26">
                  <c:v>-1282494.0266113875</c:v>
                </c:pt>
                <c:pt idx="27">
                  <c:v>-1223143.7195567428</c:v>
                </c:pt>
                <c:pt idx="28">
                  <c:v>-1164401.7061278541</c:v>
                </c:pt>
                <c:pt idx="29">
                  <c:v>-1106297.0290127292</c:v>
                </c:pt>
                <c:pt idx="30">
                  <c:v>-1048859.6668818726</c:v>
                </c:pt>
                <c:pt idx="31">
                  <c:v>-992120.62207585981</c:v>
                </c:pt>
                <c:pt idx="32">
                  <c:v>-936112.01875379635</c:v>
                </c:pt>
                <c:pt idx="33">
                  <c:v>-880867.21325838938</c:v>
                </c:pt>
                <c:pt idx="34">
                  <c:v>-826420.91882403451</c:v>
                </c:pt>
                <c:pt idx="35">
                  <c:v>-862938.72222180769</c:v>
                </c:pt>
                <c:pt idx="36">
                  <c:v>-810199.74553006655</c:v>
                </c:pt>
                <c:pt idx="37">
                  <c:v>-758373.08198327757</c:v>
                </c:pt>
                <c:pt idx="38">
                  <c:v>-707500.5108428091</c:v>
                </c:pt>
                <c:pt idx="39">
                  <c:v>-657626.12253365829</c:v>
                </c:pt>
                <c:pt idx="40">
                  <c:v>-608796.61201744422</c:v>
                </c:pt>
                <c:pt idx="41">
                  <c:v>-561061.62569463579</c:v>
                </c:pt>
                <c:pt idx="42">
                  <c:v>-514474.1752993869</c:v>
                </c:pt>
                <c:pt idx="43">
                  <c:v>-469091.13664781686</c:v>
                </c:pt>
                <c:pt idx="44">
                  <c:v>-424973.85730929015</c:v>
                </c:pt>
                <c:pt idx="45">
                  <c:v>-382188.90621190023</c:v>
                </c:pt>
                <c:pt idx="46">
                  <c:v>-340809.01136144612</c:v>
                </c:pt>
                <c:pt idx="47">
                  <c:v>-300914.251741894</c:v>
                </c:pt>
                <c:pt idx="48">
                  <c:v>-262593.60038570076</c:v>
                </c:pt>
                <c:pt idx="49">
                  <c:v>-225946.96530608376</c:v>
                </c:pt>
                <c:pt idx="50">
                  <c:v>-191087.9580640613</c:v>
                </c:pt>
                <c:pt idx="51">
                  <c:v>-158147.76520742677</c:v>
                </c:pt>
                <c:pt idx="52">
                  <c:v>-127280.76720124205</c:v>
                </c:pt>
                <c:pt idx="53">
                  <c:v>-98673.084179960133</c:v>
                </c:pt>
                <c:pt idx="54">
                  <c:v>-72556.387440859049</c:v>
                </c:pt>
                <c:pt idx="55">
                  <c:v>-49232.144450074527</c:v>
                </c:pt>
                <c:pt idx="56">
                  <c:v>-29119.617960086791</c:v>
                </c:pt>
                <c:pt idx="57">
                  <c:v>-12871.496631262964</c:v>
                </c:pt>
                <c:pt idx="58">
                  <c:v>-1795.3303961997103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85-40A4-A099-8221F38BA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Shear Force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(N)</a:t>
                </a:r>
              </a:p>
            </c:rich>
          </c:tx>
          <c:layout>
            <c:manualLayout>
              <c:xMode val="edge"/>
              <c:yMode val="edge"/>
              <c:x val="1.0605193211454163E-3"/>
              <c:y val="0.26383666666666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5107216386264866"/>
          <c:y val="0.63814914710368997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292451952336073"/>
          <c:y val="0.12986724734229133"/>
          <c:w val="0.76171647468711468"/>
          <c:h val="0.74085209973056287"/>
        </c:manualLayout>
      </c:layout>
      <c:scatterChart>
        <c:scatterStyle val="lineMarker"/>
        <c:varyColors val="0"/>
        <c:ser>
          <c:idx val="0"/>
          <c:order val="0"/>
          <c:tx>
            <c:v>Aero</c:v>
          </c:tx>
          <c:spPr>
            <a:ln w="9525" cap="rnd">
              <a:solidFill>
                <a:srgbClr val="00808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-39299274.806276791</c:v>
                </c:pt>
                <c:pt idx="1">
                  <c:v>-37735846.065082289</c:v>
                </c:pt>
                <c:pt idx="2">
                  <c:v>-36206760.242889926</c:v>
                </c:pt>
                <c:pt idx="3">
                  <c:v>-34712002.336473584</c:v>
                </c:pt>
                <c:pt idx="4">
                  <c:v>-33251547.32586566</c:v>
                </c:pt>
                <c:pt idx="5">
                  <c:v>-31825360.15240347</c:v>
                </c:pt>
                <c:pt idx="6">
                  <c:v>-30433395.687859509</c:v>
                </c:pt>
                <c:pt idx="7">
                  <c:v>-29075598.694518153</c:v>
                </c:pt>
                <c:pt idx="8">
                  <c:v>-27751903.776020944</c:v>
                </c:pt>
                <c:pt idx="9">
                  <c:v>-26462235.318758592</c:v>
                </c:pt>
                <c:pt idx="10">
                  <c:v>-25206507.423542373</c:v>
                </c:pt>
                <c:pt idx="11">
                  <c:v>-23984623.827238854</c:v>
                </c:pt>
                <c:pt idx="12">
                  <c:v>-22796477.81399972</c:v>
                </c:pt>
                <c:pt idx="13">
                  <c:v>-21641952.11566231</c:v>
                </c:pt>
                <c:pt idx="14">
                  <c:v>-20520918.80083517</c:v>
                </c:pt>
                <c:pt idx="15">
                  <c:v>-19433239.152115971</c:v>
                </c:pt>
                <c:pt idx="16">
                  <c:v>-18378763.530815616</c:v>
                </c:pt>
                <c:pt idx="17">
                  <c:v>-17357331.228480488</c:v>
                </c:pt>
                <c:pt idx="18">
                  <c:v>-16368770.304414369</c:v>
                </c:pt>
                <c:pt idx="19">
                  <c:v>-15412897.408299815</c:v>
                </c:pt>
                <c:pt idx="20">
                  <c:v>-14489517.586904574</c:v>
                </c:pt>
                <c:pt idx="21">
                  <c:v>-13598424.073730126</c:v>
                </c:pt>
                <c:pt idx="22">
                  <c:v>-12739398.060312901</c:v>
                </c:pt>
                <c:pt idx="23">
                  <c:v>-11912208.447722226</c:v>
                </c:pt>
                <c:pt idx="24">
                  <c:v>-11116611.576608513</c:v>
                </c:pt>
                <c:pt idx="25">
                  <c:v>-10352350.933935553</c:v>
                </c:pt>
                <c:pt idx="26">
                  <c:v>-9619156.8342776857</c:v>
                </c:pt>
                <c:pt idx="27">
                  <c:v>-8916746.0732681528</c:v>
                </c:pt>
                <c:pt idx="28">
                  <c:v>-8244821.5504420064</c:v>
                </c:pt>
                <c:pt idx="29">
                  <c:v>-7603071.8583143596</c:v>
                </c:pt>
                <c:pt idx="30">
                  <c:v>-6991170.8340607099</c:v>
                </c:pt>
                <c:pt idx="31">
                  <c:v>-6408777.0696037766</c:v>
                </c:pt>
                <c:pt idx="32">
                  <c:v>-5855533.3752413625</c:v>
                </c:pt>
                <c:pt idx="33">
                  <c:v>-5331066.1911458159</c:v>
                </c:pt>
                <c:pt idx="34">
                  <c:v>-4834984.9400952104</c:v>
                </c:pt>
                <c:pt idx="35">
                  <c:v>-4366881.3136162488</c:v>
                </c:pt>
                <c:pt idx="36">
                  <c:v>-3926328.4822732802</c:v>
                </c:pt>
                <c:pt idx="37">
                  <c:v>-3512880.2190524437</c:v>
                </c:pt>
                <c:pt idx="38">
                  <c:v>-3126069.9225659226</c:v>
                </c:pt>
                <c:pt idx="39">
                  <c:v>-2765409.5240043057</c:v>
                </c:pt>
                <c:pt idx="40">
                  <c:v>-2430388.2582115298</c:v>
                </c:pt>
                <c:pt idx="41">
                  <c:v>-2120471.2746910104</c:v>
                </c:pt>
                <c:pt idx="42">
                  <c:v>-1835098.0584125044</c:v>
                </c:pt>
                <c:pt idx="43">
                  <c:v>-1573680.6224582037</c:v>
                </c:pt>
                <c:pt idx="44">
                  <c:v>-1335601.4240639268</c:v>
                </c:pt>
                <c:pt idx="45">
                  <c:v>-1120210.9413411289</c:v>
                </c:pt>
                <c:pt idx="46">
                  <c:v>-926824.82816779241</c:v>
                </c:pt>
                <c:pt idx="47">
                  <c:v>-754720.53667445737</c:v>
                </c:pt>
                <c:pt idx="48">
                  <c:v>-603133.25598755875</c:v>
                </c:pt>
                <c:pt idx="49">
                  <c:v>-471250.95497211261</c:v>
                </c:pt>
                <c:pt idx="50">
                  <c:v>-358208.22259957634</c:v>
                </c:pt>
                <c:pt idx="51">
                  <c:v>-263078.44831420435</c:v>
                </c:pt>
                <c:pt idx="52">
                  <c:v>-184863.62980703713</c:v>
                </c:pt>
                <c:pt idx="53">
                  <c:v>-122480.63961923658</c:v>
                </c:pt>
                <c:pt idx="54">
                  <c:v>-74741.902434031785</c:v>
                </c:pt>
                <c:pt idx="55">
                  <c:v>-40326.55824379839</c:v>
                </c:pt>
                <c:pt idx="56">
                  <c:v>-17733.564486258059</c:v>
                </c:pt>
                <c:pt idx="57">
                  <c:v>-5193.890745920623</c:v>
                </c:pt>
                <c:pt idx="58">
                  <c:v>-448.44695905495689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6B-48D7-B25F-89D8E6B1281E}"/>
            </c:ext>
          </c:extLst>
        </c:ser>
        <c:ser>
          <c:idx val="1"/>
          <c:order val="1"/>
          <c:tx>
            <c:v>Inertia</c:v>
          </c:tx>
          <c:spPr>
            <a:ln w="9525" cap="rnd">
              <a:solidFill>
                <a:srgbClr val="8B451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inertia load'!$AF$45:$AF$104</c:f>
              <c:numCache>
                <c:formatCode>0.0</c:formatCode>
                <c:ptCount val="60"/>
                <c:pt idx="0">
                  <c:v>3988498.9490321171</c:v>
                </c:pt>
                <c:pt idx="1">
                  <c:v>3773233.1674396168</c:v>
                </c:pt>
                <c:pt idx="2">
                  <c:v>3569570.183909616</c:v>
                </c:pt>
                <c:pt idx="3">
                  <c:v>3377509.9984421157</c:v>
                </c:pt>
                <c:pt idx="4">
                  <c:v>3197052.6110371156</c:v>
                </c:pt>
                <c:pt idx="5">
                  <c:v>3028198.021694615</c:v>
                </c:pt>
                <c:pt idx="6">
                  <c:v>2870946.2304146145</c:v>
                </c:pt>
                <c:pt idx="7">
                  <c:v>2725297.2371971146</c:v>
                </c:pt>
                <c:pt idx="8">
                  <c:v>2585931.2220421149</c:v>
                </c:pt>
                <c:pt idx="9">
                  <c:v>2447528.3649496147</c:v>
                </c:pt>
                <c:pt idx="10">
                  <c:v>2310088.6659196145</c:v>
                </c:pt>
                <c:pt idx="11">
                  <c:v>2173612.1249521142</c:v>
                </c:pt>
                <c:pt idx="12">
                  <c:v>2060631.0857971145</c:v>
                </c:pt>
                <c:pt idx="13">
                  <c:v>1971145.5484546141</c:v>
                </c:pt>
                <c:pt idx="14">
                  <c:v>1882623.1691746141</c:v>
                </c:pt>
                <c:pt idx="15">
                  <c:v>1795063.9479571141</c:v>
                </c:pt>
                <c:pt idx="16">
                  <c:v>1708467.884802114</c:v>
                </c:pt>
                <c:pt idx="17">
                  <c:v>1622834.9797096138</c:v>
                </c:pt>
                <c:pt idx="18">
                  <c:v>1538165.2326796136</c:v>
                </c:pt>
                <c:pt idx="19">
                  <c:v>1454458.6437121134</c:v>
                </c:pt>
                <c:pt idx="20">
                  <c:v>1371715.2128071131</c:v>
                </c:pt>
                <c:pt idx="21">
                  <c:v>1289934.9399646132</c:v>
                </c:pt>
                <c:pt idx="22">
                  <c:v>1209117.8251846132</c:v>
                </c:pt>
                <c:pt idx="23">
                  <c:v>1129263.868467113</c:v>
                </c:pt>
                <c:pt idx="24">
                  <c:v>1050373.0698121127</c:v>
                </c:pt>
                <c:pt idx="25">
                  <c:v>972445.42921961262</c:v>
                </c:pt>
                <c:pt idx="26">
                  <c:v>895480.94668961258</c:v>
                </c:pt>
                <c:pt idx="27">
                  <c:v>819479.62222211261</c:v>
                </c:pt>
                <c:pt idx="28">
                  <c:v>744441.45581711247</c:v>
                </c:pt>
                <c:pt idx="29">
                  <c:v>670366.44747461251</c:v>
                </c:pt>
                <c:pt idx="30">
                  <c:v>597254.59719461238</c:v>
                </c:pt>
                <c:pt idx="31">
                  <c:v>525105.90497711254</c:v>
                </c:pt>
                <c:pt idx="32">
                  <c:v>453920.37082211243</c:v>
                </c:pt>
                <c:pt idx="33">
                  <c:v>383697.99472961249</c:v>
                </c:pt>
                <c:pt idx="34">
                  <c:v>314438.77669961244</c:v>
                </c:pt>
                <c:pt idx="35">
                  <c:v>268675.06048211246</c:v>
                </c:pt>
                <c:pt idx="36">
                  <c:v>246406.84607711251</c:v>
                </c:pt>
                <c:pt idx="37">
                  <c:v>225101.78973461254</c:v>
                </c:pt>
                <c:pt idx="38">
                  <c:v>204759.89145461252</c:v>
                </c:pt>
                <c:pt idx="39">
                  <c:v>185381.15123711253</c:v>
                </c:pt>
                <c:pt idx="40">
                  <c:v>166965.56908211252</c:v>
                </c:pt>
                <c:pt idx="41">
                  <c:v>149513.14498961251</c:v>
                </c:pt>
                <c:pt idx="42">
                  <c:v>133023.87895961254</c:v>
                </c:pt>
                <c:pt idx="43">
                  <c:v>117497.77099211251</c:v>
                </c:pt>
                <c:pt idx="44">
                  <c:v>102934.82108711252</c:v>
                </c:pt>
                <c:pt idx="45">
                  <c:v>89335.02924461251</c:v>
                </c:pt>
                <c:pt idx="46">
                  <c:v>76698.395464612491</c:v>
                </c:pt>
                <c:pt idx="47">
                  <c:v>65024.919747112486</c:v>
                </c:pt>
                <c:pt idx="48">
                  <c:v>54314.60209211248</c:v>
                </c:pt>
                <c:pt idx="49">
                  <c:v>44567.44249961248</c:v>
                </c:pt>
                <c:pt idx="50">
                  <c:v>35783.440969612479</c:v>
                </c:pt>
                <c:pt idx="51">
                  <c:v>27962.597502112487</c:v>
                </c:pt>
                <c:pt idx="52">
                  <c:v>21104.912097112487</c:v>
                </c:pt>
                <c:pt idx="53">
                  <c:v>15210.384754612487</c:v>
                </c:pt>
                <c:pt idx="54">
                  <c:v>10279.01547461249</c:v>
                </c:pt>
                <c:pt idx="55">
                  <c:v>6310.8042571124915</c:v>
                </c:pt>
                <c:pt idx="56">
                  <c:v>3305.7511021124942</c:v>
                </c:pt>
                <c:pt idx="57">
                  <c:v>1263.8560096124963</c:v>
                </c:pt>
                <c:pt idx="58">
                  <c:v>185.11897961249852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6B-48D7-B25F-89D8E6B1281E}"/>
            </c:ext>
          </c:extLst>
        </c:ser>
        <c:ser>
          <c:idx val="2"/>
          <c:order val="2"/>
          <c:tx>
            <c:v>Aero+Inertia</c:v>
          </c:tx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-35310775.85724467</c:v>
                </c:pt>
                <c:pt idx="1">
                  <c:v>-33962612.897642672</c:v>
                </c:pt>
                <c:pt idx="2">
                  <c:v>-32637190.058980308</c:v>
                </c:pt>
                <c:pt idx="3">
                  <c:v>-31334492.338031467</c:v>
                </c:pt>
                <c:pt idx="4">
                  <c:v>-30054494.714828543</c:v>
                </c:pt>
                <c:pt idx="5">
                  <c:v>-28797162.130708855</c:v>
                </c:pt>
                <c:pt idx="6">
                  <c:v>-27562449.457444895</c:v>
                </c:pt>
                <c:pt idx="7">
                  <c:v>-26350301.457321037</c:v>
                </c:pt>
                <c:pt idx="8">
                  <c:v>-25165972.553978831</c:v>
                </c:pt>
                <c:pt idx="9">
                  <c:v>-24014706.953808978</c:v>
                </c:pt>
                <c:pt idx="10">
                  <c:v>-22896418.75762276</c:v>
                </c:pt>
                <c:pt idx="11">
                  <c:v>-21811011.702286739</c:v>
                </c:pt>
                <c:pt idx="12">
                  <c:v>-20735846.728202604</c:v>
                </c:pt>
                <c:pt idx="13">
                  <c:v>-19670806.567207698</c:v>
                </c:pt>
                <c:pt idx="14">
                  <c:v>-18638295.631660555</c:v>
                </c:pt>
                <c:pt idx="15">
                  <c:v>-17638175.204158857</c:v>
                </c:pt>
                <c:pt idx="16">
                  <c:v>-16670295.646013502</c:v>
                </c:pt>
                <c:pt idx="17">
                  <c:v>-15734496.248770874</c:v>
                </c:pt>
                <c:pt idx="18">
                  <c:v>-14830605.071734756</c:v>
                </c:pt>
                <c:pt idx="19">
                  <c:v>-13958438.764587702</c:v>
                </c:pt>
                <c:pt idx="20">
                  <c:v>-13117802.374097461</c:v>
                </c:pt>
                <c:pt idx="21">
                  <c:v>-12308489.133765513</c:v>
                </c:pt>
                <c:pt idx="22">
                  <c:v>-11530280.235128287</c:v>
                </c:pt>
                <c:pt idx="23">
                  <c:v>-10782944.579255113</c:v>
                </c:pt>
                <c:pt idx="24">
                  <c:v>-10066238.506796399</c:v>
                </c:pt>
                <c:pt idx="25">
                  <c:v>-9379905.50471594</c:v>
                </c:pt>
                <c:pt idx="26">
                  <c:v>-8723675.8875880726</c:v>
                </c:pt>
                <c:pt idx="27">
                  <c:v>-8097266.4510460403</c:v>
                </c:pt>
                <c:pt idx="28">
                  <c:v>-7500380.0946248937</c:v>
                </c:pt>
                <c:pt idx="29">
                  <c:v>-6932705.4108397467</c:v>
                </c:pt>
                <c:pt idx="30">
                  <c:v>-6393916.2368660979</c:v>
                </c:pt>
                <c:pt idx="31">
                  <c:v>-5883671.1646266636</c:v>
                </c:pt>
                <c:pt idx="32">
                  <c:v>-5401613.0044192504</c:v>
                </c:pt>
                <c:pt idx="33">
                  <c:v>-4947368.1964162029</c:v>
                </c:pt>
                <c:pt idx="34">
                  <c:v>-4520546.1633955976</c:v>
                </c:pt>
                <c:pt idx="35">
                  <c:v>-4098206.2531341361</c:v>
                </c:pt>
                <c:pt idx="36">
                  <c:v>-3679921.6361961677</c:v>
                </c:pt>
                <c:pt idx="37">
                  <c:v>-3287778.4293178311</c:v>
                </c:pt>
                <c:pt idx="38">
                  <c:v>-2921310.0311113102</c:v>
                </c:pt>
                <c:pt idx="39">
                  <c:v>-2580028.3727671932</c:v>
                </c:pt>
                <c:pt idx="40">
                  <c:v>-2263422.6891294173</c:v>
                </c:pt>
                <c:pt idx="41">
                  <c:v>-1970958.1297013978</c:v>
                </c:pt>
                <c:pt idx="42">
                  <c:v>-1702074.1794528919</c:v>
                </c:pt>
                <c:pt idx="43">
                  <c:v>-1456182.8514660911</c:v>
                </c:pt>
                <c:pt idx="44">
                  <c:v>-1232666.6029768144</c:v>
                </c:pt>
                <c:pt idx="45">
                  <c:v>-1030875.9120965163</c:v>
                </c:pt>
                <c:pt idx="46">
                  <c:v>-850126.43270317989</c:v>
                </c:pt>
                <c:pt idx="47">
                  <c:v>-689695.61692734493</c:v>
                </c:pt>
                <c:pt idx="48">
                  <c:v>-548818.65389544622</c:v>
                </c:pt>
                <c:pt idx="49">
                  <c:v>-426683.51247250015</c:v>
                </c:pt>
                <c:pt idx="50">
                  <c:v>-322424.78162996389</c:v>
                </c:pt>
                <c:pt idx="51">
                  <c:v>-235115.85081209187</c:v>
                </c:pt>
                <c:pt idx="52">
                  <c:v>-163758.71770992465</c:v>
                </c:pt>
                <c:pt idx="53">
                  <c:v>-107270.25486462409</c:v>
                </c:pt>
                <c:pt idx="54">
                  <c:v>-64462.886959419295</c:v>
                </c:pt>
                <c:pt idx="55">
                  <c:v>-34015.753986685901</c:v>
                </c:pt>
                <c:pt idx="56">
                  <c:v>-14427.813384145566</c:v>
                </c:pt>
                <c:pt idx="57">
                  <c:v>-3930.0347363081264</c:v>
                </c:pt>
                <c:pt idx="58">
                  <c:v>-263.3279794424584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6B-48D7-B25F-89D8E6B12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Bending Moment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5193211454163E-3"/>
              <c:y val="0.18041777777777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5107214211626485"/>
          <c:y val="0.63855088139477978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load'!$H$46:$H$105</c:f>
              <c:numCache>
                <c:formatCode>0.0</c:formatCode>
                <c:ptCount val="60"/>
                <c:pt idx="0">
                  <c:v>6497366.6531018866</c:v>
                </c:pt>
                <c:pt idx="1">
                  <c:v>6493745.3072079616</c:v>
                </c:pt>
                <c:pt idx="2">
                  <c:v>6490123.9613140365</c:v>
                </c:pt>
                <c:pt idx="3">
                  <c:v>6486502.6154201115</c:v>
                </c:pt>
                <c:pt idx="4">
                  <c:v>6482881.2695261864</c:v>
                </c:pt>
                <c:pt idx="5">
                  <c:v>6479259.9236322613</c:v>
                </c:pt>
                <c:pt idx="6">
                  <c:v>6475638.5777383363</c:v>
                </c:pt>
                <c:pt idx="7">
                  <c:v>525808.30779440841</c:v>
                </c:pt>
                <c:pt idx="8">
                  <c:v>522186.96190048341</c:v>
                </c:pt>
                <c:pt idx="9">
                  <c:v>518565.61600655841</c:v>
                </c:pt>
                <c:pt idx="10">
                  <c:v>514944.27011263341</c:v>
                </c:pt>
                <c:pt idx="11">
                  <c:v>511322.92421870842</c:v>
                </c:pt>
                <c:pt idx="12">
                  <c:v>338264.36194978346</c:v>
                </c:pt>
                <c:pt idx="13">
                  <c:v>334643.01605585846</c:v>
                </c:pt>
                <c:pt idx="14">
                  <c:v>331021.67016193346</c:v>
                </c:pt>
                <c:pt idx="15">
                  <c:v>327400.32426800847</c:v>
                </c:pt>
                <c:pt idx="16">
                  <c:v>323778.97837408347</c:v>
                </c:pt>
                <c:pt idx="17">
                  <c:v>320157.63248015847</c:v>
                </c:pt>
                <c:pt idx="18">
                  <c:v>316536.28658623347</c:v>
                </c:pt>
                <c:pt idx="19">
                  <c:v>312914.94069230848</c:v>
                </c:pt>
                <c:pt idx="20">
                  <c:v>309293.59479838348</c:v>
                </c:pt>
                <c:pt idx="21">
                  <c:v>305672.24890445848</c:v>
                </c:pt>
                <c:pt idx="22">
                  <c:v>302050.90301053348</c:v>
                </c:pt>
                <c:pt idx="23">
                  <c:v>298429.55711660848</c:v>
                </c:pt>
                <c:pt idx="24">
                  <c:v>294808.21122268349</c:v>
                </c:pt>
                <c:pt idx="25">
                  <c:v>291186.86532875849</c:v>
                </c:pt>
                <c:pt idx="26">
                  <c:v>287565.51943483349</c:v>
                </c:pt>
                <c:pt idx="27">
                  <c:v>283944.17354090849</c:v>
                </c:pt>
                <c:pt idx="28">
                  <c:v>280322.8276469835</c:v>
                </c:pt>
                <c:pt idx="29">
                  <c:v>276701.48175305844</c:v>
                </c:pt>
                <c:pt idx="30">
                  <c:v>273080.13585913344</c:v>
                </c:pt>
                <c:pt idx="31">
                  <c:v>269458.78996520845</c:v>
                </c:pt>
                <c:pt idx="32">
                  <c:v>265837.44407128345</c:v>
                </c:pt>
                <c:pt idx="33">
                  <c:v>262216.09817735845</c:v>
                </c:pt>
                <c:pt idx="34">
                  <c:v>258594.75228343345</c:v>
                </c:pt>
                <c:pt idx="35">
                  <c:v>85536.190014508466</c:v>
                </c:pt>
                <c:pt idx="36">
                  <c:v>81914.844120583468</c:v>
                </c:pt>
                <c:pt idx="37">
                  <c:v>78293.49822665847</c:v>
                </c:pt>
                <c:pt idx="38">
                  <c:v>74672.152332733473</c:v>
                </c:pt>
                <c:pt idx="39">
                  <c:v>71050.806438808475</c:v>
                </c:pt>
                <c:pt idx="40">
                  <c:v>67429.460544883477</c:v>
                </c:pt>
                <c:pt idx="41">
                  <c:v>63808.11465095848</c:v>
                </c:pt>
                <c:pt idx="42">
                  <c:v>60186.768757033482</c:v>
                </c:pt>
                <c:pt idx="43">
                  <c:v>56565.422863108484</c:v>
                </c:pt>
                <c:pt idx="44">
                  <c:v>52944.076969183487</c:v>
                </c:pt>
                <c:pt idx="45">
                  <c:v>49322.731075258489</c:v>
                </c:pt>
                <c:pt idx="46">
                  <c:v>45701.385181333491</c:v>
                </c:pt>
                <c:pt idx="47">
                  <c:v>42080.039287408494</c:v>
                </c:pt>
                <c:pt idx="48">
                  <c:v>38458.693393483496</c:v>
                </c:pt>
                <c:pt idx="49">
                  <c:v>34837.347499558498</c:v>
                </c:pt>
                <c:pt idx="50">
                  <c:v>31216.001605633497</c:v>
                </c:pt>
                <c:pt idx="51">
                  <c:v>27594.655711708496</c:v>
                </c:pt>
                <c:pt idx="52">
                  <c:v>23973.309817783495</c:v>
                </c:pt>
                <c:pt idx="53">
                  <c:v>20351.963923858493</c:v>
                </c:pt>
                <c:pt idx="54">
                  <c:v>16730.618029933492</c:v>
                </c:pt>
                <c:pt idx="55">
                  <c:v>13109.272136008491</c:v>
                </c:pt>
                <c:pt idx="56">
                  <c:v>9487.9262420834912</c:v>
                </c:pt>
                <c:pt idx="57">
                  <c:v>5866.5803481584917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0-4691-A52B-1AF6DDE7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load'!$J$46:$J$105</c:f>
              <c:numCache>
                <c:formatCode>0.0</c:formatCode>
                <c:ptCount val="60"/>
                <c:pt idx="0">
                  <c:v>26333246.687091615</c:v>
                </c:pt>
                <c:pt idx="1">
                  <c:v>23085468.697014149</c:v>
                </c:pt>
                <c:pt idx="2">
                  <c:v>19839501.379883651</c:v>
                </c:pt>
                <c:pt idx="3">
                  <c:v>16595344.735700117</c:v>
                </c:pt>
                <c:pt idx="4">
                  <c:v>13352998.764463542</c:v>
                </c:pt>
                <c:pt idx="5">
                  <c:v>10112463.466173928</c:v>
                </c:pt>
                <c:pt idx="6">
                  <c:v>6873738.8408312714</c:v>
                </c:pt>
                <c:pt idx="7">
                  <c:v>5123377.1194480881</c:v>
                </c:pt>
                <c:pt idx="8">
                  <c:v>4861378.3020243663</c:v>
                </c:pt>
                <c:pt idx="9">
                  <c:v>4601190.1575476052</c:v>
                </c:pt>
                <c:pt idx="10">
                  <c:v>4342812.6860178076</c:v>
                </c:pt>
                <c:pt idx="11">
                  <c:v>4086245.8874349743</c:v>
                </c:pt>
                <c:pt idx="12">
                  <c:v>3873849.0658928519</c:v>
                </c:pt>
                <c:pt idx="13">
                  <c:v>3705622.2213914413</c:v>
                </c:pt>
                <c:pt idx="14">
                  <c:v>3539206.0498369923</c:v>
                </c:pt>
                <c:pt idx="15">
                  <c:v>3374600.5512295067</c:v>
                </c:pt>
                <c:pt idx="16">
                  <c:v>3211805.7255689837</c:v>
                </c:pt>
                <c:pt idx="17">
                  <c:v>3050821.5728554232</c:v>
                </c:pt>
                <c:pt idx="18">
                  <c:v>2891648.0930888252</c:v>
                </c:pt>
                <c:pt idx="19">
                  <c:v>2734285.2862691898</c:v>
                </c:pt>
                <c:pt idx="20">
                  <c:v>2578733.1523965169</c:v>
                </c:pt>
                <c:pt idx="21">
                  <c:v>2424991.6914708065</c:v>
                </c:pt>
                <c:pt idx="22">
                  <c:v>2273060.9034920596</c:v>
                </c:pt>
                <c:pt idx="23">
                  <c:v>2122940.7884602733</c:v>
                </c:pt>
                <c:pt idx="24">
                  <c:v>1974631.3463754503</c:v>
                </c:pt>
                <c:pt idx="25">
                  <c:v>1828132.57723759</c:v>
                </c:pt>
                <c:pt idx="26">
                  <c:v>1683444.4810466918</c:v>
                </c:pt>
                <c:pt idx="27">
                  <c:v>1540567.0578027561</c:v>
                </c:pt>
                <c:pt idx="28">
                  <c:v>1399500.3075057834</c:v>
                </c:pt>
                <c:pt idx="29">
                  <c:v>1260244.2301557728</c:v>
                </c:pt>
                <c:pt idx="30">
                  <c:v>1122798.8257527249</c:v>
                </c:pt>
                <c:pt idx="31">
                  <c:v>987164.09429663932</c:v>
                </c:pt>
                <c:pt idx="32">
                  <c:v>853340.03578751627</c:v>
                </c:pt>
                <c:pt idx="33">
                  <c:v>721326.65022535576</c:v>
                </c:pt>
                <c:pt idx="34">
                  <c:v>591123.93761015777</c:v>
                </c:pt>
                <c:pt idx="35">
                  <c:v>505091.20203567244</c:v>
                </c:pt>
                <c:pt idx="36">
                  <c:v>463228.44350189943</c:v>
                </c:pt>
                <c:pt idx="37">
                  <c:v>423176.35791508894</c:v>
                </c:pt>
                <c:pt idx="38">
                  <c:v>384934.94527524099</c:v>
                </c:pt>
                <c:pt idx="39">
                  <c:v>348504.20558235556</c:v>
                </c:pt>
                <c:pt idx="40">
                  <c:v>313884.1388364326</c:v>
                </c:pt>
                <c:pt idx="41">
                  <c:v>281074.74503747211</c:v>
                </c:pt>
                <c:pt idx="42">
                  <c:v>250076.02418547421</c:v>
                </c:pt>
                <c:pt idx="43">
                  <c:v>220887.97628043871</c:v>
                </c:pt>
                <c:pt idx="44">
                  <c:v>193510.60132236572</c:v>
                </c:pt>
                <c:pt idx="45">
                  <c:v>167943.89931125523</c:v>
                </c:pt>
                <c:pt idx="46">
                  <c:v>144187.87024710723</c:v>
                </c:pt>
                <c:pt idx="47">
                  <c:v>122242.51412992166</c:v>
                </c:pt>
                <c:pt idx="48">
                  <c:v>102107.83095969867</c:v>
                </c:pt>
                <c:pt idx="49">
                  <c:v>83783.820736438152</c:v>
                </c:pt>
                <c:pt idx="50">
                  <c:v>67270.483460140153</c:v>
                </c:pt>
                <c:pt idx="51">
                  <c:v>52567.819130804673</c:v>
                </c:pt>
                <c:pt idx="52">
                  <c:v>39675.827748431664</c:v>
                </c:pt>
                <c:pt idx="53">
                  <c:v>28594.509313021168</c:v>
                </c:pt>
                <c:pt idx="54">
                  <c:v>19323.863824573171</c:v>
                </c:pt>
                <c:pt idx="55">
                  <c:v>11863.891283087678</c:v>
                </c:pt>
                <c:pt idx="56">
                  <c:v>6214.5916885646811</c:v>
                </c:pt>
                <c:pt idx="57">
                  <c:v>2375.965041004185</c:v>
                </c:pt>
                <c:pt idx="58">
                  <c:v>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B-4CC6-A72F-51576244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1-4532-93CB-B3326AB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D-4AE6-8806-00A5F9E3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59519725613235"/>
          <c:y val="6.4823188604853713E-2"/>
          <c:w val="0.80859682763065355"/>
          <c:h val="0.7193448264181638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solidFill>
                <a:srgbClr val="008080"/>
              </a:solidFill>
            </a:ln>
            <a:effectLst/>
          </c:spPr>
          <c:marker>
            <c:symbol val="circle"/>
            <c:size val="3"/>
            <c:spPr>
              <a:solidFill>
                <a:srgbClr val="008080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all'!$D$44:$D$103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3-426E-98CB-37911700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78752"/>
        <c:axId val="274413824"/>
      </c:scatterChart>
      <c:valAx>
        <c:axId val="2711787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545643200765031"/>
              <c:y val="0.8809313565586265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4413824"/>
        <c:crosses val="autoZero"/>
        <c:crossBetween val="midCat"/>
      </c:valAx>
      <c:valAx>
        <c:axId val="274413824"/>
        <c:scaling>
          <c:orientation val="minMax"/>
          <c:max val="4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Lift distribution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458152674189026E-2"/>
              <c:y val="8.912886822053618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17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all'!$F$44:$F$103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all'!$H$44:$H$103</c:f>
              <c:numCache>
                <c:formatCode>0.0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-6497366.6531018866</c:v>
                </c:pt>
                <c:pt idx="1">
                  <c:v>-6493745.3072079616</c:v>
                </c:pt>
                <c:pt idx="2">
                  <c:v>-6490123.9613140365</c:v>
                </c:pt>
                <c:pt idx="3">
                  <c:v>-6486502.6154201115</c:v>
                </c:pt>
                <c:pt idx="4">
                  <c:v>-6482881.2695261864</c:v>
                </c:pt>
                <c:pt idx="5">
                  <c:v>-6479259.9236322613</c:v>
                </c:pt>
                <c:pt idx="6">
                  <c:v>-6475638.5777383363</c:v>
                </c:pt>
                <c:pt idx="7">
                  <c:v>-525808.30779440841</c:v>
                </c:pt>
                <c:pt idx="8">
                  <c:v>-522186.96190048341</c:v>
                </c:pt>
                <c:pt idx="9">
                  <c:v>-518565.61600655841</c:v>
                </c:pt>
                <c:pt idx="10">
                  <c:v>-514944.27011263341</c:v>
                </c:pt>
                <c:pt idx="11">
                  <c:v>-511322.92421870842</c:v>
                </c:pt>
                <c:pt idx="12">
                  <c:v>-338264.36194978346</c:v>
                </c:pt>
                <c:pt idx="13">
                  <c:v>-334643.01605585846</c:v>
                </c:pt>
                <c:pt idx="14">
                  <c:v>-331021.67016193346</c:v>
                </c:pt>
                <c:pt idx="15">
                  <c:v>-327400.32426800847</c:v>
                </c:pt>
                <c:pt idx="16">
                  <c:v>-323778.97837408347</c:v>
                </c:pt>
                <c:pt idx="17">
                  <c:v>-320157.63248015847</c:v>
                </c:pt>
                <c:pt idx="18">
                  <c:v>-316536.28658623347</c:v>
                </c:pt>
                <c:pt idx="19">
                  <c:v>-312914.94069230848</c:v>
                </c:pt>
                <c:pt idx="20">
                  <c:v>-309293.59479838348</c:v>
                </c:pt>
                <c:pt idx="21">
                  <c:v>-305672.24890445848</c:v>
                </c:pt>
                <c:pt idx="22">
                  <c:v>-302050.90301053348</c:v>
                </c:pt>
                <c:pt idx="23">
                  <c:v>-298429.55711660848</c:v>
                </c:pt>
                <c:pt idx="24">
                  <c:v>-294808.21122268349</c:v>
                </c:pt>
                <c:pt idx="25">
                  <c:v>-291186.86532875849</c:v>
                </c:pt>
                <c:pt idx="26">
                  <c:v>-287565.51943483349</c:v>
                </c:pt>
                <c:pt idx="27">
                  <c:v>-283944.17354090849</c:v>
                </c:pt>
                <c:pt idx="28">
                  <c:v>-280322.8276469835</c:v>
                </c:pt>
                <c:pt idx="29">
                  <c:v>-276701.48175305844</c:v>
                </c:pt>
                <c:pt idx="30">
                  <c:v>-273080.13585913344</c:v>
                </c:pt>
                <c:pt idx="31">
                  <c:v>-269458.78996520845</c:v>
                </c:pt>
                <c:pt idx="32">
                  <c:v>-265837.44407128345</c:v>
                </c:pt>
                <c:pt idx="33">
                  <c:v>-262216.09817735845</c:v>
                </c:pt>
                <c:pt idx="34">
                  <c:v>-258594.75228343345</c:v>
                </c:pt>
                <c:pt idx="35">
                  <c:v>-85536.190014508466</c:v>
                </c:pt>
                <c:pt idx="36">
                  <c:v>-81914.844120583468</c:v>
                </c:pt>
                <c:pt idx="37">
                  <c:v>-78293.49822665847</c:v>
                </c:pt>
                <c:pt idx="38">
                  <c:v>-74672.152332733473</c:v>
                </c:pt>
                <c:pt idx="39">
                  <c:v>-71050.806438808475</c:v>
                </c:pt>
                <c:pt idx="40">
                  <c:v>-67429.460544883477</c:v>
                </c:pt>
                <c:pt idx="41">
                  <c:v>-63808.11465095848</c:v>
                </c:pt>
                <c:pt idx="42">
                  <c:v>-60186.768757033482</c:v>
                </c:pt>
                <c:pt idx="43">
                  <c:v>-56565.422863108484</c:v>
                </c:pt>
                <c:pt idx="44">
                  <c:v>-52944.076969183487</c:v>
                </c:pt>
                <c:pt idx="45">
                  <c:v>-49322.731075258489</c:v>
                </c:pt>
                <c:pt idx="46">
                  <c:v>-45701.385181333491</c:v>
                </c:pt>
                <c:pt idx="47">
                  <c:v>-42080.039287408494</c:v>
                </c:pt>
                <c:pt idx="48">
                  <c:v>-38458.693393483496</c:v>
                </c:pt>
                <c:pt idx="49">
                  <c:v>-34837.347499558498</c:v>
                </c:pt>
                <c:pt idx="50">
                  <c:v>-31216.001605633497</c:v>
                </c:pt>
                <c:pt idx="51">
                  <c:v>-27594.655711708496</c:v>
                </c:pt>
                <c:pt idx="52">
                  <c:v>-23973.309817783495</c:v>
                </c:pt>
                <c:pt idx="53">
                  <c:v>-20351.963923858493</c:v>
                </c:pt>
                <c:pt idx="54">
                  <c:v>-16730.618029933492</c:v>
                </c:pt>
                <c:pt idx="55">
                  <c:v>-13109.272136008491</c:v>
                </c:pt>
                <c:pt idx="56">
                  <c:v>-9487.9262420834912</c:v>
                </c:pt>
                <c:pt idx="57">
                  <c:v>-5866.5803481584917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-26333246.687091615</c:v>
                </c:pt>
                <c:pt idx="1">
                  <c:v>-23085468.697014149</c:v>
                </c:pt>
                <c:pt idx="2">
                  <c:v>-19839501.379883651</c:v>
                </c:pt>
                <c:pt idx="3">
                  <c:v>-16595344.735700117</c:v>
                </c:pt>
                <c:pt idx="4">
                  <c:v>-13352998.764463542</c:v>
                </c:pt>
                <c:pt idx="5">
                  <c:v>-10112463.466173928</c:v>
                </c:pt>
                <c:pt idx="6">
                  <c:v>-6873738.8408312714</c:v>
                </c:pt>
                <c:pt idx="7">
                  <c:v>-5123377.1194480881</c:v>
                </c:pt>
                <c:pt idx="8">
                  <c:v>-4861378.3020243663</c:v>
                </c:pt>
                <c:pt idx="9">
                  <c:v>-4601190.1575476052</c:v>
                </c:pt>
                <c:pt idx="10">
                  <c:v>-4342812.6860178076</c:v>
                </c:pt>
                <c:pt idx="11">
                  <c:v>-4086245.8874349743</c:v>
                </c:pt>
                <c:pt idx="12">
                  <c:v>-3873849.0658928519</c:v>
                </c:pt>
                <c:pt idx="13">
                  <c:v>-3705622.2213914413</c:v>
                </c:pt>
                <c:pt idx="14">
                  <c:v>-3539206.0498369923</c:v>
                </c:pt>
                <c:pt idx="15">
                  <c:v>-3374600.5512295067</c:v>
                </c:pt>
                <c:pt idx="16">
                  <c:v>-3211805.7255689837</c:v>
                </c:pt>
                <c:pt idx="17">
                  <c:v>-3050821.5728554232</c:v>
                </c:pt>
                <c:pt idx="18">
                  <c:v>-2891648.0930888252</c:v>
                </c:pt>
                <c:pt idx="19">
                  <c:v>-2734285.2862691898</c:v>
                </c:pt>
                <c:pt idx="20">
                  <c:v>-2578733.1523965169</c:v>
                </c:pt>
                <c:pt idx="21">
                  <c:v>-2424991.6914708065</c:v>
                </c:pt>
                <c:pt idx="22">
                  <c:v>-2273060.9034920596</c:v>
                </c:pt>
                <c:pt idx="23">
                  <c:v>-2122940.7884602733</c:v>
                </c:pt>
                <c:pt idx="24">
                  <c:v>-1974631.3463754503</c:v>
                </c:pt>
                <c:pt idx="25">
                  <c:v>-1828132.57723759</c:v>
                </c:pt>
                <c:pt idx="26">
                  <c:v>-1683444.4810466918</c:v>
                </c:pt>
                <c:pt idx="27">
                  <c:v>-1540567.0578027561</c:v>
                </c:pt>
                <c:pt idx="28">
                  <c:v>-1399500.3075057834</c:v>
                </c:pt>
                <c:pt idx="29">
                  <c:v>-1260244.2301557728</c:v>
                </c:pt>
                <c:pt idx="30">
                  <c:v>-1122798.8257527249</c:v>
                </c:pt>
                <c:pt idx="31">
                  <c:v>-987164.09429663932</c:v>
                </c:pt>
                <c:pt idx="32">
                  <c:v>-853340.03578751627</c:v>
                </c:pt>
                <c:pt idx="33">
                  <c:v>-721326.65022535576</c:v>
                </c:pt>
                <c:pt idx="34">
                  <c:v>-591123.93761015777</c:v>
                </c:pt>
                <c:pt idx="35">
                  <c:v>-505091.20203567244</c:v>
                </c:pt>
                <c:pt idx="36">
                  <c:v>-463228.44350189943</c:v>
                </c:pt>
                <c:pt idx="37">
                  <c:v>-423176.35791508894</c:v>
                </c:pt>
                <c:pt idx="38">
                  <c:v>-384934.94527524099</c:v>
                </c:pt>
                <c:pt idx="39">
                  <c:v>-348504.20558235556</c:v>
                </c:pt>
                <c:pt idx="40">
                  <c:v>-313884.1388364326</c:v>
                </c:pt>
                <c:pt idx="41">
                  <c:v>-281074.74503747211</c:v>
                </c:pt>
                <c:pt idx="42">
                  <c:v>-250076.02418547421</c:v>
                </c:pt>
                <c:pt idx="43">
                  <c:v>-220887.97628043871</c:v>
                </c:pt>
                <c:pt idx="44">
                  <c:v>-193510.60132236572</c:v>
                </c:pt>
                <c:pt idx="45">
                  <c:v>-167943.89931125523</c:v>
                </c:pt>
                <c:pt idx="46">
                  <c:v>-144187.87024710723</c:v>
                </c:pt>
                <c:pt idx="47">
                  <c:v>-122242.51412992166</c:v>
                </c:pt>
                <c:pt idx="48">
                  <c:v>-102107.83095969867</c:v>
                </c:pt>
                <c:pt idx="49">
                  <c:v>-83783.820736438152</c:v>
                </c:pt>
                <c:pt idx="50">
                  <c:v>-67270.483460140153</c:v>
                </c:pt>
                <c:pt idx="51">
                  <c:v>-52567.819130804673</c:v>
                </c:pt>
                <c:pt idx="52">
                  <c:v>-39675.827748431664</c:v>
                </c:pt>
                <c:pt idx="53">
                  <c:v>-28594.509313021168</c:v>
                </c:pt>
                <c:pt idx="54">
                  <c:v>-19323.863824573171</c:v>
                </c:pt>
                <c:pt idx="55">
                  <c:v>-11863.891283087678</c:v>
                </c:pt>
                <c:pt idx="56">
                  <c:v>-6214.5916885646811</c:v>
                </c:pt>
                <c:pt idx="57">
                  <c:v>-2375.965041004185</c:v>
                </c:pt>
                <c:pt idx="58">
                  <c:v>-348.01134040618967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0-4007-B304-32E9B259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89962159318856"/>
          <c:y val="0.13296831253416894"/>
          <c:w val="0.77593045562352869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64-4CDA-B80E-A7113B5A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Distribution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(N/m)</a:t>
                </a:r>
              </a:p>
            </c:rich>
          </c:tx>
          <c:layout>
            <c:manualLayout>
              <c:xMode val="edge"/>
              <c:yMode val="edge"/>
              <c:x val="1.0605555555555555E-3"/>
              <c:y val="0.19038200604328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10712989563065"/>
          <c:y val="0.72309078652893055"/>
          <c:w val="0.21451572654218379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41929824853134"/>
          <c:y val="0.13296831253416894"/>
          <c:w val="0.772410778968186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-6497366.6531018866</c:v>
                </c:pt>
                <c:pt idx="1">
                  <c:v>-6493745.3072079616</c:v>
                </c:pt>
                <c:pt idx="2">
                  <c:v>-6490123.9613140365</c:v>
                </c:pt>
                <c:pt idx="3">
                  <c:v>-6486502.6154201115</c:v>
                </c:pt>
                <c:pt idx="4">
                  <c:v>-6482881.2695261864</c:v>
                </c:pt>
                <c:pt idx="5">
                  <c:v>-6479259.9236322613</c:v>
                </c:pt>
                <c:pt idx="6">
                  <c:v>-6475638.5777383363</c:v>
                </c:pt>
                <c:pt idx="7">
                  <c:v>-525808.30779440841</c:v>
                </c:pt>
                <c:pt idx="8">
                  <c:v>-522186.96190048341</c:v>
                </c:pt>
                <c:pt idx="9">
                  <c:v>-518565.61600655841</c:v>
                </c:pt>
                <c:pt idx="10">
                  <c:v>-514944.27011263341</c:v>
                </c:pt>
                <c:pt idx="11">
                  <c:v>-511322.92421870842</c:v>
                </c:pt>
                <c:pt idx="12">
                  <c:v>-338264.36194978346</c:v>
                </c:pt>
                <c:pt idx="13">
                  <c:v>-334643.01605585846</c:v>
                </c:pt>
                <c:pt idx="14">
                  <c:v>-331021.67016193346</c:v>
                </c:pt>
                <c:pt idx="15">
                  <c:v>-327400.32426800847</c:v>
                </c:pt>
                <c:pt idx="16">
                  <c:v>-323778.97837408347</c:v>
                </c:pt>
                <c:pt idx="17">
                  <c:v>-320157.63248015847</c:v>
                </c:pt>
                <c:pt idx="18">
                  <c:v>-316536.28658623347</c:v>
                </c:pt>
                <c:pt idx="19">
                  <c:v>-312914.94069230848</c:v>
                </c:pt>
                <c:pt idx="20">
                  <c:v>-309293.59479838348</c:v>
                </c:pt>
                <c:pt idx="21">
                  <c:v>-305672.24890445848</c:v>
                </c:pt>
                <c:pt idx="22">
                  <c:v>-302050.90301053348</c:v>
                </c:pt>
                <c:pt idx="23">
                  <c:v>-298429.55711660848</c:v>
                </c:pt>
                <c:pt idx="24">
                  <c:v>-294808.21122268349</c:v>
                </c:pt>
                <c:pt idx="25">
                  <c:v>-291186.86532875849</c:v>
                </c:pt>
                <c:pt idx="26">
                  <c:v>-287565.51943483349</c:v>
                </c:pt>
                <c:pt idx="27">
                  <c:v>-283944.17354090849</c:v>
                </c:pt>
                <c:pt idx="28">
                  <c:v>-280322.8276469835</c:v>
                </c:pt>
                <c:pt idx="29">
                  <c:v>-276701.48175305844</c:v>
                </c:pt>
                <c:pt idx="30">
                  <c:v>-273080.13585913344</c:v>
                </c:pt>
                <c:pt idx="31">
                  <c:v>-269458.78996520845</c:v>
                </c:pt>
                <c:pt idx="32">
                  <c:v>-265837.44407128345</c:v>
                </c:pt>
                <c:pt idx="33">
                  <c:v>-262216.09817735845</c:v>
                </c:pt>
                <c:pt idx="34">
                  <c:v>-258594.75228343345</c:v>
                </c:pt>
                <c:pt idx="35">
                  <c:v>-85536.190014508466</c:v>
                </c:pt>
                <c:pt idx="36">
                  <c:v>-81914.844120583468</c:v>
                </c:pt>
                <c:pt idx="37">
                  <c:v>-78293.49822665847</c:v>
                </c:pt>
                <c:pt idx="38">
                  <c:v>-74672.152332733473</c:v>
                </c:pt>
                <c:pt idx="39">
                  <c:v>-71050.806438808475</c:v>
                </c:pt>
                <c:pt idx="40">
                  <c:v>-67429.460544883477</c:v>
                </c:pt>
                <c:pt idx="41">
                  <c:v>-63808.11465095848</c:v>
                </c:pt>
                <c:pt idx="42">
                  <c:v>-60186.768757033482</c:v>
                </c:pt>
                <c:pt idx="43">
                  <c:v>-56565.422863108484</c:v>
                </c:pt>
                <c:pt idx="44">
                  <c:v>-52944.076969183487</c:v>
                </c:pt>
                <c:pt idx="45">
                  <c:v>-49322.731075258489</c:v>
                </c:pt>
                <c:pt idx="46">
                  <c:v>-45701.385181333491</c:v>
                </c:pt>
                <c:pt idx="47">
                  <c:v>-42080.039287408494</c:v>
                </c:pt>
                <c:pt idx="48">
                  <c:v>-38458.693393483496</c:v>
                </c:pt>
                <c:pt idx="49">
                  <c:v>-34837.347499558498</c:v>
                </c:pt>
                <c:pt idx="50">
                  <c:v>-31216.001605633497</c:v>
                </c:pt>
                <c:pt idx="51">
                  <c:v>-27594.655711708496</c:v>
                </c:pt>
                <c:pt idx="52">
                  <c:v>-23973.309817783495</c:v>
                </c:pt>
                <c:pt idx="53">
                  <c:v>-20351.963923858493</c:v>
                </c:pt>
                <c:pt idx="54">
                  <c:v>-16730.618029933492</c:v>
                </c:pt>
                <c:pt idx="55">
                  <c:v>-13109.272136008491</c:v>
                </c:pt>
                <c:pt idx="56">
                  <c:v>-9487.9262420834912</c:v>
                </c:pt>
                <c:pt idx="57">
                  <c:v>-5866.5803481584917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5-4C00-94ED-32381872F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Shear Force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(N)</a:t>
                </a:r>
              </a:p>
            </c:rich>
          </c:tx>
          <c:layout>
            <c:manualLayout>
              <c:xMode val="edge"/>
              <c:yMode val="edge"/>
              <c:x val="1.0606143748028843E-3"/>
              <c:y val="0.382522324459023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10712989563065"/>
          <c:y val="0.72309078652893055"/>
          <c:w val="0.21451572654218379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9800486990221"/>
          <c:y val="0.13296831253416894"/>
          <c:w val="0.7583320723468151"/>
          <c:h val="0.74100563348503745"/>
        </c:manualLayout>
      </c:layout>
      <c:scatterChart>
        <c:scatterStyle val="lineMarker"/>
        <c:varyColors val="0"/>
        <c:ser>
          <c:idx val="1"/>
          <c:order val="0"/>
          <c:tx>
            <c:v>Inertia</c:v>
          </c:tx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-26333246.687091615</c:v>
                </c:pt>
                <c:pt idx="1">
                  <c:v>-23085468.697014149</c:v>
                </c:pt>
                <c:pt idx="2">
                  <c:v>-19839501.379883651</c:v>
                </c:pt>
                <c:pt idx="3">
                  <c:v>-16595344.735700117</c:v>
                </c:pt>
                <c:pt idx="4">
                  <c:v>-13352998.764463542</c:v>
                </c:pt>
                <c:pt idx="5">
                  <c:v>-10112463.466173928</c:v>
                </c:pt>
                <c:pt idx="6">
                  <c:v>-6873738.8408312714</c:v>
                </c:pt>
                <c:pt idx="7">
                  <c:v>-5123377.1194480881</c:v>
                </c:pt>
                <c:pt idx="8">
                  <c:v>-4861378.3020243663</c:v>
                </c:pt>
                <c:pt idx="9">
                  <c:v>-4601190.1575476052</c:v>
                </c:pt>
                <c:pt idx="10">
                  <c:v>-4342812.6860178076</c:v>
                </c:pt>
                <c:pt idx="11">
                  <c:v>-4086245.8874349743</c:v>
                </c:pt>
                <c:pt idx="12">
                  <c:v>-3873849.0658928519</c:v>
                </c:pt>
                <c:pt idx="13">
                  <c:v>-3705622.2213914413</c:v>
                </c:pt>
                <c:pt idx="14">
                  <c:v>-3539206.0498369923</c:v>
                </c:pt>
                <c:pt idx="15">
                  <c:v>-3374600.5512295067</c:v>
                </c:pt>
                <c:pt idx="16">
                  <c:v>-3211805.7255689837</c:v>
                </c:pt>
                <c:pt idx="17">
                  <c:v>-3050821.5728554232</c:v>
                </c:pt>
                <c:pt idx="18">
                  <c:v>-2891648.0930888252</c:v>
                </c:pt>
                <c:pt idx="19">
                  <c:v>-2734285.2862691898</c:v>
                </c:pt>
                <c:pt idx="20">
                  <c:v>-2578733.1523965169</c:v>
                </c:pt>
                <c:pt idx="21">
                  <c:v>-2424991.6914708065</c:v>
                </c:pt>
                <c:pt idx="22">
                  <c:v>-2273060.9034920596</c:v>
                </c:pt>
                <c:pt idx="23">
                  <c:v>-2122940.7884602733</c:v>
                </c:pt>
                <c:pt idx="24">
                  <c:v>-1974631.3463754503</c:v>
                </c:pt>
                <c:pt idx="25">
                  <c:v>-1828132.57723759</c:v>
                </c:pt>
                <c:pt idx="26">
                  <c:v>-1683444.4810466918</c:v>
                </c:pt>
                <c:pt idx="27">
                  <c:v>-1540567.0578027561</c:v>
                </c:pt>
                <c:pt idx="28">
                  <c:v>-1399500.3075057834</c:v>
                </c:pt>
                <c:pt idx="29">
                  <c:v>-1260244.2301557728</c:v>
                </c:pt>
                <c:pt idx="30">
                  <c:v>-1122798.8257527249</c:v>
                </c:pt>
                <c:pt idx="31">
                  <c:v>-987164.09429663932</c:v>
                </c:pt>
                <c:pt idx="32">
                  <c:v>-853340.03578751627</c:v>
                </c:pt>
                <c:pt idx="33">
                  <c:v>-721326.65022535576</c:v>
                </c:pt>
                <c:pt idx="34">
                  <c:v>-591123.93761015777</c:v>
                </c:pt>
                <c:pt idx="35">
                  <c:v>-505091.20203567244</c:v>
                </c:pt>
                <c:pt idx="36">
                  <c:v>-463228.44350189943</c:v>
                </c:pt>
                <c:pt idx="37">
                  <c:v>-423176.35791508894</c:v>
                </c:pt>
                <c:pt idx="38">
                  <c:v>-384934.94527524099</c:v>
                </c:pt>
                <c:pt idx="39">
                  <c:v>-348504.20558235556</c:v>
                </c:pt>
                <c:pt idx="40">
                  <c:v>-313884.1388364326</c:v>
                </c:pt>
                <c:pt idx="41">
                  <c:v>-281074.74503747211</c:v>
                </c:pt>
                <c:pt idx="42">
                  <c:v>-250076.02418547421</c:v>
                </c:pt>
                <c:pt idx="43">
                  <c:v>-220887.97628043871</c:v>
                </c:pt>
                <c:pt idx="44">
                  <c:v>-193510.60132236572</c:v>
                </c:pt>
                <c:pt idx="45">
                  <c:v>-167943.89931125523</c:v>
                </c:pt>
                <c:pt idx="46">
                  <c:v>-144187.87024710723</c:v>
                </c:pt>
                <c:pt idx="47">
                  <c:v>-122242.51412992166</c:v>
                </c:pt>
                <c:pt idx="48">
                  <c:v>-102107.83095969867</c:v>
                </c:pt>
                <c:pt idx="49">
                  <c:v>-83783.820736438152</c:v>
                </c:pt>
                <c:pt idx="50">
                  <c:v>-67270.483460140153</c:v>
                </c:pt>
                <c:pt idx="51">
                  <c:v>-52567.819130804673</c:v>
                </c:pt>
                <c:pt idx="52">
                  <c:v>-39675.827748431664</c:v>
                </c:pt>
                <c:pt idx="53">
                  <c:v>-28594.509313021168</c:v>
                </c:pt>
                <c:pt idx="54">
                  <c:v>-19323.863824573171</c:v>
                </c:pt>
                <c:pt idx="55">
                  <c:v>-11863.891283087678</c:v>
                </c:pt>
                <c:pt idx="56">
                  <c:v>-6214.5916885646811</c:v>
                </c:pt>
                <c:pt idx="57">
                  <c:v>-2375.965041004185</c:v>
                </c:pt>
                <c:pt idx="58">
                  <c:v>-348.01134040618967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2C-4091-A32F-69524030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Bending Moment</a:t>
                </a:r>
                <a:r>
                  <a:rPr lang="en-US" altLang="zh-CN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(N)</a:t>
                </a:r>
              </a:p>
            </c:rich>
          </c:tx>
          <c:layout>
            <c:manualLayout>
              <c:xMode val="edge"/>
              <c:yMode val="edge"/>
              <c:x val="1.0606143748028843E-3"/>
              <c:y val="0.367187336485688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110712989563065"/>
          <c:y val="0.72309078652893055"/>
          <c:w val="0.21451572654218379"/>
          <c:h val="0.10995430902179716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232533752807"/>
          <c:y val="6.6814196749396065E-2"/>
          <c:w val="0.79626733954124074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load'!$E$10:$E$69</c:f>
              <c:numCache>
                <c:formatCode>0.00_ </c:formatCode>
                <c:ptCount val="60"/>
                <c:pt idx="0">
                  <c:v>3621.3458939250004</c:v>
                </c:pt>
                <c:pt idx="1">
                  <c:v>3621.3458939250004</c:v>
                </c:pt>
                <c:pt idx="2">
                  <c:v>3621.3458939250004</c:v>
                </c:pt>
                <c:pt idx="3">
                  <c:v>3621.3458939250004</c:v>
                </c:pt>
                <c:pt idx="4">
                  <c:v>3621.3458939250004</c:v>
                </c:pt>
                <c:pt idx="5">
                  <c:v>3621.3458939250004</c:v>
                </c:pt>
                <c:pt idx="6">
                  <c:v>5949830.2699439256</c:v>
                </c:pt>
                <c:pt idx="7">
                  <c:v>3621.3458939250004</c:v>
                </c:pt>
                <c:pt idx="8">
                  <c:v>3621.3458939250004</c:v>
                </c:pt>
                <c:pt idx="9">
                  <c:v>3621.3458939250004</c:v>
                </c:pt>
                <c:pt idx="10">
                  <c:v>3621.3458939250004</c:v>
                </c:pt>
                <c:pt idx="11">
                  <c:v>173058.56226892502</c:v>
                </c:pt>
                <c:pt idx="12">
                  <c:v>3621.3458939250004</c:v>
                </c:pt>
                <c:pt idx="13">
                  <c:v>3621.3458939250004</c:v>
                </c:pt>
                <c:pt idx="14">
                  <c:v>3621.3458939250004</c:v>
                </c:pt>
                <c:pt idx="15">
                  <c:v>3621.3458939250004</c:v>
                </c:pt>
                <c:pt idx="16">
                  <c:v>3621.3458939250004</c:v>
                </c:pt>
                <c:pt idx="17">
                  <c:v>3621.3458939250004</c:v>
                </c:pt>
                <c:pt idx="18">
                  <c:v>3621.3458939250004</c:v>
                </c:pt>
                <c:pt idx="19">
                  <c:v>3621.3458939250004</c:v>
                </c:pt>
                <c:pt idx="20">
                  <c:v>3621.3458939250004</c:v>
                </c:pt>
                <c:pt idx="21">
                  <c:v>3621.3458939250004</c:v>
                </c:pt>
                <c:pt idx="22">
                  <c:v>3621.3458939250004</c:v>
                </c:pt>
                <c:pt idx="23">
                  <c:v>3621.3458939250004</c:v>
                </c:pt>
                <c:pt idx="24">
                  <c:v>3621.3458939250004</c:v>
                </c:pt>
                <c:pt idx="25">
                  <c:v>3621.3458939250004</c:v>
                </c:pt>
                <c:pt idx="26">
                  <c:v>3621.3458939250004</c:v>
                </c:pt>
                <c:pt idx="27">
                  <c:v>3621.3458939250004</c:v>
                </c:pt>
                <c:pt idx="28">
                  <c:v>3621.3458939250004</c:v>
                </c:pt>
                <c:pt idx="29">
                  <c:v>3621.3458939250004</c:v>
                </c:pt>
                <c:pt idx="30">
                  <c:v>3621.3458939250004</c:v>
                </c:pt>
                <c:pt idx="31">
                  <c:v>3621.3458939250004</c:v>
                </c:pt>
                <c:pt idx="32">
                  <c:v>3621.3458939250004</c:v>
                </c:pt>
                <c:pt idx="33">
                  <c:v>3621.3458939250004</c:v>
                </c:pt>
                <c:pt idx="34">
                  <c:v>173058.56226892502</c:v>
                </c:pt>
                <c:pt idx="35">
                  <c:v>3621.3458939250004</c:v>
                </c:pt>
                <c:pt idx="36">
                  <c:v>3621.3458939250004</c:v>
                </c:pt>
                <c:pt idx="37">
                  <c:v>3621.3458939250004</c:v>
                </c:pt>
                <c:pt idx="38">
                  <c:v>3621.3458939250004</c:v>
                </c:pt>
                <c:pt idx="39">
                  <c:v>3621.3458939250004</c:v>
                </c:pt>
                <c:pt idx="40">
                  <c:v>3621.3458939250004</c:v>
                </c:pt>
                <c:pt idx="41">
                  <c:v>3621.3458939250004</c:v>
                </c:pt>
                <c:pt idx="42">
                  <c:v>3621.3458939250004</c:v>
                </c:pt>
                <c:pt idx="43">
                  <c:v>3621.3458939250004</c:v>
                </c:pt>
                <c:pt idx="44">
                  <c:v>3621.3458939250004</c:v>
                </c:pt>
                <c:pt idx="45">
                  <c:v>3621.3458939250004</c:v>
                </c:pt>
                <c:pt idx="46">
                  <c:v>3621.3458939250004</c:v>
                </c:pt>
                <c:pt idx="47">
                  <c:v>3621.3458939250004</c:v>
                </c:pt>
                <c:pt idx="48">
                  <c:v>3621.3458939250004</c:v>
                </c:pt>
                <c:pt idx="49">
                  <c:v>3621.3458939250004</c:v>
                </c:pt>
                <c:pt idx="50">
                  <c:v>3621.3458939250004</c:v>
                </c:pt>
                <c:pt idx="51">
                  <c:v>3621.3458939250004</c:v>
                </c:pt>
                <c:pt idx="52">
                  <c:v>3621.3458939250004</c:v>
                </c:pt>
                <c:pt idx="53">
                  <c:v>3621.3458939250004</c:v>
                </c:pt>
                <c:pt idx="54">
                  <c:v>3621.3458939250004</c:v>
                </c:pt>
                <c:pt idx="55">
                  <c:v>3621.3458939250004</c:v>
                </c:pt>
                <c:pt idx="56">
                  <c:v>3621.3458939250004</c:v>
                </c:pt>
                <c:pt idx="57">
                  <c:v>3621.3458939250004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D-B04A-98D5-A01D231DE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60624448909714"/>
          <c:y val="6.6814196749396065E-2"/>
          <c:w val="0.80061575073580638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load'!$G$10:$G$69</c:f>
              <c:numCache>
                <c:formatCode>0.000000000</c:formatCode>
                <c:ptCount val="60"/>
                <c:pt idx="0">
                  <c:v>-3621.3458939250004</c:v>
                </c:pt>
                <c:pt idx="1">
                  <c:v>-3621.3458939250004</c:v>
                </c:pt>
                <c:pt idx="2">
                  <c:v>-3621.3458939250004</c:v>
                </c:pt>
                <c:pt idx="3">
                  <c:v>-3621.3458939250004</c:v>
                </c:pt>
                <c:pt idx="4">
                  <c:v>-3621.3458939250004</c:v>
                </c:pt>
                <c:pt idx="5">
                  <c:v>-3621.3458939250004</c:v>
                </c:pt>
                <c:pt idx="6">
                  <c:v>-5949830.2699439256</c:v>
                </c:pt>
                <c:pt idx="7">
                  <c:v>-3621.3458939250004</c:v>
                </c:pt>
                <c:pt idx="8">
                  <c:v>-3621.3458939250004</c:v>
                </c:pt>
                <c:pt idx="9">
                  <c:v>-3621.3458939250004</c:v>
                </c:pt>
                <c:pt idx="10">
                  <c:v>-3621.3458939250004</c:v>
                </c:pt>
                <c:pt idx="11">
                  <c:v>-173058.56226892502</c:v>
                </c:pt>
                <c:pt idx="12">
                  <c:v>-3621.3458939250004</c:v>
                </c:pt>
                <c:pt idx="13">
                  <c:v>-3621.3458939250004</c:v>
                </c:pt>
                <c:pt idx="14">
                  <c:v>-3621.3458939250004</c:v>
                </c:pt>
                <c:pt idx="15">
                  <c:v>-3621.3458939250004</c:v>
                </c:pt>
                <c:pt idx="16">
                  <c:v>-3621.3458939250004</c:v>
                </c:pt>
                <c:pt idx="17">
                  <c:v>-3621.3458939250004</c:v>
                </c:pt>
                <c:pt idx="18">
                  <c:v>-3621.3458939250004</c:v>
                </c:pt>
                <c:pt idx="19">
                  <c:v>-3621.3458939250004</c:v>
                </c:pt>
                <c:pt idx="20">
                  <c:v>-3621.3458939250004</c:v>
                </c:pt>
                <c:pt idx="21">
                  <c:v>-3621.3458939250004</c:v>
                </c:pt>
                <c:pt idx="22">
                  <c:v>-3621.3458939250004</c:v>
                </c:pt>
                <c:pt idx="23">
                  <c:v>-3621.3458939250004</c:v>
                </c:pt>
                <c:pt idx="24">
                  <c:v>-3621.3458939250004</c:v>
                </c:pt>
                <c:pt idx="25">
                  <c:v>-3621.3458939250004</c:v>
                </c:pt>
                <c:pt idx="26">
                  <c:v>-3621.3458939250004</c:v>
                </c:pt>
                <c:pt idx="27">
                  <c:v>-3621.3458939250004</c:v>
                </c:pt>
                <c:pt idx="28">
                  <c:v>-3621.3458939250004</c:v>
                </c:pt>
                <c:pt idx="29">
                  <c:v>-3621.3458939250004</c:v>
                </c:pt>
                <c:pt idx="30">
                  <c:v>-3621.3458939250004</c:v>
                </c:pt>
                <c:pt idx="31">
                  <c:v>-3621.3458939250004</c:v>
                </c:pt>
                <c:pt idx="32">
                  <c:v>-3621.3458939250004</c:v>
                </c:pt>
                <c:pt idx="33">
                  <c:v>-3621.3458939250004</c:v>
                </c:pt>
                <c:pt idx="34">
                  <c:v>-173058.56226892502</c:v>
                </c:pt>
                <c:pt idx="35">
                  <c:v>-3621.3458939250004</c:v>
                </c:pt>
                <c:pt idx="36">
                  <c:v>-3621.3458939250004</c:v>
                </c:pt>
                <c:pt idx="37">
                  <c:v>-3621.3458939250004</c:v>
                </c:pt>
                <c:pt idx="38">
                  <c:v>-3621.3458939250004</c:v>
                </c:pt>
                <c:pt idx="39">
                  <c:v>-3621.3458939250004</c:v>
                </c:pt>
                <c:pt idx="40">
                  <c:v>-3621.3458939250004</c:v>
                </c:pt>
                <c:pt idx="41">
                  <c:v>-3621.3458939250004</c:v>
                </c:pt>
                <c:pt idx="42">
                  <c:v>-3621.3458939250004</c:v>
                </c:pt>
                <c:pt idx="43">
                  <c:v>-3621.3458939250004</c:v>
                </c:pt>
                <c:pt idx="44">
                  <c:v>-3621.3458939250004</c:v>
                </c:pt>
                <c:pt idx="45">
                  <c:v>-3621.3458939250004</c:v>
                </c:pt>
                <c:pt idx="46">
                  <c:v>-3621.3458939250004</c:v>
                </c:pt>
                <c:pt idx="47">
                  <c:v>-3621.3458939250004</c:v>
                </c:pt>
                <c:pt idx="48">
                  <c:v>-3621.3458939250004</c:v>
                </c:pt>
                <c:pt idx="49">
                  <c:v>-3621.3458939250004</c:v>
                </c:pt>
                <c:pt idx="50">
                  <c:v>-3621.3458939250004</c:v>
                </c:pt>
                <c:pt idx="51">
                  <c:v>-3621.3458939250004</c:v>
                </c:pt>
                <c:pt idx="52">
                  <c:v>-3621.3458939250004</c:v>
                </c:pt>
                <c:pt idx="53">
                  <c:v>-3621.3458939250004</c:v>
                </c:pt>
                <c:pt idx="54">
                  <c:v>-3621.3458939250004</c:v>
                </c:pt>
                <c:pt idx="55">
                  <c:v>-3621.3458939250004</c:v>
                </c:pt>
                <c:pt idx="56">
                  <c:v>-3621.3458939250004</c:v>
                </c:pt>
                <c:pt idx="57">
                  <c:v>-3621.3458939250004</c:v>
                </c:pt>
                <c:pt idx="58">
                  <c:v>-2245.2344542334909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1-416C-9C9E-F67DD1C2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Torque'!$N$37:$N$96</c:f>
              <c:numCache>
                <c:formatCode>0.00</c:formatCode>
                <c:ptCount val="60"/>
                <c:pt idx="0">
                  <c:v>-4210305431.6093173</c:v>
                </c:pt>
                <c:pt idx="1">
                  <c:v>-4104789788.142767</c:v>
                </c:pt>
                <c:pt idx="2">
                  <c:v>-3999922859.9951134</c:v>
                </c:pt>
                <c:pt idx="3">
                  <c:v>-3895734296.281065</c:v>
                </c:pt>
                <c:pt idx="4">
                  <c:v>-3792253305.9902368</c:v>
                </c:pt>
                <c:pt idx="5">
                  <c:v>-3689508683.169991</c:v>
                </c:pt>
                <c:pt idx="6">
                  <c:v>-3587528831.7555962</c:v>
                </c:pt>
                <c:pt idx="7">
                  <c:v>-3486341790.1569104</c:v>
                </c:pt>
                <c:pt idx="8">
                  <c:v>-3385953976.4313564</c:v>
                </c:pt>
                <c:pt idx="9">
                  <c:v>-3286393895.0623603</c:v>
                </c:pt>
                <c:pt idx="10">
                  <c:v>-3187557374.6619639</c:v>
                </c:pt>
                <c:pt idx="11">
                  <c:v>-3089350490.4527245</c:v>
                </c:pt>
                <c:pt idx="12">
                  <c:v>-3070203708.7671227</c:v>
                </c:pt>
                <c:pt idx="13">
                  <c:v>-2973320351.6606832</c:v>
                </c:pt>
                <c:pt idx="14">
                  <c:v>-2877141475.4003592</c:v>
                </c:pt>
                <c:pt idx="15">
                  <c:v>-2781695676.6009645</c:v>
                </c:pt>
                <c:pt idx="16">
                  <c:v>-2687011681.0526032</c:v>
                </c:pt>
                <c:pt idx="17">
                  <c:v>-2593118377.9569712</c:v>
                </c:pt>
                <c:pt idx="18">
                  <c:v>-2500044856.0648899</c:v>
                </c:pt>
                <c:pt idx="19">
                  <c:v>-2407820441.9862165</c:v>
                </c:pt>
                <c:pt idx="20">
                  <c:v>-2316474740.9771791</c:v>
                </c:pt>
                <c:pt idx="21">
                  <c:v>-2226037680.5502095</c:v>
                </c:pt>
                <c:pt idx="22">
                  <c:v>-2136539557.2986536</c:v>
                </c:pt>
                <c:pt idx="23">
                  <c:v>-2048011087.3847945</c:v>
                </c:pt>
                <c:pt idx="24">
                  <c:v>-1960483461.206315</c:v>
                </c:pt>
                <c:pt idx="25">
                  <c:v>-1873988402.8359008</c:v>
                </c:pt>
                <c:pt idx="26">
                  <c:v>-1788558234.9240491</c:v>
                </c:pt>
                <c:pt idx="27">
                  <c:v>-1704225949.8699429</c:v>
                </c:pt>
                <c:pt idx="28">
                  <c:v>-1621025288.2041361</c:v>
                </c:pt>
                <c:pt idx="29">
                  <c:v>-1538990825.2956965</c:v>
                </c:pt>
                <c:pt idx="30">
                  <c:v>-1458158067.7030516</c:v>
                </c:pt>
                <c:pt idx="31">
                  <c:v>-1378563560.7421148</c:v>
                </c:pt>
                <c:pt idx="32">
                  <c:v>-1300245009.1603792</c:v>
                </c:pt>
                <c:pt idx="33">
                  <c:v>-1223241413.1990016</c:v>
                </c:pt>
                <c:pt idx="34">
                  <c:v>-1147593222.8196273</c:v>
                </c:pt>
                <c:pt idx="35">
                  <c:v>-1151755069.7502408</c:v>
                </c:pt>
                <c:pt idx="36">
                  <c:v>-1078945744.0575442</c:v>
                </c:pt>
                <c:pt idx="37">
                  <c:v>-1007623764.2415837</c:v>
                </c:pt>
                <c:pt idx="38">
                  <c:v>-937837422.45464516</c:v>
                </c:pt>
                <c:pt idx="39">
                  <c:v>-869637656.98900473</c:v>
                </c:pt>
                <c:pt idx="40">
                  <c:v>-803078425.32741714</c:v>
                </c:pt>
                <c:pt idx="41">
                  <c:v>-738217148.05671299</c:v>
                </c:pt>
                <c:pt idx="42">
                  <c:v>-675115242.18308699</c:v>
                </c:pt>
                <c:pt idx="43">
                  <c:v>-613838768.67968214</c:v>
                </c:pt>
                <c:pt idx="44">
                  <c:v>-554459228.08679676</c:v>
                </c:pt>
                <c:pt idx="45">
                  <c:v>-497054551.10562259</c:v>
                </c:pt>
                <c:pt idx="46">
                  <c:v>-441710350.74294168</c:v>
                </c:pt>
                <c:pt idx="47">
                  <c:v>-388521532.71023399</c:v>
                </c:pt>
                <c:pt idx="48">
                  <c:v>-337594408.59975076</c:v>
                </c:pt>
                <c:pt idx="49">
                  <c:v>-289049535.070759</c:v>
                </c:pt>
                <c:pt idx="50">
                  <c:v>-243025637.63709337</c:v>
                </c:pt>
                <c:pt idx="51">
                  <c:v>-199685223.04128146</c:v>
                </c:pt>
                <c:pt idx="52">
                  <c:v>-159222959.0252279</c:v>
                </c:pt>
                <c:pt idx="53">
                  <c:v>-121878898.40506268</c:v>
                </c:pt>
                <c:pt idx="54">
                  <c:v>-87960965.977094665</c:v>
                </c:pt>
                <c:pt idx="55">
                  <c:v>-57887542.718430072</c:v>
                </c:pt>
                <c:pt idx="56">
                  <c:v>-32283430.314006638</c:v>
                </c:pt>
                <c:pt idx="57">
                  <c:v>-12291249.159032784</c:v>
                </c:pt>
                <c:pt idx="58">
                  <c:v>-1458211.4207411886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Torque'!$M$37:$M$96</c:f>
              <c:numCache>
                <c:formatCode>0.00</c:formatCode>
                <c:ptCount val="60"/>
                <c:pt idx="0">
                  <c:v>-105515643.46655038</c:v>
                </c:pt>
                <c:pt idx="1">
                  <c:v>-104866928.14765412</c:v>
                </c:pt>
                <c:pt idx="2">
                  <c:v>-104188563.7140484</c:v>
                </c:pt>
                <c:pt idx="3">
                  <c:v>-103480990.29082844</c:v>
                </c:pt>
                <c:pt idx="4">
                  <c:v>-102744622.82024544</c:v>
                </c:pt>
                <c:pt idx="5">
                  <c:v>-101979851.4143949</c:v>
                </c:pt>
                <c:pt idx="6">
                  <c:v>-101187041.59868595</c:v>
                </c:pt>
                <c:pt idx="7">
                  <c:v>-100387813.72555359</c:v>
                </c:pt>
                <c:pt idx="8">
                  <c:v>-99560081.368996903</c:v>
                </c:pt>
                <c:pt idx="9">
                  <c:v>-98836520.400396362</c:v>
                </c:pt>
                <c:pt idx="10">
                  <c:v>-98206884.209239081</c:v>
                </c:pt>
                <c:pt idx="11">
                  <c:v>-19146781.685601652</c:v>
                </c:pt>
                <c:pt idx="12">
                  <c:v>-96883357.106438622</c:v>
                </c:pt>
                <c:pt idx="13">
                  <c:v>-96178876.260324299</c:v>
                </c:pt>
                <c:pt idx="14">
                  <c:v>-95445798.799394324</c:v>
                </c:pt>
                <c:pt idx="15">
                  <c:v>-94683995.548360988</c:v>
                </c:pt>
                <c:pt idx="16">
                  <c:v>-93893303.095632389</c:v>
                </c:pt>
                <c:pt idx="17">
                  <c:v>-93073521.892081186</c:v>
                </c:pt>
                <c:pt idx="18">
                  <c:v>-92224414.07867299</c:v>
                </c:pt>
                <c:pt idx="19">
                  <c:v>-91345701.00903748</c:v>
                </c:pt>
                <c:pt idx="20">
                  <c:v>-90437060.426969245</c:v>
                </c:pt>
                <c:pt idx="21">
                  <c:v>-89498123.251555547</c:v>
                </c:pt>
                <c:pt idx="22">
                  <c:v>-88528469.913859263</c:v>
                </c:pt>
                <c:pt idx="23">
                  <c:v>-87527626.178479791</c:v>
                </c:pt>
                <c:pt idx="24">
                  <c:v>-86495058.370413914</c:v>
                </c:pt>
                <c:pt idx="25">
                  <c:v>-85430167.911851525</c:v>
                </c:pt>
                <c:pt idx="26">
                  <c:v>-84332285.054106414</c:v>
                </c:pt>
                <c:pt idx="27">
                  <c:v>-83200661.665806577</c:v>
                </c:pt>
                <c:pt idx="28">
                  <c:v>-82034462.908439696</c:v>
                </c:pt>
                <c:pt idx="29">
                  <c:v>-80832757.592644706</c:v>
                </c:pt>
                <c:pt idx="30">
                  <c:v>-79594506.960936904</c:v>
                </c:pt>
                <c:pt idx="31">
                  <c:v>-78318551.581736028</c:v>
                </c:pt>
                <c:pt idx="32">
                  <c:v>-77003595.961377874</c:v>
                </c:pt>
                <c:pt idx="33">
                  <c:v>-75648190.379374221</c:v>
                </c:pt>
                <c:pt idx="34">
                  <c:v>4161846.9306133389</c:v>
                </c:pt>
                <c:pt idx="35">
                  <c:v>-72809325.692696631</c:v>
                </c:pt>
                <c:pt idx="36">
                  <c:v>-71321979.815960929</c:v>
                </c:pt>
                <c:pt idx="37">
                  <c:v>-69786341.786938518</c:v>
                </c:pt>
                <c:pt idx="38">
                  <c:v>-68199765.465640321</c:v>
                </c:pt>
                <c:pt idx="39">
                  <c:v>-66559231.661587521</c:v>
                </c:pt>
                <c:pt idx="40">
                  <c:v>-64861277.270704158</c:v>
                </c:pt>
                <c:pt idx="41">
                  <c:v>-63101905.873625852</c:v>
                </c:pt>
                <c:pt idx="42">
                  <c:v>-61276473.503404863</c:v>
                </c:pt>
                <c:pt idx="43">
                  <c:v>-59379540.592885427</c:v>
                </c:pt>
                <c:pt idx="44">
                  <c:v>-57404676.981174149</c:v>
                </c:pt>
                <c:pt idx="45">
                  <c:v>-55344200.362680934</c:v>
                </c:pt>
                <c:pt idx="46">
                  <c:v>-53188818.032707594</c:v>
                </c:pt>
                <c:pt idx="47">
                  <c:v>-50927124.110483281</c:v>
                </c:pt>
                <c:pt idx="48">
                  <c:v>-48544873.528991774</c:v>
                </c:pt>
                <c:pt idx="49">
                  <c:v>-46023897.433665611</c:v>
                </c:pt>
                <c:pt idx="50">
                  <c:v>-43340414.595811926</c:v>
                </c:pt>
                <c:pt idx="51">
                  <c:v>-40462264.016053513</c:v>
                </c:pt>
                <c:pt idx="52">
                  <c:v>-37344060.620165206</c:v>
                </c:pt>
                <c:pt idx="53">
                  <c:v>-33917932.427968018</c:v>
                </c:pt>
                <c:pt idx="54">
                  <c:v>-30073423.258664593</c:v>
                </c:pt>
                <c:pt idx="55">
                  <c:v>-25604112.404423438</c:v>
                </c:pt>
                <c:pt idx="56">
                  <c:v>-19992181.154973853</c:v>
                </c:pt>
                <c:pt idx="57">
                  <c:v>-10833037.738291595</c:v>
                </c:pt>
                <c:pt idx="58">
                  <c:v>-1458211.4207411886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Torque'!$Y$37:$Y$96</c:f>
              <c:numCache>
                <c:formatCode>General</c:formatCode>
                <c:ptCount val="60"/>
                <c:pt idx="0">
                  <c:v>-4210305.4316093177</c:v>
                </c:pt>
                <c:pt idx="1">
                  <c:v>-4104789.7881427668</c:v>
                </c:pt>
                <c:pt idx="2">
                  <c:v>-3999922.8599951132</c:v>
                </c:pt>
                <c:pt idx="3">
                  <c:v>-3895734.2962810649</c:v>
                </c:pt>
                <c:pt idx="4">
                  <c:v>-3792253.3059902368</c:v>
                </c:pt>
                <c:pt idx="5">
                  <c:v>-3689508.6831699912</c:v>
                </c:pt>
                <c:pt idx="6">
                  <c:v>-3587528.8317555962</c:v>
                </c:pt>
                <c:pt idx="7">
                  <c:v>-3486341.7901569102</c:v>
                </c:pt>
                <c:pt idx="8">
                  <c:v>-3385953.9764313563</c:v>
                </c:pt>
                <c:pt idx="9">
                  <c:v>-3286393.8950623604</c:v>
                </c:pt>
                <c:pt idx="10">
                  <c:v>-3187557.3746619639</c:v>
                </c:pt>
                <c:pt idx="11">
                  <c:v>-3089350.4904527245</c:v>
                </c:pt>
                <c:pt idx="12">
                  <c:v>-3070203.7087671226</c:v>
                </c:pt>
                <c:pt idx="13">
                  <c:v>-2973320.3516606833</c:v>
                </c:pt>
                <c:pt idx="14">
                  <c:v>-2877141.4754003594</c:v>
                </c:pt>
                <c:pt idx="15">
                  <c:v>-2781695.6766009647</c:v>
                </c:pt>
                <c:pt idx="16">
                  <c:v>-2687011.6810526033</c:v>
                </c:pt>
                <c:pt idx="17">
                  <c:v>-2593118.3779569711</c:v>
                </c:pt>
                <c:pt idx="18">
                  <c:v>-2500044.85606489</c:v>
                </c:pt>
                <c:pt idx="19">
                  <c:v>-2407820.4419862167</c:v>
                </c:pt>
                <c:pt idx="20">
                  <c:v>-2316474.7409771793</c:v>
                </c:pt>
                <c:pt idx="21">
                  <c:v>-2226037.6805502097</c:v>
                </c:pt>
                <c:pt idx="22">
                  <c:v>-2136539.5572986538</c:v>
                </c:pt>
                <c:pt idx="23">
                  <c:v>-2048011.0873847944</c:v>
                </c:pt>
                <c:pt idx="24">
                  <c:v>-1960483.4612063151</c:v>
                </c:pt>
                <c:pt idx="25">
                  <c:v>-1873988.4028359009</c:v>
                </c:pt>
                <c:pt idx="26">
                  <c:v>-1788558.2349240491</c:v>
                </c:pt>
                <c:pt idx="27">
                  <c:v>-1704225.9498699429</c:v>
                </c:pt>
                <c:pt idx="28">
                  <c:v>-1621025.2882041361</c:v>
                </c:pt>
                <c:pt idx="29">
                  <c:v>-1538990.8252956965</c:v>
                </c:pt>
                <c:pt idx="30">
                  <c:v>-1458158.0677030515</c:v>
                </c:pt>
                <c:pt idx="31">
                  <c:v>-1378563.5607421147</c:v>
                </c:pt>
                <c:pt idx="32">
                  <c:v>-1300245.0091603792</c:v>
                </c:pt>
                <c:pt idx="33">
                  <c:v>-1223241.4131990015</c:v>
                </c:pt>
                <c:pt idx="34">
                  <c:v>-1147593.2228196273</c:v>
                </c:pt>
                <c:pt idx="35">
                  <c:v>-1151755.0697502408</c:v>
                </c:pt>
                <c:pt idx="36">
                  <c:v>-1078945.7440575443</c:v>
                </c:pt>
                <c:pt idx="37">
                  <c:v>-1007623.7642415838</c:v>
                </c:pt>
                <c:pt idx="38">
                  <c:v>-937837.42245464516</c:v>
                </c:pt>
                <c:pt idx="39">
                  <c:v>-869637.6569890047</c:v>
                </c:pt>
                <c:pt idx="40">
                  <c:v>-803078.42532741709</c:v>
                </c:pt>
                <c:pt idx="41">
                  <c:v>-738217.14805671293</c:v>
                </c:pt>
                <c:pt idx="42">
                  <c:v>-675115.24218308704</c:v>
                </c:pt>
                <c:pt idx="43">
                  <c:v>-613838.76867968217</c:v>
                </c:pt>
                <c:pt idx="44">
                  <c:v>-554459.22808679671</c:v>
                </c:pt>
                <c:pt idx="45">
                  <c:v>-497054.55110562261</c:v>
                </c:pt>
                <c:pt idx="46">
                  <c:v>-441710.35074294166</c:v>
                </c:pt>
                <c:pt idx="47">
                  <c:v>-388521.53271023399</c:v>
                </c:pt>
                <c:pt idx="48">
                  <c:v>-337594.40859975078</c:v>
                </c:pt>
                <c:pt idx="49">
                  <c:v>-289049.53507075901</c:v>
                </c:pt>
                <c:pt idx="50">
                  <c:v>-243025.63763709337</c:v>
                </c:pt>
                <c:pt idx="51">
                  <c:v>-199685.22304128145</c:v>
                </c:pt>
                <c:pt idx="52">
                  <c:v>-159222.9590252279</c:v>
                </c:pt>
                <c:pt idx="53">
                  <c:v>-121878.89840506268</c:v>
                </c:pt>
                <c:pt idx="54">
                  <c:v>-87960.96597709466</c:v>
                </c:pt>
                <c:pt idx="55">
                  <c:v>-57887.542718430072</c:v>
                </c:pt>
                <c:pt idx="56">
                  <c:v>-32283.430314006637</c:v>
                </c:pt>
                <c:pt idx="57">
                  <c:v>-12291.249159032785</c:v>
                </c:pt>
                <c:pt idx="58">
                  <c:v>-1458.2114207411885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54-4D8A-83E7-CE3CEC3DD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Torque'!$O$37:$O$96</c:f>
              <c:numCache>
                <c:formatCode>0.00</c:formatCode>
                <c:ptCount val="60"/>
                <c:pt idx="0">
                  <c:v>-4210305431.6093173</c:v>
                </c:pt>
                <c:pt idx="1">
                  <c:v>-4104789788.142767</c:v>
                </c:pt>
                <c:pt idx="2">
                  <c:v>-3999922859.9951134</c:v>
                </c:pt>
                <c:pt idx="3">
                  <c:v>-3895734296.281065</c:v>
                </c:pt>
                <c:pt idx="4">
                  <c:v>-3792253305.9902368</c:v>
                </c:pt>
                <c:pt idx="5">
                  <c:v>-3689508683.169991</c:v>
                </c:pt>
                <c:pt idx="6">
                  <c:v>-3587528831.7555962</c:v>
                </c:pt>
                <c:pt idx="7">
                  <c:v>-3486341790.1569104</c:v>
                </c:pt>
                <c:pt idx="8">
                  <c:v>-3385953976.4313564</c:v>
                </c:pt>
                <c:pt idx="9">
                  <c:v>-3286393895.0623603</c:v>
                </c:pt>
                <c:pt idx="10">
                  <c:v>-3187557374.6619639</c:v>
                </c:pt>
                <c:pt idx="11">
                  <c:v>-3089350490.4527245</c:v>
                </c:pt>
                <c:pt idx="12">
                  <c:v>-3070203708.7671227</c:v>
                </c:pt>
                <c:pt idx="13">
                  <c:v>-2973320351.6606832</c:v>
                </c:pt>
                <c:pt idx="14">
                  <c:v>-2877141475.4003592</c:v>
                </c:pt>
                <c:pt idx="15">
                  <c:v>-2781695676.6009645</c:v>
                </c:pt>
                <c:pt idx="16">
                  <c:v>-2687011681.0526032</c:v>
                </c:pt>
                <c:pt idx="17">
                  <c:v>-2593118377.9569712</c:v>
                </c:pt>
                <c:pt idx="18">
                  <c:v>-2500044856.0648899</c:v>
                </c:pt>
                <c:pt idx="19">
                  <c:v>-2407820441.9862165</c:v>
                </c:pt>
                <c:pt idx="20">
                  <c:v>-2316474740.9771791</c:v>
                </c:pt>
                <c:pt idx="21">
                  <c:v>-2226037680.5502095</c:v>
                </c:pt>
                <c:pt idx="22">
                  <c:v>-2136539557.2986536</c:v>
                </c:pt>
                <c:pt idx="23">
                  <c:v>-2048011087.3847945</c:v>
                </c:pt>
                <c:pt idx="24">
                  <c:v>-1960483461.206315</c:v>
                </c:pt>
                <c:pt idx="25">
                  <c:v>-1873988402.8359008</c:v>
                </c:pt>
                <c:pt idx="26">
                  <c:v>-1788558234.9240491</c:v>
                </c:pt>
                <c:pt idx="27">
                  <c:v>-1704225949.8699429</c:v>
                </c:pt>
                <c:pt idx="28">
                  <c:v>-1621025288.2041361</c:v>
                </c:pt>
                <c:pt idx="29">
                  <c:v>-1538990825.2956965</c:v>
                </c:pt>
                <c:pt idx="30">
                  <c:v>-1458158067.7030516</c:v>
                </c:pt>
                <c:pt idx="31">
                  <c:v>-1378563560.7421148</c:v>
                </c:pt>
                <c:pt idx="32">
                  <c:v>-1300245009.1603792</c:v>
                </c:pt>
                <c:pt idx="33">
                  <c:v>-1223241413.1990016</c:v>
                </c:pt>
                <c:pt idx="34">
                  <c:v>-1147593222.8196273</c:v>
                </c:pt>
                <c:pt idx="35">
                  <c:v>-1151755069.7502408</c:v>
                </c:pt>
                <c:pt idx="36">
                  <c:v>-1078945744.0575442</c:v>
                </c:pt>
                <c:pt idx="37">
                  <c:v>-1007623764.2415837</c:v>
                </c:pt>
                <c:pt idx="38">
                  <c:v>-937837422.45464516</c:v>
                </c:pt>
                <c:pt idx="39">
                  <c:v>-869637656.98900473</c:v>
                </c:pt>
                <c:pt idx="40">
                  <c:v>-803078425.32741714</c:v>
                </c:pt>
                <c:pt idx="41">
                  <c:v>-738217148.05671299</c:v>
                </c:pt>
                <c:pt idx="42">
                  <c:v>-675115242.18308699</c:v>
                </c:pt>
                <c:pt idx="43">
                  <c:v>-613838768.67968214</c:v>
                </c:pt>
                <c:pt idx="44">
                  <c:v>-554459228.08679676</c:v>
                </c:pt>
                <c:pt idx="45">
                  <c:v>-497054551.10562259</c:v>
                </c:pt>
                <c:pt idx="46">
                  <c:v>-441710350.74294168</c:v>
                </c:pt>
                <c:pt idx="47">
                  <c:v>-388521532.71023399</c:v>
                </c:pt>
                <c:pt idx="48">
                  <c:v>-337594408.59975076</c:v>
                </c:pt>
                <c:pt idx="49">
                  <c:v>-289049535.070759</c:v>
                </c:pt>
                <c:pt idx="50">
                  <c:v>-243025637.63709337</c:v>
                </c:pt>
                <c:pt idx="51">
                  <c:v>-199685223.04128146</c:v>
                </c:pt>
                <c:pt idx="52">
                  <c:v>-159222959.0252279</c:v>
                </c:pt>
                <c:pt idx="53">
                  <c:v>-121878898.40506268</c:v>
                </c:pt>
                <c:pt idx="54">
                  <c:v>-87960965.977094665</c:v>
                </c:pt>
                <c:pt idx="55">
                  <c:v>-57887542.718430072</c:v>
                </c:pt>
                <c:pt idx="56">
                  <c:v>-32283430.314006638</c:v>
                </c:pt>
                <c:pt idx="57">
                  <c:v>-12291249.159032784</c:v>
                </c:pt>
                <c:pt idx="58">
                  <c:v>-1458211.4207411886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DF-475D-9AD9-0C24E08E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Torque'!$N$37:$N$96</c:f>
              <c:numCache>
                <c:formatCode>0.00</c:formatCode>
                <c:ptCount val="60"/>
                <c:pt idx="0">
                  <c:v>-105515643.46655038</c:v>
                </c:pt>
                <c:pt idx="1">
                  <c:v>-104866928.14765412</c:v>
                </c:pt>
                <c:pt idx="2">
                  <c:v>-104188563.7140484</c:v>
                </c:pt>
                <c:pt idx="3">
                  <c:v>-103480990.29082844</c:v>
                </c:pt>
                <c:pt idx="4">
                  <c:v>-102744622.82024544</c:v>
                </c:pt>
                <c:pt idx="5">
                  <c:v>-101979851.4143949</c:v>
                </c:pt>
                <c:pt idx="6">
                  <c:v>-101187041.59868595</c:v>
                </c:pt>
                <c:pt idx="7">
                  <c:v>-100387813.72555359</c:v>
                </c:pt>
                <c:pt idx="8">
                  <c:v>-99560081.368996903</c:v>
                </c:pt>
                <c:pt idx="9">
                  <c:v>-98836520.400396362</c:v>
                </c:pt>
                <c:pt idx="10">
                  <c:v>-98206884.209239081</c:v>
                </c:pt>
                <c:pt idx="11">
                  <c:v>-19146781.685601652</c:v>
                </c:pt>
                <c:pt idx="12">
                  <c:v>-96883357.106438622</c:v>
                </c:pt>
                <c:pt idx="13">
                  <c:v>-96178876.260324299</c:v>
                </c:pt>
                <c:pt idx="14">
                  <c:v>-95445798.799394324</c:v>
                </c:pt>
                <c:pt idx="15">
                  <c:v>-94683995.548360988</c:v>
                </c:pt>
                <c:pt idx="16">
                  <c:v>-93893303.095632389</c:v>
                </c:pt>
                <c:pt idx="17">
                  <c:v>-93073521.892081186</c:v>
                </c:pt>
                <c:pt idx="18">
                  <c:v>-92224414.07867299</c:v>
                </c:pt>
                <c:pt idx="19">
                  <c:v>-91345701.00903748</c:v>
                </c:pt>
                <c:pt idx="20">
                  <c:v>-90437060.426969245</c:v>
                </c:pt>
                <c:pt idx="21">
                  <c:v>-89498123.251555547</c:v>
                </c:pt>
                <c:pt idx="22">
                  <c:v>-88528469.913859263</c:v>
                </c:pt>
                <c:pt idx="23">
                  <c:v>-87527626.178479791</c:v>
                </c:pt>
                <c:pt idx="24">
                  <c:v>-86495058.370413914</c:v>
                </c:pt>
                <c:pt idx="25">
                  <c:v>-85430167.911851525</c:v>
                </c:pt>
                <c:pt idx="26">
                  <c:v>-84332285.054106414</c:v>
                </c:pt>
                <c:pt idx="27">
                  <c:v>-83200661.665806577</c:v>
                </c:pt>
                <c:pt idx="28">
                  <c:v>-82034462.908439696</c:v>
                </c:pt>
                <c:pt idx="29">
                  <c:v>-80832757.592644706</c:v>
                </c:pt>
                <c:pt idx="30">
                  <c:v>-79594506.960936904</c:v>
                </c:pt>
                <c:pt idx="31">
                  <c:v>-78318551.581736028</c:v>
                </c:pt>
                <c:pt idx="32">
                  <c:v>-77003595.961377874</c:v>
                </c:pt>
                <c:pt idx="33">
                  <c:v>-75648190.379374221</c:v>
                </c:pt>
                <c:pt idx="34">
                  <c:v>4161846.9306133389</c:v>
                </c:pt>
                <c:pt idx="35">
                  <c:v>-72809325.692696631</c:v>
                </c:pt>
                <c:pt idx="36">
                  <c:v>-71321979.815960929</c:v>
                </c:pt>
                <c:pt idx="37">
                  <c:v>-69786341.786938518</c:v>
                </c:pt>
                <c:pt idx="38">
                  <c:v>-68199765.465640321</c:v>
                </c:pt>
                <c:pt idx="39">
                  <c:v>-66559231.661587521</c:v>
                </c:pt>
                <c:pt idx="40">
                  <c:v>-64861277.270704158</c:v>
                </c:pt>
                <c:pt idx="41">
                  <c:v>-63101905.873625852</c:v>
                </c:pt>
                <c:pt idx="42">
                  <c:v>-61276473.503404863</c:v>
                </c:pt>
                <c:pt idx="43">
                  <c:v>-59379540.592885427</c:v>
                </c:pt>
                <c:pt idx="44">
                  <c:v>-57404676.981174149</c:v>
                </c:pt>
                <c:pt idx="45">
                  <c:v>-55344200.362680934</c:v>
                </c:pt>
                <c:pt idx="46">
                  <c:v>-53188818.032707594</c:v>
                </c:pt>
                <c:pt idx="47">
                  <c:v>-50927124.110483281</c:v>
                </c:pt>
                <c:pt idx="48">
                  <c:v>-48544873.528991774</c:v>
                </c:pt>
                <c:pt idx="49">
                  <c:v>-46023897.433665611</c:v>
                </c:pt>
                <c:pt idx="50">
                  <c:v>-43340414.595811926</c:v>
                </c:pt>
                <c:pt idx="51">
                  <c:v>-40462264.016053513</c:v>
                </c:pt>
                <c:pt idx="52">
                  <c:v>-37344060.620165206</c:v>
                </c:pt>
                <c:pt idx="53">
                  <c:v>-33917932.427968018</c:v>
                </c:pt>
                <c:pt idx="54">
                  <c:v>-30073423.258664593</c:v>
                </c:pt>
                <c:pt idx="55">
                  <c:v>-25604112.404423438</c:v>
                </c:pt>
                <c:pt idx="56">
                  <c:v>-19992181.154973853</c:v>
                </c:pt>
                <c:pt idx="57">
                  <c:v>-10833037.738291595</c:v>
                </c:pt>
                <c:pt idx="58">
                  <c:v>-1458211.4207411886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69-475A-A1D1-2D63A602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Torque'!$Y$37:$Y$96</c:f>
              <c:numCache>
                <c:formatCode>General</c:formatCode>
                <c:ptCount val="60"/>
                <c:pt idx="0">
                  <c:v>-4210305.4316093177</c:v>
                </c:pt>
                <c:pt idx="1">
                  <c:v>-4104789.7881427668</c:v>
                </c:pt>
                <c:pt idx="2">
                  <c:v>-3999922.8599951132</c:v>
                </c:pt>
                <c:pt idx="3">
                  <c:v>-3895734.2962810649</c:v>
                </c:pt>
                <c:pt idx="4">
                  <c:v>-3792253.3059902368</c:v>
                </c:pt>
                <c:pt idx="5">
                  <c:v>-3689508.6831699912</c:v>
                </c:pt>
                <c:pt idx="6">
                  <c:v>-3587528.8317555962</c:v>
                </c:pt>
                <c:pt idx="7">
                  <c:v>-3486341.7901569102</c:v>
                </c:pt>
                <c:pt idx="8">
                  <c:v>-3385953.9764313563</c:v>
                </c:pt>
                <c:pt idx="9">
                  <c:v>-3286393.8950623604</c:v>
                </c:pt>
                <c:pt idx="10">
                  <c:v>-3187557.3746619639</c:v>
                </c:pt>
                <c:pt idx="11">
                  <c:v>-3089350.4904527245</c:v>
                </c:pt>
                <c:pt idx="12">
                  <c:v>-3070203.7087671226</c:v>
                </c:pt>
                <c:pt idx="13">
                  <c:v>-2973320.3516606833</c:v>
                </c:pt>
                <c:pt idx="14">
                  <c:v>-2877141.4754003594</c:v>
                </c:pt>
                <c:pt idx="15">
                  <c:v>-2781695.6766009647</c:v>
                </c:pt>
                <c:pt idx="16">
                  <c:v>-2687011.6810526033</c:v>
                </c:pt>
                <c:pt idx="17">
                  <c:v>-2593118.3779569711</c:v>
                </c:pt>
                <c:pt idx="18">
                  <c:v>-2500044.85606489</c:v>
                </c:pt>
                <c:pt idx="19">
                  <c:v>-2407820.4419862167</c:v>
                </c:pt>
                <c:pt idx="20">
                  <c:v>-2316474.7409771793</c:v>
                </c:pt>
                <c:pt idx="21">
                  <c:v>-2226037.6805502097</c:v>
                </c:pt>
                <c:pt idx="22">
                  <c:v>-2136539.5572986538</c:v>
                </c:pt>
                <c:pt idx="23">
                  <c:v>-2048011.0873847944</c:v>
                </c:pt>
                <c:pt idx="24">
                  <c:v>-1960483.4612063151</c:v>
                </c:pt>
                <c:pt idx="25">
                  <c:v>-1873988.4028359009</c:v>
                </c:pt>
                <c:pt idx="26">
                  <c:v>-1788558.2349240491</c:v>
                </c:pt>
                <c:pt idx="27">
                  <c:v>-1704225.9498699429</c:v>
                </c:pt>
                <c:pt idx="28">
                  <c:v>-1621025.2882041361</c:v>
                </c:pt>
                <c:pt idx="29">
                  <c:v>-1538990.8252956965</c:v>
                </c:pt>
                <c:pt idx="30">
                  <c:v>-1458158.0677030515</c:v>
                </c:pt>
                <c:pt idx="31">
                  <c:v>-1378563.5607421147</c:v>
                </c:pt>
                <c:pt idx="32">
                  <c:v>-1300245.0091603792</c:v>
                </c:pt>
                <c:pt idx="33">
                  <c:v>-1223241.4131990015</c:v>
                </c:pt>
                <c:pt idx="34">
                  <c:v>-1147593.2228196273</c:v>
                </c:pt>
                <c:pt idx="35">
                  <c:v>-1151755.0697502408</c:v>
                </c:pt>
                <c:pt idx="36">
                  <c:v>-1078945.7440575443</c:v>
                </c:pt>
                <c:pt idx="37">
                  <c:v>-1007623.7642415838</c:v>
                </c:pt>
                <c:pt idx="38">
                  <c:v>-937837.42245464516</c:v>
                </c:pt>
                <c:pt idx="39">
                  <c:v>-869637.6569890047</c:v>
                </c:pt>
                <c:pt idx="40">
                  <c:v>-803078.42532741709</c:v>
                </c:pt>
                <c:pt idx="41">
                  <c:v>-738217.14805671293</c:v>
                </c:pt>
                <c:pt idx="42">
                  <c:v>-675115.24218308704</c:v>
                </c:pt>
                <c:pt idx="43">
                  <c:v>-613838.76867968217</c:v>
                </c:pt>
                <c:pt idx="44">
                  <c:v>-554459.22808679671</c:v>
                </c:pt>
                <c:pt idx="45">
                  <c:v>-497054.55110562261</c:v>
                </c:pt>
                <c:pt idx="46">
                  <c:v>-441710.35074294166</c:v>
                </c:pt>
                <c:pt idx="47">
                  <c:v>-388521.53271023399</c:v>
                </c:pt>
                <c:pt idx="48">
                  <c:v>-337594.40859975078</c:v>
                </c:pt>
                <c:pt idx="49">
                  <c:v>-289049.53507075901</c:v>
                </c:pt>
                <c:pt idx="50">
                  <c:v>-243025.63763709337</c:v>
                </c:pt>
                <c:pt idx="51">
                  <c:v>-199685.22304128145</c:v>
                </c:pt>
                <c:pt idx="52">
                  <c:v>-159222.9590252279</c:v>
                </c:pt>
                <c:pt idx="53">
                  <c:v>-121878.89840506268</c:v>
                </c:pt>
                <c:pt idx="54">
                  <c:v>-87960.96597709466</c:v>
                </c:pt>
                <c:pt idx="55">
                  <c:v>-57887.542718430072</c:v>
                </c:pt>
                <c:pt idx="56">
                  <c:v>-32283.430314006637</c:v>
                </c:pt>
                <c:pt idx="57">
                  <c:v>-12291.249159032785</c:v>
                </c:pt>
                <c:pt idx="58">
                  <c:v>-1458.2114207411885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0-4D07-BEC8-ED3DA27FE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93991122266174"/>
          <c:y val="7.4497357756806215E-2"/>
          <c:w val="0.76889012806641011"/>
          <c:h val="0.79571667052067074"/>
        </c:manualLayout>
      </c:layout>
      <c:scatterChart>
        <c:scatterStyle val="lineMarker"/>
        <c:varyColors val="0"/>
        <c:ser>
          <c:idx val="0"/>
          <c:order val="0"/>
          <c:tx>
            <c:v>Wing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Torque'!$Y$37:$Y$96</c:f>
              <c:numCache>
                <c:formatCode>General</c:formatCode>
                <c:ptCount val="60"/>
                <c:pt idx="0">
                  <c:v>-4210305.4316093177</c:v>
                </c:pt>
                <c:pt idx="1">
                  <c:v>-4104789.7881427668</c:v>
                </c:pt>
                <c:pt idx="2">
                  <c:v>-3999922.8599951132</c:v>
                </c:pt>
                <c:pt idx="3">
                  <c:v>-3895734.2962810649</c:v>
                </c:pt>
                <c:pt idx="4">
                  <c:v>-3792253.3059902368</c:v>
                </c:pt>
                <c:pt idx="5">
                  <c:v>-3689508.6831699912</c:v>
                </c:pt>
                <c:pt idx="6">
                  <c:v>-3587528.8317555962</c:v>
                </c:pt>
                <c:pt idx="7">
                  <c:v>-3486341.7901569102</c:v>
                </c:pt>
                <c:pt idx="8">
                  <c:v>-3385953.9764313563</c:v>
                </c:pt>
                <c:pt idx="9">
                  <c:v>-3286393.8950623604</c:v>
                </c:pt>
                <c:pt idx="10">
                  <c:v>-3187557.3746619639</c:v>
                </c:pt>
                <c:pt idx="11">
                  <c:v>-3089350.4904527245</c:v>
                </c:pt>
                <c:pt idx="12">
                  <c:v>-3070203.7087671226</c:v>
                </c:pt>
                <c:pt idx="13">
                  <c:v>-2973320.3516606833</c:v>
                </c:pt>
                <c:pt idx="14">
                  <c:v>-2877141.4754003594</c:v>
                </c:pt>
                <c:pt idx="15">
                  <c:v>-2781695.6766009647</c:v>
                </c:pt>
                <c:pt idx="16">
                  <c:v>-2687011.6810526033</c:v>
                </c:pt>
                <c:pt idx="17">
                  <c:v>-2593118.3779569711</c:v>
                </c:pt>
                <c:pt idx="18">
                  <c:v>-2500044.85606489</c:v>
                </c:pt>
                <c:pt idx="19">
                  <c:v>-2407820.4419862167</c:v>
                </c:pt>
                <c:pt idx="20">
                  <c:v>-2316474.7409771793</c:v>
                </c:pt>
                <c:pt idx="21">
                  <c:v>-2226037.6805502097</c:v>
                </c:pt>
                <c:pt idx="22">
                  <c:v>-2136539.5572986538</c:v>
                </c:pt>
                <c:pt idx="23">
                  <c:v>-2048011.0873847944</c:v>
                </c:pt>
                <c:pt idx="24">
                  <c:v>-1960483.4612063151</c:v>
                </c:pt>
                <c:pt idx="25">
                  <c:v>-1873988.4028359009</c:v>
                </c:pt>
                <c:pt idx="26">
                  <c:v>-1788558.2349240491</c:v>
                </c:pt>
                <c:pt idx="27">
                  <c:v>-1704225.9498699429</c:v>
                </c:pt>
                <c:pt idx="28">
                  <c:v>-1621025.2882041361</c:v>
                </c:pt>
                <c:pt idx="29">
                  <c:v>-1538990.8252956965</c:v>
                </c:pt>
                <c:pt idx="30">
                  <c:v>-1458158.0677030515</c:v>
                </c:pt>
                <c:pt idx="31">
                  <c:v>-1378563.5607421147</c:v>
                </c:pt>
                <c:pt idx="32">
                  <c:v>-1300245.0091603792</c:v>
                </c:pt>
                <c:pt idx="33">
                  <c:v>-1223241.4131990015</c:v>
                </c:pt>
                <c:pt idx="34">
                  <c:v>-1147593.2228196273</c:v>
                </c:pt>
                <c:pt idx="35">
                  <c:v>-1151755.0697502408</c:v>
                </c:pt>
                <c:pt idx="36">
                  <c:v>-1078945.7440575443</c:v>
                </c:pt>
                <c:pt idx="37">
                  <c:v>-1007623.7642415838</c:v>
                </c:pt>
                <c:pt idx="38">
                  <c:v>-937837.42245464516</c:v>
                </c:pt>
                <c:pt idx="39">
                  <c:v>-869637.6569890047</c:v>
                </c:pt>
                <c:pt idx="40">
                  <c:v>-803078.42532741709</c:v>
                </c:pt>
                <c:pt idx="41">
                  <c:v>-738217.14805671293</c:v>
                </c:pt>
                <c:pt idx="42">
                  <c:v>-675115.24218308704</c:v>
                </c:pt>
                <c:pt idx="43">
                  <c:v>-613838.76867968217</c:v>
                </c:pt>
                <c:pt idx="44">
                  <c:v>-554459.22808679671</c:v>
                </c:pt>
                <c:pt idx="45">
                  <c:v>-497054.55110562261</c:v>
                </c:pt>
                <c:pt idx="46">
                  <c:v>-441710.35074294166</c:v>
                </c:pt>
                <c:pt idx="47">
                  <c:v>-388521.53271023399</c:v>
                </c:pt>
                <c:pt idx="48">
                  <c:v>-337594.40859975078</c:v>
                </c:pt>
                <c:pt idx="49">
                  <c:v>-289049.53507075901</c:v>
                </c:pt>
                <c:pt idx="50">
                  <c:v>-243025.63763709337</c:v>
                </c:pt>
                <c:pt idx="51">
                  <c:v>-199685.22304128145</c:v>
                </c:pt>
                <c:pt idx="52">
                  <c:v>-159222.9590252279</c:v>
                </c:pt>
                <c:pt idx="53">
                  <c:v>-121878.89840506268</c:v>
                </c:pt>
                <c:pt idx="54">
                  <c:v>-87960.96597709466</c:v>
                </c:pt>
                <c:pt idx="55">
                  <c:v>-57887.542718430072</c:v>
                </c:pt>
                <c:pt idx="56">
                  <c:v>-32283.430314006637</c:v>
                </c:pt>
                <c:pt idx="57">
                  <c:v>-12291.249159032785</c:v>
                </c:pt>
                <c:pt idx="58">
                  <c:v>-1458.2114207411885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C-487E-BDFA-B165BEAB1721}"/>
            </c:ext>
          </c:extLst>
        </c:ser>
        <c:ser>
          <c:idx val="1"/>
          <c:order val="1"/>
          <c:tx>
            <c:v>Engine</c:v>
          </c:tx>
          <c:spPr>
            <a:ln w="9525" cap="rnd">
              <a:solidFill>
                <a:srgbClr val="DC143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Torque'!$AD$37:$AD$96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EC-487E-BDFA-B165BEAB1721}"/>
            </c:ext>
          </c:extLst>
        </c:ser>
        <c:ser>
          <c:idx val="2"/>
          <c:order val="2"/>
          <c:tx>
            <c:v>Wing+Engine</c:v>
          </c:tx>
          <c:spPr>
            <a:ln w="12700" cap="rnd">
              <a:solidFill>
                <a:srgbClr val="0000C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Torque'!$Y$37:$Y$96</c:f>
              <c:numCache>
                <c:formatCode>General</c:formatCode>
                <c:ptCount val="60"/>
                <c:pt idx="0">
                  <c:v>-4210305.4316093177</c:v>
                </c:pt>
                <c:pt idx="1">
                  <c:v>-4104789.7881427668</c:v>
                </c:pt>
                <c:pt idx="2">
                  <c:v>-3999922.8599951132</c:v>
                </c:pt>
                <c:pt idx="3">
                  <c:v>-3895734.2962810649</c:v>
                </c:pt>
                <c:pt idx="4">
                  <c:v>-3792253.3059902368</c:v>
                </c:pt>
                <c:pt idx="5">
                  <c:v>-3689508.6831699912</c:v>
                </c:pt>
                <c:pt idx="6">
                  <c:v>-3587528.8317555962</c:v>
                </c:pt>
                <c:pt idx="7">
                  <c:v>-3486341.7901569102</c:v>
                </c:pt>
                <c:pt idx="8">
                  <c:v>-3385953.9764313563</c:v>
                </c:pt>
                <c:pt idx="9">
                  <c:v>-3286393.8950623604</c:v>
                </c:pt>
                <c:pt idx="10">
                  <c:v>-3187557.3746619639</c:v>
                </c:pt>
                <c:pt idx="11">
                  <c:v>-3089350.4904527245</c:v>
                </c:pt>
                <c:pt idx="12">
                  <c:v>-3070203.7087671226</c:v>
                </c:pt>
                <c:pt idx="13">
                  <c:v>-2973320.3516606833</c:v>
                </c:pt>
                <c:pt idx="14">
                  <c:v>-2877141.4754003594</c:v>
                </c:pt>
                <c:pt idx="15">
                  <c:v>-2781695.6766009647</c:v>
                </c:pt>
                <c:pt idx="16">
                  <c:v>-2687011.6810526033</c:v>
                </c:pt>
                <c:pt idx="17">
                  <c:v>-2593118.3779569711</c:v>
                </c:pt>
                <c:pt idx="18">
                  <c:v>-2500044.85606489</c:v>
                </c:pt>
                <c:pt idx="19">
                  <c:v>-2407820.4419862167</c:v>
                </c:pt>
                <c:pt idx="20">
                  <c:v>-2316474.7409771793</c:v>
                </c:pt>
                <c:pt idx="21">
                  <c:v>-2226037.6805502097</c:v>
                </c:pt>
                <c:pt idx="22">
                  <c:v>-2136539.5572986538</c:v>
                </c:pt>
                <c:pt idx="23">
                  <c:v>-2048011.0873847944</c:v>
                </c:pt>
                <c:pt idx="24">
                  <c:v>-1960483.4612063151</c:v>
                </c:pt>
                <c:pt idx="25">
                  <c:v>-1873988.4028359009</c:v>
                </c:pt>
                <c:pt idx="26">
                  <c:v>-1788558.2349240491</c:v>
                </c:pt>
                <c:pt idx="27">
                  <c:v>-1704225.9498699429</c:v>
                </c:pt>
                <c:pt idx="28">
                  <c:v>-1621025.2882041361</c:v>
                </c:pt>
                <c:pt idx="29">
                  <c:v>-1538990.8252956965</c:v>
                </c:pt>
                <c:pt idx="30">
                  <c:v>-1458158.0677030515</c:v>
                </c:pt>
                <c:pt idx="31">
                  <c:v>-1378563.5607421147</c:v>
                </c:pt>
                <c:pt idx="32">
                  <c:v>-1300245.0091603792</c:v>
                </c:pt>
                <c:pt idx="33">
                  <c:v>-1223241.4131990015</c:v>
                </c:pt>
                <c:pt idx="34">
                  <c:v>-1147593.2228196273</c:v>
                </c:pt>
                <c:pt idx="35">
                  <c:v>-1151755.0697502408</c:v>
                </c:pt>
                <c:pt idx="36">
                  <c:v>-1078945.7440575443</c:v>
                </c:pt>
                <c:pt idx="37">
                  <c:v>-1007623.7642415838</c:v>
                </c:pt>
                <c:pt idx="38">
                  <c:v>-937837.42245464516</c:v>
                </c:pt>
                <c:pt idx="39">
                  <c:v>-869637.6569890047</c:v>
                </c:pt>
                <c:pt idx="40">
                  <c:v>-803078.42532741709</c:v>
                </c:pt>
                <c:pt idx="41">
                  <c:v>-738217.14805671293</c:v>
                </c:pt>
                <c:pt idx="42">
                  <c:v>-675115.24218308704</c:v>
                </c:pt>
                <c:pt idx="43">
                  <c:v>-613838.76867968217</c:v>
                </c:pt>
                <c:pt idx="44">
                  <c:v>-554459.22808679671</c:v>
                </c:pt>
                <c:pt idx="45">
                  <c:v>-497054.55110562261</c:v>
                </c:pt>
                <c:pt idx="46">
                  <c:v>-441710.35074294166</c:v>
                </c:pt>
                <c:pt idx="47">
                  <c:v>-388521.53271023399</c:v>
                </c:pt>
                <c:pt idx="48">
                  <c:v>-337594.40859975078</c:v>
                </c:pt>
                <c:pt idx="49">
                  <c:v>-289049.53507075901</c:v>
                </c:pt>
                <c:pt idx="50">
                  <c:v>-243025.63763709337</c:v>
                </c:pt>
                <c:pt idx="51">
                  <c:v>-199685.22304128145</c:v>
                </c:pt>
                <c:pt idx="52">
                  <c:v>-159222.9590252279</c:v>
                </c:pt>
                <c:pt idx="53">
                  <c:v>-121878.89840506268</c:v>
                </c:pt>
                <c:pt idx="54">
                  <c:v>-87960.96597709466</c:v>
                </c:pt>
                <c:pt idx="55">
                  <c:v>-57887.542718430072</c:v>
                </c:pt>
                <c:pt idx="56">
                  <c:v>-32283.430314006637</c:v>
                </c:pt>
                <c:pt idx="57">
                  <c:v>-12291.249159032785</c:v>
                </c:pt>
                <c:pt idx="58">
                  <c:v>-1458.2114207411885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EC-487E-BDFA-B165BEAB1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Torque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4539354376742E-3"/>
              <c:y val="0.2862512944195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4754961145425693"/>
          <c:y val="0.63978789251446844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Landing'!$O$37:$O$96</c:f>
              <c:numCache>
                <c:formatCode>0.00</c:formatCode>
                <c:ptCount val="60"/>
                <c:pt idx="0">
                  <c:v>-1682432856.2666709</c:v>
                </c:pt>
                <c:pt idx="1">
                  <c:v>-1685367136.9908366</c:v>
                </c:pt>
                <c:pt idx="2">
                  <c:v>-1688239422.9399154</c:v>
                </c:pt>
                <c:pt idx="3">
                  <c:v>-1691049714.1139071</c:v>
                </c:pt>
                <c:pt idx="4">
                  <c:v>-1693798010.5128117</c:v>
                </c:pt>
                <c:pt idx="5">
                  <c:v>-1696484312.1366293</c:v>
                </c:pt>
                <c:pt idx="6">
                  <c:v>-1699108618.9853599</c:v>
                </c:pt>
                <c:pt idx="7">
                  <c:v>-512429146.24900341</c:v>
                </c:pt>
                <c:pt idx="8">
                  <c:v>-514929463.54755992</c:v>
                </c:pt>
                <c:pt idx="9">
                  <c:v>-517369866.22364807</c:v>
                </c:pt>
                <c:pt idx="10">
                  <c:v>-519763942.98259425</c:v>
                </c:pt>
                <c:pt idx="11">
                  <c:v>-522124284.88708603</c:v>
                </c:pt>
                <c:pt idx="12">
                  <c:v>-75391036.200852275</c:v>
                </c:pt>
                <c:pt idx="13">
                  <c:v>-77686073.416393146</c:v>
                </c:pt>
                <c:pt idx="14">
                  <c:v>-79948458.287458599</c:v>
                </c:pt>
                <c:pt idx="15">
                  <c:v>-82178190.814048633</c:v>
                </c:pt>
                <c:pt idx="16">
                  <c:v>-84375270.996163249</c:v>
                </c:pt>
                <c:pt idx="17">
                  <c:v>-86539698.833802447</c:v>
                </c:pt>
                <c:pt idx="18">
                  <c:v>-88671474.326966241</c:v>
                </c:pt>
                <c:pt idx="19">
                  <c:v>-90770597.475654602</c:v>
                </c:pt>
                <c:pt idx="20">
                  <c:v>-92837068.27986756</c:v>
                </c:pt>
                <c:pt idx="21">
                  <c:v>-94870886.739605114</c:v>
                </c:pt>
                <c:pt idx="22">
                  <c:v>-96872052.854867235</c:v>
                </c:pt>
                <c:pt idx="23">
                  <c:v>-98840566.625653937</c:v>
                </c:pt>
                <c:pt idx="24">
                  <c:v>-100776428.05196525</c:v>
                </c:pt>
                <c:pt idx="25">
                  <c:v>-102679637.13380112</c:v>
                </c:pt>
                <c:pt idx="26">
                  <c:v>-104550193.87116159</c:v>
                </c:pt>
                <c:pt idx="27">
                  <c:v>-106388098.26404664</c:v>
                </c:pt>
                <c:pt idx="28">
                  <c:v>-108193350.31245627</c:v>
                </c:pt>
                <c:pt idx="29">
                  <c:v>-109965950.01639046</c:v>
                </c:pt>
                <c:pt idx="30">
                  <c:v>-111705897.37584926</c:v>
                </c:pt>
                <c:pt idx="31">
                  <c:v>-113413192.39083265</c:v>
                </c:pt>
                <c:pt idx="32">
                  <c:v>-115087835.06134062</c:v>
                </c:pt>
                <c:pt idx="33">
                  <c:v>-116729825.38737319</c:v>
                </c:pt>
                <c:pt idx="34">
                  <c:v>-118339163.36893034</c:v>
                </c:pt>
                <c:pt idx="35">
                  <c:v>27494529.240237933</c:v>
                </c:pt>
                <c:pt idx="36">
                  <c:v>25950495.947631624</c:v>
                </c:pt>
                <c:pt idx="37">
                  <c:v>24439114.999500725</c:v>
                </c:pt>
                <c:pt idx="38">
                  <c:v>22960386.395845242</c:v>
                </c:pt>
                <c:pt idx="39">
                  <c:v>21514310.136665177</c:v>
                </c:pt>
                <c:pt idx="40">
                  <c:v>20100886.22196053</c:v>
                </c:pt>
                <c:pt idx="41">
                  <c:v>18720114.651731294</c:v>
                </c:pt>
                <c:pt idx="42">
                  <c:v>17371995.425977472</c:v>
                </c:pt>
                <c:pt idx="43">
                  <c:v>16056528.544699067</c:v>
                </c:pt>
                <c:pt idx="44">
                  <c:v>14773714.007896079</c:v>
                </c:pt>
                <c:pt idx="45">
                  <c:v>13523551.815568505</c:v>
                </c:pt>
                <c:pt idx="46">
                  <c:v>12306041.967716346</c:v>
                </c:pt>
                <c:pt idx="47">
                  <c:v>11121184.464339601</c:v>
                </c:pt>
                <c:pt idx="48">
                  <c:v>9968979.3054382745</c:v>
                </c:pt>
                <c:pt idx="49">
                  <c:v>8849426.4910123628</c:v>
                </c:pt>
                <c:pt idx="50">
                  <c:v>7762526.0210618656</c:v>
                </c:pt>
                <c:pt idx="51">
                  <c:v>6708277.8955867831</c:v>
                </c:pt>
                <c:pt idx="52">
                  <c:v>5686682.114587117</c:v>
                </c:pt>
                <c:pt idx="53">
                  <c:v>4697738.6780628674</c:v>
                </c:pt>
                <c:pt idx="54">
                  <c:v>3741447.586014031</c:v>
                </c:pt>
                <c:pt idx="55">
                  <c:v>2817808.8384406106</c:v>
                </c:pt>
                <c:pt idx="56">
                  <c:v>1926822.435342605</c:v>
                </c:pt>
                <c:pt idx="57">
                  <c:v>1068488.3767200152</c:v>
                </c:pt>
                <c:pt idx="58">
                  <c:v>242806.66257284069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42-40D4-9D44-C9A484CC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Landing'!$N$37:$N$96</c:f>
              <c:numCache>
                <c:formatCode>0.00</c:formatCode>
                <c:ptCount val="60"/>
                <c:pt idx="0">
                  <c:v>2934280.7241657907</c:v>
                </c:pt>
                <c:pt idx="1">
                  <c:v>2872285.9490787452</c:v>
                </c:pt>
                <c:pt idx="2">
                  <c:v>2810291.1739916978</c:v>
                </c:pt>
                <c:pt idx="3">
                  <c:v>2748296.3989046505</c:v>
                </c:pt>
                <c:pt idx="4">
                  <c:v>2686301.623817604</c:v>
                </c:pt>
                <c:pt idx="5">
                  <c:v>2624306.8487305576</c:v>
                </c:pt>
                <c:pt idx="6">
                  <c:v>-1186679472.7363565</c:v>
                </c:pt>
                <c:pt idx="7">
                  <c:v>2500317.2985564657</c:v>
                </c:pt>
                <c:pt idx="8">
                  <c:v>2440402.6760881227</c:v>
                </c:pt>
                <c:pt idx="9">
                  <c:v>2394076.7589463526</c:v>
                </c:pt>
                <c:pt idx="10">
                  <c:v>2360341.9044916946</c:v>
                </c:pt>
                <c:pt idx="11">
                  <c:v>-446733248.68623376</c:v>
                </c:pt>
                <c:pt idx="12">
                  <c:v>2295037.2155408645</c:v>
                </c:pt>
                <c:pt idx="13">
                  <c:v>2262384.871065449</c:v>
                </c:pt>
                <c:pt idx="14">
                  <c:v>2229732.5265900334</c:v>
                </c:pt>
                <c:pt idx="15">
                  <c:v>2197080.1821146179</c:v>
                </c:pt>
                <c:pt idx="16">
                  <c:v>2164427.8376392028</c:v>
                </c:pt>
                <c:pt idx="17">
                  <c:v>2131775.4931637878</c:v>
                </c:pt>
                <c:pt idx="18">
                  <c:v>2099123.1486883722</c:v>
                </c:pt>
                <c:pt idx="19">
                  <c:v>2066470.8042129569</c:v>
                </c:pt>
                <c:pt idx="20">
                  <c:v>2033818.4597375416</c:v>
                </c:pt>
                <c:pt idx="21">
                  <c:v>2001166.1152621261</c:v>
                </c:pt>
                <c:pt idx="22">
                  <c:v>1968513.7707867105</c:v>
                </c:pt>
                <c:pt idx="23">
                  <c:v>1935861.4263112952</c:v>
                </c:pt>
                <c:pt idx="24">
                  <c:v>1903209.0818358804</c:v>
                </c:pt>
                <c:pt idx="25">
                  <c:v>1870556.7373604653</c:v>
                </c:pt>
                <c:pt idx="26">
                  <c:v>1837904.3928850498</c:v>
                </c:pt>
                <c:pt idx="27">
                  <c:v>1805252.0484096345</c:v>
                </c:pt>
                <c:pt idx="28">
                  <c:v>1772599.7039342187</c:v>
                </c:pt>
                <c:pt idx="29">
                  <c:v>1739947.3594588034</c:v>
                </c:pt>
                <c:pt idx="30">
                  <c:v>1707295.0149833881</c:v>
                </c:pt>
                <c:pt idx="31">
                  <c:v>1674642.6705079731</c:v>
                </c:pt>
                <c:pt idx="32">
                  <c:v>1641990.3260325575</c:v>
                </c:pt>
                <c:pt idx="33">
                  <c:v>1609337.981557142</c:v>
                </c:pt>
                <c:pt idx="34">
                  <c:v>-145833692.60916829</c:v>
                </c:pt>
                <c:pt idx="35">
                  <c:v>1544033.2926063116</c:v>
                </c:pt>
                <c:pt idx="36">
                  <c:v>1511380.9481308963</c:v>
                </c:pt>
                <c:pt idx="37">
                  <c:v>1478728.603655481</c:v>
                </c:pt>
                <c:pt idx="38">
                  <c:v>1446076.2591800657</c:v>
                </c:pt>
                <c:pt idx="39">
                  <c:v>1413423.9147046504</c:v>
                </c:pt>
                <c:pt idx="40">
                  <c:v>1380771.5702292351</c:v>
                </c:pt>
                <c:pt idx="41">
                  <c:v>1348119.2257538196</c:v>
                </c:pt>
                <c:pt idx="42">
                  <c:v>1315466.8812784045</c:v>
                </c:pt>
                <c:pt idx="43">
                  <c:v>1282814.5368029894</c:v>
                </c:pt>
                <c:pt idx="44">
                  <c:v>1250162.1923275734</c:v>
                </c:pt>
                <c:pt idx="45">
                  <c:v>1217509.8478521584</c:v>
                </c:pt>
                <c:pt idx="46">
                  <c:v>1184857.5033767431</c:v>
                </c:pt>
                <c:pt idx="47">
                  <c:v>1152205.1589013278</c:v>
                </c:pt>
                <c:pt idx="48">
                  <c:v>1119552.8144259122</c:v>
                </c:pt>
                <c:pt idx="49">
                  <c:v>1086900.4699504972</c:v>
                </c:pt>
                <c:pt idx="50">
                  <c:v>1054248.1254750818</c:v>
                </c:pt>
                <c:pt idx="51">
                  <c:v>1021595.7809996664</c:v>
                </c:pt>
                <c:pt idx="52">
                  <c:v>988943.43652425101</c:v>
                </c:pt>
                <c:pt idx="53">
                  <c:v>956291.09204883594</c:v>
                </c:pt>
                <c:pt idx="54">
                  <c:v>923638.74757342041</c:v>
                </c:pt>
                <c:pt idx="55">
                  <c:v>890986.40309800522</c:v>
                </c:pt>
                <c:pt idx="56">
                  <c:v>858334.0586225898</c:v>
                </c:pt>
                <c:pt idx="57">
                  <c:v>825681.7141471745</c:v>
                </c:pt>
                <c:pt idx="58">
                  <c:v>242806.66257284069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5-45CA-91D9-F163FFEB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and Engine Torque Landing'!$C$37:$C$96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Landing'!$Y$37:$Y$96</c:f>
              <c:numCache>
                <c:formatCode>General</c:formatCode>
                <c:ptCount val="60"/>
                <c:pt idx="0">
                  <c:v>-1682432.8562666709</c:v>
                </c:pt>
                <c:pt idx="1">
                  <c:v>-1685367.1369908366</c:v>
                </c:pt>
                <c:pt idx="2">
                  <c:v>-1688239.4229399154</c:v>
                </c:pt>
                <c:pt idx="3">
                  <c:v>-1691049.7141139072</c:v>
                </c:pt>
                <c:pt idx="4">
                  <c:v>-1693798.0105128116</c:v>
                </c:pt>
                <c:pt idx="5">
                  <c:v>-1696484.3121366294</c:v>
                </c:pt>
                <c:pt idx="6">
                  <c:v>-1699108.61898536</c:v>
                </c:pt>
                <c:pt idx="7">
                  <c:v>-512429.14624900342</c:v>
                </c:pt>
                <c:pt idx="8">
                  <c:v>-514929.46354755992</c:v>
                </c:pt>
                <c:pt idx="9">
                  <c:v>-517369.86622364807</c:v>
                </c:pt>
                <c:pt idx="10">
                  <c:v>-519763.94298259425</c:v>
                </c:pt>
                <c:pt idx="11">
                  <c:v>-522124.28488708602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E-4FA8-ACEF-B017A9702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93991122266174"/>
          <c:y val="7.4497357756806215E-2"/>
          <c:w val="0.76889012806641011"/>
          <c:h val="0.79068790434886249"/>
        </c:manualLayout>
      </c:layout>
      <c:scatterChart>
        <c:scatterStyle val="lineMarker"/>
        <c:varyColors val="0"/>
        <c:ser>
          <c:idx val="0"/>
          <c:order val="0"/>
          <c:tx>
            <c:v>Wing</c:v>
          </c:tx>
          <c:spPr>
            <a:ln w="9525" cap="rnd">
              <a:solidFill>
                <a:srgbClr val="00808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and Engine Torque Landing'!$AM$37:$AM$96</c:f>
              <c:numCache>
                <c:formatCode>General</c:formatCode>
                <c:ptCount val="60"/>
                <c:pt idx="0">
                  <c:v>-1380782.296266671</c:v>
                </c:pt>
                <c:pt idx="1">
                  <c:v>-1383716.5769908365</c:v>
                </c:pt>
                <c:pt idx="2">
                  <c:v>-1386588.8629399154</c:v>
                </c:pt>
                <c:pt idx="3">
                  <c:v>-1389399.1541139071</c:v>
                </c:pt>
                <c:pt idx="4">
                  <c:v>-1392147.4505128118</c:v>
                </c:pt>
                <c:pt idx="5">
                  <c:v>-1394833.7521366293</c:v>
                </c:pt>
                <c:pt idx="6">
                  <c:v>-1397458.05898536</c:v>
                </c:pt>
                <c:pt idx="7">
                  <c:v>-210778.58624900339</c:v>
                </c:pt>
                <c:pt idx="8">
                  <c:v>-213278.90354755984</c:v>
                </c:pt>
                <c:pt idx="9">
                  <c:v>-215719.30622364799</c:v>
                </c:pt>
                <c:pt idx="10">
                  <c:v>-218113.38298259434</c:v>
                </c:pt>
                <c:pt idx="11">
                  <c:v>-220473.72488708599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DF-4555-8A7A-8641AAC8F53C}"/>
            </c:ext>
          </c:extLst>
        </c:ser>
        <c:ser>
          <c:idx val="1"/>
          <c:order val="1"/>
          <c:tx>
            <c:v>Engine</c:v>
          </c:tx>
          <c:spPr>
            <a:ln w="9525" cap="rnd">
              <a:solidFill>
                <a:srgbClr val="DC143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Landing'!$AD$37:$AD$96</c:f>
              <c:numCache>
                <c:formatCode>General</c:formatCode>
                <c:ptCount val="60"/>
                <c:pt idx="0">
                  <c:v>-301650.56</c:v>
                </c:pt>
                <c:pt idx="1">
                  <c:v>-301650.56</c:v>
                </c:pt>
                <c:pt idx="2">
                  <c:v>-301650.56</c:v>
                </c:pt>
                <c:pt idx="3">
                  <c:v>-301650.56</c:v>
                </c:pt>
                <c:pt idx="4">
                  <c:v>-301650.56</c:v>
                </c:pt>
                <c:pt idx="5">
                  <c:v>-301650.56</c:v>
                </c:pt>
                <c:pt idx="6">
                  <c:v>-301650.56</c:v>
                </c:pt>
                <c:pt idx="7">
                  <c:v>-301650.56</c:v>
                </c:pt>
                <c:pt idx="8">
                  <c:v>-301650.56</c:v>
                </c:pt>
                <c:pt idx="9">
                  <c:v>-301650.56</c:v>
                </c:pt>
                <c:pt idx="10">
                  <c:v>-301650.56</c:v>
                </c:pt>
                <c:pt idx="11">
                  <c:v>-301650.56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DF-4555-8A7A-8641AAC8F53C}"/>
            </c:ext>
          </c:extLst>
        </c:ser>
        <c:ser>
          <c:idx val="2"/>
          <c:order val="2"/>
          <c:tx>
            <c:v>Wing+Engine</c:v>
          </c:tx>
          <c:spPr>
            <a:ln w="12700" cap="rnd">
              <a:solidFill>
                <a:srgbClr val="0000C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and Engine Torque Landing'!$Y$37:$Y$96</c:f>
              <c:numCache>
                <c:formatCode>General</c:formatCode>
                <c:ptCount val="60"/>
                <c:pt idx="0">
                  <c:v>-1682432.8562666709</c:v>
                </c:pt>
                <c:pt idx="1">
                  <c:v>-1685367.1369908366</c:v>
                </c:pt>
                <c:pt idx="2">
                  <c:v>-1688239.4229399154</c:v>
                </c:pt>
                <c:pt idx="3">
                  <c:v>-1691049.7141139072</c:v>
                </c:pt>
                <c:pt idx="4">
                  <c:v>-1693798.0105128116</c:v>
                </c:pt>
                <c:pt idx="5">
                  <c:v>-1696484.3121366294</c:v>
                </c:pt>
                <c:pt idx="6">
                  <c:v>-1699108.61898536</c:v>
                </c:pt>
                <c:pt idx="7">
                  <c:v>-512429.14624900342</c:v>
                </c:pt>
                <c:pt idx="8">
                  <c:v>-514929.46354755992</c:v>
                </c:pt>
                <c:pt idx="9">
                  <c:v>-517369.86622364807</c:v>
                </c:pt>
                <c:pt idx="10">
                  <c:v>-519763.94298259425</c:v>
                </c:pt>
                <c:pt idx="11">
                  <c:v>-522124.28488708602</c:v>
                </c:pt>
                <c:pt idx="12">
                  <c:v>-75391.036200852279</c:v>
                </c:pt>
                <c:pt idx="13">
                  <c:v>-77686.073416393148</c:v>
                </c:pt>
                <c:pt idx="14">
                  <c:v>-79948.458287458605</c:v>
                </c:pt>
                <c:pt idx="15">
                  <c:v>-82178.190814048634</c:v>
                </c:pt>
                <c:pt idx="16">
                  <c:v>-84375.27099616325</c:v>
                </c:pt>
                <c:pt idx="17">
                  <c:v>-86539.698833802453</c:v>
                </c:pt>
                <c:pt idx="18">
                  <c:v>-88671.474326966243</c:v>
                </c:pt>
                <c:pt idx="19">
                  <c:v>-90770.597475654606</c:v>
                </c:pt>
                <c:pt idx="20">
                  <c:v>-92837.068279867555</c:v>
                </c:pt>
                <c:pt idx="21">
                  <c:v>-94870.886739605121</c:v>
                </c:pt>
                <c:pt idx="22">
                  <c:v>-96872.05285486723</c:v>
                </c:pt>
                <c:pt idx="23">
                  <c:v>-98840.566625653941</c:v>
                </c:pt>
                <c:pt idx="24">
                  <c:v>-100776.42805196525</c:v>
                </c:pt>
                <c:pt idx="25">
                  <c:v>-102679.63713380112</c:v>
                </c:pt>
                <c:pt idx="26">
                  <c:v>-104550.19387116159</c:v>
                </c:pt>
                <c:pt idx="27">
                  <c:v>-106388.09826404664</c:v>
                </c:pt>
                <c:pt idx="28">
                  <c:v>-108193.35031245627</c:v>
                </c:pt>
                <c:pt idx="29">
                  <c:v>-109965.95001639046</c:v>
                </c:pt>
                <c:pt idx="30">
                  <c:v>-111705.89737584926</c:v>
                </c:pt>
                <c:pt idx="31">
                  <c:v>-113413.19239083264</c:v>
                </c:pt>
                <c:pt idx="32">
                  <c:v>-115087.83506134062</c:v>
                </c:pt>
                <c:pt idx="33">
                  <c:v>-116729.82538737319</c:v>
                </c:pt>
                <c:pt idx="34">
                  <c:v>-118339.16336893034</c:v>
                </c:pt>
                <c:pt idx="35">
                  <c:v>27494.529240237931</c:v>
                </c:pt>
                <c:pt idx="36">
                  <c:v>25950.495947631625</c:v>
                </c:pt>
                <c:pt idx="37">
                  <c:v>24439.114999500725</c:v>
                </c:pt>
                <c:pt idx="38">
                  <c:v>22960.386395845242</c:v>
                </c:pt>
                <c:pt idx="39">
                  <c:v>21514.310136665175</c:v>
                </c:pt>
                <c:pt idx="40">
                  <c:v>20100.886221960529</c:v>
                </c:pt>
                <c:pt idx="41">
                  <c:v>18720.114651731295</c:v>
                </c:pt>
                <c:pt idx="42">
                  <c:v>17371.995425977471</c:v>
                </c:pt>
                <c:pt idx="43">
                  <c:v>16056.528544699067</c:v>
                </c:pt>
                <c:pt idx="44">
                  <c:v>14773.714007896078</c:v>
                </c:pt>
                <c:pt idx="45">
                  <c:v>13523.551815568504</c:v>
                </c:pt>
                <c:pt idx="46">
                  <c:v>12306.041967716346</c:v>
                </c:pt>
                <c:pt idx="47">
                  <c:v>11121.184464339602</c:v>
                </c:pt>
                <c:pt idx="48">
                  <c:v>9968.9793054382753</c:v>
                </c:pt>
                <c:pt idx="49">
                  <c:v>8849.426491012362</c:v>
                </c:pt>
                <c:pt idx="50">
                  <c:v>7762.5260210618653</c:v>
                </c:pt>
                <c:pt idx="51">
                  <c:v>6708.2778955867834</c:v>
                </c:pt>
                <c:pt idx="52">
                  <c:v>5686.6821145871172</c:v>
                </c:pt>
                <c:pt idx="53">
                  <c:v>4697.7386780628676</c:v>
                </c:pt>
                <c:pt idx="54">
                  <c:v>3741.447586014031</c:v>
                </c:pt>
                <c:pt idx="55">
                  <c:v>2817.8088384406105</c:v>
                </c:pt>
                <c:pt idx="56">
                  <c:v>1926.8224353426051</c:v>
                </c:pt>
                <c:pt idx="57">
                  <c:v>1068.4883767200151</c:v>
                </c:pt>
                <c:pt idx="58">
                  <c:v>242.80666257284071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DF-4555-8A7A-8641AAC8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5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197863841481479"/>
              <c:y val="0.87904365145415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Torque </a:t>
                </a: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(Nm)</a:t>
                </a:r>
              </a:p>
            </c:rich>
          </c:tx>
          <c:layout>
            <c:manualLayout>
              <c:xMode val="edge"/>
              <c:yMode val="edge"/>
              <c:x val="1.0604539354376742E-3"/>
              <c:y val="0.2862512944195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 w="635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5107196862195571"/>
          <c:y val="0.59455436298460995"/>
          <c:w val="0.28509933784028035"/>
          <c:h val="0.19403054082066698"/>
        </c:manualLayout>
      </c:layout>
      <c:overlay val="0"/>
      <c:spPr>
        <a:solidFill>
          <a:schemeClr val="bg1"/>
        </a:solidFill>
        <a:ln w="63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Load'!$D$55:$P$55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-3970.7142857142858</c:v>
                </c:pt>
                <c:pt idx="5">
                  <c:v>981.00000000000045</c:v>
                </c:pt>
                <c:pt idx="6">
                  <c:v>981.00000000000045</c:v>
                </c:pt>
                <c:pt idx="7">
                  <c:v>981.00000000000045</c:v>
                </c:pt>
                <c:pt idx="8">
                  <c:v>981.00000000000045</c:v>
                </c:pt>
                <c:pt idx="9">
                  <c:v>981.00000000000045</c:v>
                </c:pt>
                <c:pt idx="10">
                  <c:v>981.00000000000045</c:v>
                </c:pt>
                <c:pt idx="11">
                  <c:v>0</c:v>
                </c:pt>
                <c:pt idx="12">
                  <c:v>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9-449B-B326-8D87043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21216"/>
        <c:axId val="251359232"/>
      </c:scatterChart>
      <c:valAx>
        <c:axId val="25172121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9232"/>
        <c:crosses val="autoZero"/>
        <c:crossBetween val="midCat"/>
      </c:valAx>
      <c:valAx>
        <c:axId val="251359232"/>
        <c:scaling>
          <c:orientation val="minMax"/>
          <c:max val="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1216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Tail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</c:spPr>
          <c:invertIfNegative val="0"/>
          <c:cat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Air Load'!$D$54:$P$54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0</c:v>
                </c:pt>
                <c:pt idx="5">
                  <c:v>4951.7142857142862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-981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2-47F4-AE7E-35567038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390208"/>
        <c:axId val="251687296"/>
      </c:barChart>
      <c:catAx>
        <c:axId val="2513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87296"/>
        <c:crosses val="autoZero"/>
        <c:auto val="1"/>
        <c:lblAlgn val="ctr"/>
        <c:lblOffset val="100"/>
        <c:noMultiLvlLbl val="1"/>
      </c:catAx>
      <c:valAx>
        <c:axId val="251687296"/>
        <c:scaling>
          <c:orientation val="minMax"/>
          <c:max val="7000"/>
          <c:min val="-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9020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Load'!$D$57:$P$57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-1159.4485714285715</c:v>
                </c:pt>
                <c:pt idx="4">
                  <c:v>-1866.2357142857136</c:v>
                </c:pt>
                <c:pt idx="5">
                  <c:v>-3232.5351428571425</c:v>
                </c:pt>
                <c:pt idx="6">
                  <c:v>-3132.4731428571426</c:v>
                </c:pt>
                <c:pt idx="7">
                  <c:v>-1886.6031428571421</c:v>
                </c:pt>
                <c:pt idx="8">
                  <c:v>-1139.0811428571419</c:v>
                </c:pt>
                <c:pt idx="9">
                  <c:v>-391.55914285714107</c:v>
                </c:pt>
                <c:pt idx="10">
                  <c:v>355.96285714285864</c:v>
                </c:pt>
                <c:pt idx="11">
                  <c:v>729.72385714285906</c:v>
                </c:pt>
                <c:pt idx="12">
                  <c:v>729.72385714285917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D-4258-BCB2-5B711C09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4096"/>
        <c:axId val="251478784"/>
      </c:scatterChart>
      <c:valAx>
        <c:axId val="25136409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78784"/>
        <c:crosses val="autoZero"/>
        <c:crossBetween val="midCat"/>
      </c:valAx>
      <c:valAx>
        <c:axId val="2514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6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Load'!$D$68:$P$68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2220.4557692307735</c:v>
                </c:pt>
                <c:pt idx="4">
                  <c:v>853.92276923077338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E-4353-AE33-D956B686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06400"/>
        <c:axId val="250134912"/>
      </c:scatterChart>
      <c:valAx>
        <c:axId val="250406400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34912"/>
        <c:crosses val="autoZero"/>
        <c:crossBetween val="midCat"/>
      </c:valAx>
      <c:valAx>
        <c:axId val="250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Inertia + Wing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Inertial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7920.0657692307741</c:v>
                </c:pt>
                <c:pt idx="4">
                  <c:v>-1366.5330000000001</c:v>
                </c:pt>
                <c:pt idx="5">
                  <c:v>3448.7432307692279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5-4438-99E3-3AF17AF56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294464"/>
        <c:axId val="251296384"/>
      </c:barChart>
      <c:catAx>
        <c:axId val="25129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6384"/>
        <c:crosses val="autoZero"/>
        <c:auto val="1"/>
        <c:lblAlgn val="ctr"/>
        <c:lblOffset val="100"/>
        <c:noMultiLvlLbl val="1"/>
      </c:catAx>
      <c:valAx>
        <c:axId val="2512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Load'!$D$70:$P$70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-6362.9565403846136</c:v>
                </c:pt>
                <c:pt idx="4">
                  <c:v>-6089.3368504615364</c:v>
                </c:pt>
                <c:pt idx="5">
                  <c:v>-3732.7757829230713</c:v>
                </c:pt>
                <c:pt idx="6">
                  <c:v>-3386.7613869230718</c:v>
                </c:pt>
                <c:pt idx="7">
                  <c:v>-1113.0486369230703</c:v>
                </c:pt>
                <c:pt idx="8">
                  <c:v>-404.77154192306944</c:v>
                </c:pt>
                <c:pt idx="9">
                  <c:v>157.73876307693183</c:v>
                </c:pt>
                <c:pt idx="10">
                  <c:v>667.92252807693228</c:v>
                </c:pt>
                <c:pt idx="11">
                  <c:v>942.63686307693342</c:v>
                </c:pt>
                <c:pt idx="12">
                  <c:v>973.78361307693422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9D-BDA7-616D78789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29152"/>
        <c:axId val="251663488"/>
      </c:scatterChart>
      <c:valAx>
        <c:axId val="25132915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63488"/>
        <c:crosses val="autoZero"/>
        <c:crossBetween val="midCat"/>
      </c:valAx>
      <c:valAx>
        <c:axId val="251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2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-5699.6100000000006</c:v>
                </c:pt>
                <c:pt idx="4">
                  <c:v>4302.6660000000011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F-44ED-BA0F-A6F994308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14976"/>
        <c:axId val="250421632"/>
      </c:scatterChart>
      <c:valAx>
        <c:axId val="25041497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21632"/>
        <c:crosses val="autoZero"/>
        <c:crossBetween val="midCat"/>
      </c:valAx>
      <c:valAx>
        <c:axId val="2504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Gear+</a:t>
            </a:r>
            <a:r>
              <a:rPr lang="en-US" altLang="zh-CN" baseline="0"/>
              <a:t>Tail </a:t>
            </a:r>
            <a:r>
              <a:rPr lang="en-US" altLang="zh-CN"/>
              <a:t>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Gear Load'!$D$66:$P$66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0</c:v>
                </c:pt>
                <c:pt idx="4">
                  <c:v>10002.276000000002</c:v>
                </c:pt>
                <c:pt idx="5">
                  <c:v>0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2-4F1C-9414-C88DB75A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50688"/>
        <c:axId val="250452608"/>
      </c:barChart>
      <c:catAx>
        <c:axId val="25045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2608"/>
        <c:crosses val="autoZero"/>
        <c:auto val="1"/>
        <c:lblAlgn val="ctr"/>
        <c:lblOffset val="100"/>
        <c:noMultiLvlLbl val="1"/>
      </c:catAx>
      <c:valAx>
        <c:axId val="250452608"/>
        <c:scaling>
          <c:orientation val="minMax"/>
          <c:max val="16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068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Load'!$D$69:$P$69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-8675.6157449999992</c:v>
                </c:pt>
                <c:pt idx="4">
                  <c:v>-8799.9437609999986</c:v>
                </c:pt>
                <c:pt idx="5">
                  <c:v>-4867.3070369999959</c:v>
                </c:pt>
                <c:pt idx="6">
                  <c:v>-4521.2926409999964</c:v>
                </c:pt>
                <c:pt idx="7">
                  <c:v>-2247.5798909999949</c:v>
                </c:pt>
                <c:pt idx="8">
                  <c:v>-1539.302795999994</c:v>
                </c:pt>
                <c:pt idx="9">
                  <c:v>-976.79249099999276</c:v>
                </c:pt>
                <c:pt idx="10">
                  <c:v>-466.60872599999232</c:v>
                </c:pt>
                <c:pt idx="11">
                  <c:v>-191.89439099999123</c:v>
                </c:pt>
                <c:pt idx="12">
                  <c:v>-160.74764099999049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8-4469-A675-06CD553A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28736"/>
        <c:axId val="250635392"/>
      </c:scatterChart>
      <c:valAx>
        <c:axId val="25062873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5392"/>
        <c:crosses val="autoZero"/>
        <c:crossBetween val="midCat"/>
      </c:valAx>
      <c:valAx>
        <c:axId val="2506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2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gif"/><Relationship Id="rId5" Type="http://schemas.openxmlformats.org/officeDocument/2006/relationships/image" Target="../media/image5.png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4.xml"/><Relationship Id="rId7" Type="http://schemas.openxmlformats.org/officeDocument/2006/relationships/chart" Target="../charts/chart7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5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15.xml"/><Relationship Id="rId3" Type="http://schemas.openxmlformats.org/officeDocument/2006/relationships/chart" Target="../charts/chart11.xml"/><Relationship Id="rId12" Type="http://schemas.openxmlformats.org/officeDocument/2006/relationships/chart" Target="../charts/chart14.xml"/><Relationship Id="rId2" Type="http://schemas.openxmlformats.org/officeDocument/2006/relationships/chart" Target="../charts/chart10.xml"/><Relationship Id="rId16" Type="http://schemas.openxmlformats.org/officeDocument/2006/relationships/chart" Target="../charts/chart18.xml"/><Relationship Id="rId1" Type="http://schemas.openxmlformats.org/officeDocument/2006/relationships/chart" Target="../charts/chart9.xml"/><Relationship Id="rId11" Type="http://schemas.openxmlformats.org/officeDocument/2006/relationships/chart" Target="../charts/chart13.xml"/><Relationship Id="rId5" Type="http://schemas.openxmlformats.org/officeDocument/2006/relationships/customXml" Target="../ink/ink1.xml"/><Relationship Id="rId15" Type="http://schemas.openxmlformats.org/officeDocument/2006/relationships/chart" Target="../charts/chart17.xml"/><Relationship Id="rId10" Type="http://schemas.openxmlformats.org/officeDocument/2006/relationships/image" Target="../media/image5.png"/><Relationship Id="rId4" Type="http://schemas.openxmlformats.org/officeDocument/2006/relationships/chart" Target="../charts/chart12.xml"/><Relationship Id="rId9" Type="http://schemas.openxmlformats.org/officeDocument/2006/relationships/image" Target="../media/image11.png"/><Relationship Id="rId1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chart" Target="../charts/chart21.xml"/><Relationship Id="rId5" Type="http://schemas.openxmlformats.org/officeDocument/2006/relationships/image" Target="../media/image5.png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30.xml"/><Relationship Id="rId3" Type="http://schemas.openxmlformats.org/officeDocument/2006/relationships/chart" Target="../charts/chart25.xml"/><Relationship Id="rId12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ustomXml" Target="../ink/ink2.xml"/><Relationship Id="rId11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image" Target="../media/image5.png"/><Relationship Id="rId4" Type="http://schemas.openxmlformats.org/officeDocument/2006/relationships/chart" Target="../charts/chart26.xml"/><Relationship Id="rId9" Type="http://schemas.openxmlformats.org/officeDocument/2006/relationships/image" Target="../media/image11.png"/><Relationship Id="rId14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image" Target="../media/image14.emf"/><Relationship Id="rId7" Type="http://schemas.openxmlformats.org/officeDocument/2006/relationships/chart" Target="../charts/chart34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5" Type="http://schemas.openxmlformats.org/officeDocument/2006/relationships/image" Target="../media/image16.emf"/><Relationship Id="rId10" Type="http://schemas.openxmlformats.org/officeDocument/2006/relationships/chart" Target="../charts/chart36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image" Target="../media/image14.emf"/><Relationship Id="rId7" Type="http://schemas.openxmlformats.org/officeDocument/2006/relationships/chart" Target="../charts/chart37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11" Type="http://schemas.openxmlformats.org/officeDocument/2006/relationships/chart" Target="../charts/chart40.xml"/><Relationship Id="rId5" Type="http://schemas.openxmlformats.org/officeDocument/2006/relationships/image" Target="../media/image16.emf"/><Relationship Id="rId10" Type="http://schemas.openxmlformats.org/officeDocument/2006/relationships/chart" Target="../charts/chart39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image" Target="../media/image14.emf"/><Relationship Id="rId7" Type="http://schemas.openxmlformats.org/officeDocument/2006/relationships/chart" Target="../charts/chart41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11" Type="http://schemas.openxmlformats.org/officeDocument/2006/relationships/chart" Target="../charts/chart44.xml"/><Relationship Id="rId5" Type="http://schemas.openxmlformats.org/officeDocument/2006/relationships/image" Target="../media/image16.emf"/><Relationship Id="rId10" Type="http://schemas.openxmlformats.org/officeDocument/2006/relationships/chart" Target="../charts/chart43.xml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7" Type="http://schemas.openxmlformats.org/officeDocument/2006/relationships/image" Target="../media/image5.png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7" Type="http://schemas.openxmlformats.org/officeDocument/2006/relationships/image" Target="../media/image5.png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7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image" Target="../media/image5.pn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469733</xdr:colOff>
      <xdr:row>1</xdr:row>
      <xdr:rowOff>315712</xdr:rowOff>
    </xdr:from>
    <xdr:to>
      <xdr:col>22</xdr:col>
      <xdr:colOff>633247</xdr:colOff>
      <xdr:row>12</xdr:row>
      <xdr:rowOff>46482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676" y="809198"/>
          <a:ext cx="7624084" cy="2084126"/>
        </a:xfrm>
        <a:prstGeom prst="rect">
          <a:avLst/>
        </a:prstGeom>
      </xdr:spPr>
    </xdr:pic>
    <xdr:clientData/>
  </xdr:twoCellAnchor>
  <xdr:twoCellAnchor editAs="oneCell">
    <xdr:from>
      <xdr:col>2</xdr:col>
      <xdr:colOff>8724</xdr:colOff>
      <xdr:row>27</xdr:row>
      <xdr:rowOff>184012</xdr:rowOff>
    </xdr:from>
    <xdr:to>
      <xdr:col>12</xdr:col>
      <xdr:colOff>467655</xdr:colOff>
      <xdr:row>52</xdr:row>
      <xdr:rowOff>167457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438" y="5735726"/>
          <a:ext cx="7966899" cy="4702176"/>
        </a:xfrm>
        <a:prstGeom prst="rect">
          <a:avLst/>
        </a:prstGeom>
      </xdr:spPr>
    </xdr:pic>
    <xdr:clientData/>
  </xdr:twoCellAnchor>
  <xdr:twoCellAnchor editAs="oneCell">
    <xdr:from>
      <xdr:col>13</xdr:col>
      <xdr:colOff>8891</xdr:colOff>
      <xdr:row>27</xdr:row>
      <xdr:rowOff>143104</xdr:rowOff>
    </xdr:from>
    <xdr:to>
      <xdr:col>26</xdr:col>
      <xdr:colOff>300638</xdr:colOff>
      <xdr:row>53</xdr:row>
      <xdr:rowOff>8730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707" y="5709487"/>
          <a:ext cx="9075249" cy="4781911"/>
        </a:xfrm>
        <a:prstGeom prst="rect">
          <a:avLst/>
        </a:prstGeom>
      </xdr:spPr>
    </xdr:pic>
    <xdr:clientData/>
  </xdr:twoCellAnchor>
  <xdr:twoCellAnchor editAs="oneCell">
    <xdr:from>
      <xdr:col>2</xdr:col>
      <xdr:colOff>512</xdr:colOff>
      <xdr:row>1</xdr:row>
      <xdr:rowOff>326564</xdr:rowOff>
    </xdr:from>
    <xdr:to>
      <xdr:col>11</xdr:col>
      <xdr:colOff>469729</xdr:colOff>
      <xdr:row>12</xdr:row>
      <xdr:rowOff>19561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003" y="820453"/>
          <a:ext cx="7260669" cy="2055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32505</xdr:colOff>
      <xdr:row>0</xdr:row>
      <xdr:rowOff>430752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50D0B-151F-C978-3128-A4F07F10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080955" cy="43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9762</xdr:colOff>
      <xdr:row>32</xdr:row>
      <xdr:rowOff>8441</xdr:rowOff>
    </xdr:from>
    <xdr:to>
      <xdr:col>40</xdr:col>
      <xdr:colOff>288844</xdr:colOff>
      <xdr:row>38</xdr:row>
      <xdr:rowOff>158389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0040" y="6146774"/>
          <a:ext cx="8322415" cy="1275966"/>
        </a:xfrm>
        <a:prstGeom prst="rect">
          <a:avLst/>
        </a:prstGeom>
      </xdr:spPr>
    </xdr:pic>
    <xdr:clientData/>
  </xdr:twoCellAnchor>
  <xdr:twoCellAnchor editAs="oneCell">
    <xdr:from>
      <xdr:col>2</xdr:col>
      <xdr:colOff>56387</xdr:colOff>
      <xdr:row>50</xdr:row>
      <xdr:rowOff>2642</xdr:rowOff>
    </xdr:from>
    <xdr:to>
      <xdr:col>11</xdr:col>
      <xdr:colOff>150</xdr:colOff>
      <xdr:row>65</xdr:row>
      <xdr:rowOff>139960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907" y="9959442"/>
          <a:ext cx="6632000" cy="3032918"/>
        </a:xfrm>
        <a:prstGeom prst="rect">
          <a:avLst/>
        </a:prstGeom>
      </xdr:spPr>
    </xdr:pic>
    <xdr:clientData/>
  </xdr:twoCellAnchor>
  <xdr:twoCellAnchor editAs="oneCell">
    <xdr:from>
      <xdr:col>2</xdr:col>
      <xdr:colOff>29823</xdr:colOff>
      <xdr:row>32</xdr:row>
      <xdr:rowOff>9146</xdr:rowOff>
    </xdr:from>
    <xdr:to>
      <xdr:col>11</xdr:col>
      <xdr:colOff>4347</xdr:colOff>
      <xdr:row>50</xdr:row>
      <xdr:rowOff>11180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084" y="6326789"/>
          <a:ext cx="6672403" cy="3493466"/>
        </a:xfrm>
        <a:prstGeom prst="rect">
          <a:avLst/>
        </a:prstGeom>
      </xdr:spPr>
    </xdr:pic>
    <xdr:clientData/>
  </xdr:twoCellAnchor>
  <xdr:twoCellAnchor>
    <xdr:from>
      <xdr:col>2</xdr:col>
      <xdr:colOff>11943</xdr:colOff>
      <xdr:row>12</xdr:row>
      <xdr:rowOff>26089</xdr:rowOff>
    </xdr:from>
    <xdr:to>
      <xdr:col>13</xdr:col>
      <xdr:colOff>21866</xdr:colOff>
      <xdr:row>29</xdr:row>
      <xdr:rowOff>51556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3030368" y="2435610"/>
          <a:ext cx="8030060" cy="3000398"/>
          <a:chOff x="246529" y="493059"/>
          <a:chExt cx="7281583" cy="3291410"/>
        </a:xfrm>
      </xdr:grpSpPr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CxnSpPr/>
        </xdr:nvCxnSpPr>
        <xdr:spPr>
          <a:xfrm>
            <a:off x="1804147" y="2196353"/>
            <a:ext cx="0" cy="157800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7519147" y="2185148"/>
            <a:ext cx="0" cy="159932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1826559" y="3595606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/>
        </xdr:nvCxnSpPr>
        <xdr:spPr>
          <a:xfrm>
            <a:off x="1837766" y="2625304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4247029" y="2221892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4863353" y="2566147"/>
            <a:ext cx="0" cy="6725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1815354" y="3117262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3574680" y="3315459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2409264" y="2837116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2319618" y="2345157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268941" y="2830267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280148" y="252880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 editAs="oneCell">
    <xdr:from>
      <xdr:col>12</xdr:col>
      <xdr:colOff>20320</xdr:colOff>
      <xdr:row>32</xdr:row>
      <xdr:rowOff>14225</xdr:rowOff>
    </xdr:from>
    <xdr:to>
      <xdr:col>27</xdr:col>
      <xdr:colOff>100231</xdr:colOff>
      <xdr:row>66</xdr:row>
      <xdr:rowOff>33095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3840" y="6496305"/>
          <a:ext cx="11286391" cy="658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0</xdr:col>
      <xdr:colOff>1993307</xdr:colOff>
      <xdr:row>0</xdr:row>
      <xdr:rowOff>414131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17CFEB-70B5-ECED-62AB-DF7E4A29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"/>
          <a:ext cx="1993306" cy="414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13810</xdr:colOff>
      <xdr:row>12</xdr:row>
      <xdr:rowOff>4892</xdr:rowOff>
    </xdr:from>
    <xdr:to>
      <xdr:col>22</xdr:col>
      <xdr:colOff>427404</xdr:colOff>
      <xdr:row>37</xdr:row>
      <xdr:rowOff>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14418</xdr:colOff>
      <xdr:row>52</xdr:row>
      <xdr:rowOff>21615</xdr:rowOff>
    </xdr:from>
    <xdr:to>
      <xdr:col>7</xdr:col>
      <xdr:colOff>135257</xdr:colOff>
      <xdr:row>65</xdr:row>
      <xdr:rowOff>177527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652957</xdr:colOff>
      <xdr:row>52</xdr:row>
      <xdr:rowOff>21867</xdr:rowOff>
    </xdr:from>
    <xdr:to>
      <xdr:col>13</xdr:col>
      <xdr:colOff>77112</xdr:colOff>
      <xdr:row>66</xdr:row>
      <xdr:rowOff>19553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1978639</xdr:colOff>
      <xdr:row>0</xdr:row>
      <xdr:rowOff>416831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66BEF-23F3-5323-616C-269FE6AB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0"/>
          <a:ext cx="1971382" cy="409575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0.56758</cdr:x>
      <cdr:y>0.10748</cdr:y>
    </cdr:from>
    <cdr:to>
      <cdr:x>0.63735</cdr:x>
      <cdr:y>0.17207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2229" y="529745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Vau</a:t>
          </a:r>
        </a:p>
      </cdr:txBody>
    </cdr:sp>
  </cdr:relSizeAnchor>
  <cdr:relSizeAnchor xmlns:cdr="http://schemas.openxmlformats.org/drawingml/2006/chartDrawing">
    <cdr:from>
      <cdr:x>0.71685</cdr:x>
      <cdr:y>0.10509</cdr:y>
    </cdr:from>
    <cdr:to>
      <cdr:x>0.80093</cdr:x>
      <cdr:y>0.16968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181107" y="517966"/>
          <a:ext cx="607700" cy="318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Vne</a:t>
          </a:r>
        </a:p>
      </cdr:txBody>
    </cdr:sp>
  </cdr:relSizeAnchor>
  <cdr:relSizeAnchor xmlns:cdr="http://schemas.openxmlformats.org/drawingml/2006/chartDrawing">
    <cdr:from>
      <cdr:x>0.51897</cdr:x>
      <cdr:y>0.86264</cdr:y>
    </cdr:from>
    <cdr:to>
      <cdr:x>0.58874</cdr:x>
      <cdr:y>0.92723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D871823-23C7-01F4-3612-D9EFCC773E1D}"/>
            </a:ext>
          </a:extLst>
        </cdr:cNvPr>
        <cdr:cNvSpPr txBox="1"/>
      </cdr:nvSpPr>
      <cdr:spPr>
        <a:xfrm xmlns:a="http://schemas.openxmlformats.org/drawingml/2006/main">
          <a:off x="3750896" y="4251569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Vgu</a:t>
          </a:r>
        </a:p>
      </cdr:txBody>
    </cdr:sp>
  </cdr:relSizeAnchor>
  <cdr:relSizeAnchor xmlns:cdr="http://schemas.openxmlformats.org/drawingml/2006/chartDrawing">
    <cdr:from>
      <cdr:x>0.45138</cdr:x>
      <cdr:y>0.26056</cdr:y>
    </cdr:from>
    <cdr:to>
      <cdr:x>0.52115</cdr:x>
      <cdr:y>0.32515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5BA9FD2-9725-2BB1-5ED3-C4394E29558D}"/>
            </a:ext>
          </a:extLst>
        </cdr:cNvPr>
        <cdr:cNvSpPr txBox="1"/>
      </cdr:nvSpPr>
      <cdr:spPr>
        <a:xfrm xmlns:a="http://schemas.openxmlformats.org/drawingml/2006/main">
          <a:off x="3262435" y="1284166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Va</a:t>
          </a:r>
        </a:p>
      </cdr:txBody>
    </cdr:sp>
  </cdr:relSizeAnchor>
  <cdr:relSizeAnchor xmlns:cdr="http://schemas.openxmlformats.org/drawingml/2006/chartDrawing">
    <cdr:from>
      <cdr:x>0.41928</cdr:x>
      <cdr:y>0.7561</cdr:y>
    </cdr:from>
    <cdr:to>
      <cdr:x>0.48905</cdr:x>
      <cdr:y>0.82069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6D5ABB2-71F2-1D73-C9BF-D25637731D86}"/>
            </a:ext>
          </a:extLst>
        </cdr:cNvPr>
        <cdr:cNvSpPr txBox="1"/>
      </cdr:nvSpPr>
      <cdr:spPr>
        <a:xfrm xmlns:a="http://schemas.openxmlformats.org/drawingml/2006/main">
          <a:off x="3030415" y="3726473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242" y="752610"/>
          <a:ext cx="6310384" cy="4230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341265</xdr:colOff>
      <xdr:row>23</xdr:row>
      <xdr:rowOff>141009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0104" y="774452"/>
          <a:ext cx="6308458" cy="4191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2644472" y="721238"/>
          <a:ext cx="8729472" cy="4037701"/>
          <a:chOff x="246529" y="459441"/>
          <a:chExt cx="7283823" cy="4090147"/>
        </a:xfrm>
      </xdr:grpSpPr>
      <xdr:sp macro="" textlink="">
        <xdr:nvSpPr>
          <xdr:cNvPr id="17" name="Freeform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636</xdr:colOff>
      <xdr:row>41</xdr:row>
      <xdr:rowOff>181295</xdr:rowOff>
    </xdr:from>
    <xdr:to>
      <xdr:col>16</xdr:col>
      <xdr:colOff>911225</xdr:colOff>
      <xdr:row>52</xdr:row>
      <xdr:rowOff>19212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4EB18-023D-B3B5-4A9A-D08F936B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200"/>
          <a:ext cx="1696305" cy="352425"/>
        </a:xfrm>
        <a:prstGeom prst="rect">
          <a:avLst/>
        </a:prstGeom>
      </xdr:spPr>
    </xdr:pic>
    <xdr:clientData/>
  </xdr:twoCellAnchor>
  <xdr:twoCellAnchor>
    <xdr:from>
      <xdr:col>32</xdr:col>
      <xdr:colOff>16566</xdr:colOff>
      <xdr:row>57</xdr:row>
      <xdr:rowOff>0</xdr:rowOff>
    </xdr:from>
    <xdr:to>
      <xdr:col>41</xdr:col>
      <xdr:colOff>133404</xdr:colOff>
      <xdr:row>68</xdr:row>
      <xdr:rowOff>104455</xdr:rowOff>
    </xdr:to>
    <xdr:graphicFrame macro="">
      <xdr:nvGraphicFramePr>
        <xdr:cNvPr id="3" name="Chart 45">
          <a:extLst>
            <a:ext uri="{FF2B5EF4-FFF2-40B4-BE49-F238E27FC236}">
              <a16:creationId xmlns:a16="http://schemas.microsoft.com/office/drawing/2014/main" id="{16693280-F3E0-4E76-844D-2CE2D958A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134471</xdr:colOff>
      <xdr:row>42</xdr:row>
      <xdr:rowOff>14941</xdr:rowOff>
    </xdr:from>
    <xdr:to>
      <xdr:col>22</xdr:col>
      <xdr:colOff>36529</xdr:colOff>
      <xdr:row>52</xdr:row>
      <xdr:rowOff>39623</xdr:rowOff>
    </xdr:to>
    <xdr:graphicFrame macro="">
      <xdr:nvGraphicFramePr>
        <xdr:cNvPr id="13" name="Chart 45">
          <a:extLst>
            <a:ext uri="{FF2B5EF4-FFF2-40B4-BE49-F238E27FC236}">
              <a16:creationId xmlns:a16="http://schemas.microsoft.com/office/drawing/2014/main" id="{5C15A041-884F-4BCF-95C4-213F03980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=−61370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𝐿_𝑚𝑖𝑛=−61370𝑁/𝑚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0.64206</cdr:x>
      <cdr:y>0.08482</cdr:y>
    </cdr:from>
    <cdr:to>
      <cdr:x>0.8404</cdr:x>
      <cdr:y>0.20289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13324" y="169916"/>
              <a:ext cx="714617" cy="2365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=−796.21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13324" y="169916"/>
              <a:ext cx="714617" cy="2365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𝐿_𝑚𝑎𝑥=−796.21𝑁/𝑚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0.71785</cdr:y>
    </cdr:from>
    <cdr:to>
      <cdr:x>0.91077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0.30536</cdr:x>
      <cdr:y>0.72358</cdr:y>
    </cdr:from>
    <cdr:to>
      <cdr:x>0.52158</cdr:x>
      <cdr:y>0.85812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=−230139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𝐿_𝑚𝑖𝑛=−230139𝑁/𝑚</a:t>
              </a:r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0.8244</cdr:x>
      <cdr:y>0.15848</cdr:y>
    </cdr:from>
    <cdr:to>
      <cdr:x>0.94931</cdr:x>
      <cdr:y>0.25843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0.77772</cdr:x>
      <cdr:y>0.73394</cdr:y>
    </cdr:from>
    <cdr:to>
      <cdr:x>0.96525</cdr:x>
      <cdr:y>0.87715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=−230179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𝐿_𝑚𝑖𝑛=−230179𝑁/𝑚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0.7937</cdr:x>
      <cdr:y>0.71785</cdr:y>
    </cdr:from>
    <cdr:to>
      <cdr:x>0.8782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2" name="Group 3">
          <a:extLst>
            <a:ext uri="{FF2B5EF4-FFF2-40B4-BE49-F238E27FC236}">
              <a16:creationId xmlns:a16="http://schemas.microsoft.com/office/drawing/2014/main" id="{320A3A08-2785-43B2-89A1-D69D076C6E2A}"/>
            </a:ext>
          </a:extLst>
        </xdr:cNvPr>
        <xdr:cNvGrpSpPr/>
      </xdr:nvGrpSpPr>
      <xdr:grpSpPr>
        <a:xfrm>
          <a:off x="2657483" y="704137"/>
          <a:ext cx="9124901" cy="4107627"/>
          <a:chOff x="246529" y="459441"/>
          <a:chExt cx="7283823" cy="4090147"/>
        </a:xfrm>
      </xdr:grpSpPr>
      <xdr:sp macro="" textlink="">
        <xdr:nvSpPr>
          <xdr:cNvPr id="3" name="Freeform 4">
            <a:extLst>
              <a:ext uri="{FF2B5EF4-FFF2-40B4-BE49-F238E27FC236}">
                <a16:creationId xmlns:a16="http://schemas.microsoft.com/office/drawing/2014/main" id="{53F8C730-3211-97F0-383D-D599DAC94B9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4" name="Rounded Rectangle 5">
            <a:extLst>
              <a:ext uri="{FF2B5EF4-FFF2-40B4-BE49-F238E27FC236}">
                <a16:creationId xmlns:a16="http://schemas.microsoft.com/office/drawing/2014/main" id="{5592FC6A-415B-73D8-939E-EEC909060CE3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5" name="Rounded Rectangle 6">
            <a:extLst>
              <a:ext uri="{FF2B5EF4-FFF2-40B4-BE49-F238E27FC236}">
                <a16:creationId xmlns:a16="http://schemas.microsoft.com/office/drawing/2014/main" id="{52762658-79E8-8634-DC2E-940C8AA6A5A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6" name="Straight Connector 7">
            <a:extLst>
              <a:ext uri="{FF2B5EF4-FFF2-40B4-BE49-F238E27FC236}">
                <a16:creationId xmlns:a16="http://schemas.microsoft.com/office/drawing/2014/main" id="{7DA2E35B-0610-32C9-BD42-11709D4CC925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8">
            <a:extLst>
              <a:ext uri="{FF2B5EF4-FFF2-40B4-BE49-F238E27FC236}">
                <a16:creationId xmlns:a16="http://schemas.microsoft.com/office/drawing/2014/main" id="{0C655BD7-0292-E885-5AC7-6AE723A7FAD8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Arrow Connector 9">
            <a:extLst>
              <a:ext uri="{FF2B5EF4-FFF2-40B4-BE49-F238E27FC236}">
                <a16:creationId xmlns:a16="http://schemas.microsoft.com/office/drawing/2014/main" id="{151F7006-50CE-A92E-C267-5933831BB1E9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Rectangle 10">
            <a:extLst>
              <a:ext uri="{FF2B5EF4-FFF2-40B4-BE49-F238E27FC236}">
                <a16:creationId xmlns:a16="http://schemas.microsoft.com/office/drawing/2014/main" id="{B1DACEB4-DF84-3309-AF28-EF46F1D92A6A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0" name="Straight Arrow Connector 11">
            <a:extLst>
              <a:ext uri="{FF2B5EF4-FFF2-40B4-BE49-F238E27FC236}">
                <a16:creationId xmlns:a16="http://schemas.microsoft.com/office/drawing/2014/main" id="{B280C6B7-7F00-1F58-1EAF-243E8728C5EC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Connector 12">
            <a:extLst>
              <a:ext uri="{FF2B5EF4-FFF2-40B4-BE49-F238E27FC236}">
                <a16:creationId xmlns:a16="http://schemas.microsoft.com/office/drawing/2014/main" id="{7902850A-BC80-9A5E-8849-AB366A66275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" name="Rectangle 13">
            <a:extLst>
              <a:ext uri="{FF2B5EF4-FFF2-40B4-BE49-F238E27FC236}">
                <a16:creationId xmlns:a16="http://schemas.microsoft.com/office/drawing/2014/main" id="{BA63F090-50A9-94BE-7118-10A17B59A151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3" name="Straight Connector 14">
            <a:extLst>
              <a:ext uri="{FF2B5EF4-FFF2-40B4-BE49-F238E27FC236}">
                <a16:creationId xmlns:a16="http://schemas.microsoft.com/office/drawing/2014/main" id="{61DDE3AC-33F6-5C45-F416-00B711D11B31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5">
            <a:extLst>
              <a:ext uri="{FF2B5EF4-FFF2-40B4-BE49-F238E27FC236}">
                <a16:creationId xmlns:a16="http://schemas.microsoft.com/office/drawing/2014/main" id="{545FB11B-3C42-5BFF-45B6-F48169772E31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TextBox 16">
            <a:extLst>
              <a:ext uri="{FF2B5EF4-FFF2-40B4-BE49-F238E27FC236}">
                <a16:creationId xmlns:a16="http://schemas.microsoft.com/office/drawing/2014/main" id="{D64D0916-D8C0-BF0C-804F-A6890C230BD7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6" name="TextBox 17">
            <a:extLst>
              <a:ext uri="{FF2B5EF4-FFF2-40B4-BE49-F238E27FC236}">
                <a16:creationId xmlns:a16="http://schemas.microsoft.com/office/drawing/2014/main" id="{4C8C7B5A-671C-A3ED-7DE9-90640047B666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7" name="TextBox 18">
            <a:extLst>
              <a:ext uri="{FF2B5EF4-FFF2-40B4-BE49-F238E27FC236}">
                <a16:creationId xmlns:a16="http://schemas.microsoft.com/office/drawing/2014/main" id="{95558AA7-8F8E-9149-10E9-471CDC878F5D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18" name="Straight Arrow Connector 19">
            <a:extLst>
              <a:ext uri="{FF2B5EF4-FFF2-40B4-BE49-F238E27FC236}">
                <a16:creationId xmlns:a16="http://schemas.microsoft.com/office/drawing/2014/main" id="{0A80BF10-CBB7-9ABF-B1F7-E641AC074805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20">
            <a:extLst>
              <a:ext uri="{FF2B5EF4-FFF2-40B4-BE49-F238E27FC236}">
                <a16:creationId xmlns:a16="http://schemas.microsoft.com/office/drawing/2014/main" id="{63EE27CC-7790-53D2-FEB8-38BBA15AF1FC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TextBox 21">
            <a:extLst>
              <a:ext uri="{FF2B5EF4-FFF2-40B4-BE49-F238E27FC236}">
                <a16:creationId xmlns:a16="http://schemas.microsoft.com/office/drawing/2014/main" id="{7D048EBC-775F-FFED-9BDF-2B9DA3C7C2AF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2" name="Chart 24">
          <a:extLst>
            <a:ext uri="{FF2B5EF4-FFF2-40B4-BE49-F238E27FC236}">
              <a16:creationId xmlns:a16="http://schemas.microsoft.com/office/drawing/2014/main" id="{C3EF2BA6-03A5-4908-8BB5-ECB29F897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3" name="Chart 25">
          <a:extLst>
            <a:ext uri="{FF2B5EF4-FFF2-40B4-BE49-F238E27FC236}">
              <a16:creationId xmlns:a16="http://schemas.microsoft.com/office/drawing/2014/main" id="{399EAD2E-957F-4C4A-A8E7-61E7A58CE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4" name="Chart 26">
          <a:extLst>
            <a:ext uri="{FF2B5EF4-FFF2-40B4-BE49-F238E27FC236}">
              <a16:creationId xmlns:a16="http://schemas.microsoft.com/office/drawing/2014/main" id="{84F46CD2-21AB-4726-8501-395F42C0B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5" name="Chart 27">
          <a:extLst>
            <a:ext uri="{FF2B5EF4-FFF2-40B4-BE49-F238E27FC236}">
              <a16:creationId xmlns:a16="http://schemas.microsoft.com/office/drawing/2014/main" id="{E6340B4C-06C1-4100-A055-67879E8A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Ink 1">
              <a:extLst>
                <a:ext uri="{FF2B5EF4-FFF2-40B4-BE49-F238E27FC236}">
                  <a16:creationId xmlns:a16="http://schemas.microsoft.com/office/drawing/2014/main" id="{D488F4C8-3C62-4ABD-AFD3-BAB31547314E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36F8EAC6-710B-48C1-9B0C-12326D3F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0200" y="5486400"/>
          <a:ext cx="2758659" cy="10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8" name="Picture 22">
          <a:extLst>
            <a:ext uri="{FF2B5EF4-FFF2-40B4-BE49-F238E27FC236}">
              <a16:creationId xmlns:a16="http://schemas.microsoft.com/office/drawing/2014/main" id="{DF9816C8-C391-495E-BC12-C0B2F3BF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9</xdr:col>
      <xdr:colOff>10885</xdr:colOff>
      <xdr:row>44</xdr:row>
      <xdr:rowOff>27214</xdr:rowOff>
    </xdr:from>
    <xdr:to>
      <xdr:col>13</xdr:col>
      <xdr:colOff>662276</xdr:colOff>
      <xdr:row>53</xdr:row>
      <xdr:rowOff>27536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6CABD681-303E-44BC-B3A9-26531B94D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607787</xdr:colOff>
      <xdr:row>44</xdr:row>
      <xdr:rowOff>27214</xdr:rowOff>
    </xdr:from>
    <xdr:to>
      <xdr:col>19</xdr:col>
      <xdr:colOff>479035</xdr:colOff>
      <xdr:row>53</xdr:row>
      <xdr:rowOff>27536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359FD8F4-DB12-49E2-A91A-8C946BC5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141433</xdr:colOff>
      <xdr:row>110</xdr:row>
      <xdr:rowOff>1030</xdr:rowOff>
    </xdr:from>
    <xdr:to>
      <xdr:col>34</xdr:col>
      <xdr:colOff>385004</xdr:colOff>
      <xdr:row>120</xdr:row>
      <xdr:rowOff>7169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70FA41DF-F7E8-4FF7-B7CD-DF12D8FFA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580570</xdr:colOff>
      <xdr:row>110</xdr:row>
      <xdr:rowOff>154213</xdr:rowOff>
    </xdr:from>
    <xdr:to>
      <xdr:col>21</xdr:col>
      <xdr:colOff>352428</xdr:colOff>
      <xdr:row>119</xdr:row>
      <xdr:rowOff>158070</xdr:rowOff>
    </xdr:to>
    <xdr:graphicFrame macro="">
      <xdr:nvGraphicFramePr>
        <xdr:cNvPr id="33" name="Chart 45">
          <a:extLst>
            <a:ext uri="{FF2B5EF4-FFF2-40B4-BE49-F238E27FC236}">
              <a16:creationId xmlns:a16="http://schemas.microsoft.com/office/drawing/2014/main" id="{B2423E1C-7096-4CAD-951E-4C0AE2A6F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574221</xdr:colOff>
      <xdr:row>123</xdr:row>
      <xdr:rowOff>152400</xdr:rowOff>
    </xdr:from>
    <xdr:to>
      <xdr:col>21</xdr:col>
      <xdr:colOff>335036</xdr:colOff>
      <xdr:row>131</xdr:row>
      <xdr:rowOff>76708</xdr:rowOff>
    </xdr:to>
    <xdr:graphicFrame macro="">
      <xdr:nvGraphicFramePr>
        <xdr:cNvPr id="32" name="Chart 45">
          <a:extLst>
            <a:ext uri="{FF2B5EF4-FFF2-40B4-BE49-F238E27FC236}">
              <a16:creationId xmlns:a16="http://schemas.microsoft.com/office/drawing/2014/main" id="{FD733F80-326E-4A13-A532-1FD6EAD5D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537028</xdr:colOff>
      <xdr:row>134</xdr:row>
      <xdr:rowOff>200478</xdr:rowOff>
    </xdr:from>
    <xdr:to>
      <xdr:col>21</xdr:col>
      <xdr:colOff>297843</xdr:colOff>
      <xdr:row>142</xdr:row>
      <xdr:rowOff>124786</xdr:rowOff>
    </xdr:to>
    <xdr:graphicFrame macro="">
      <xdr:nvGraphicFramePr>
        <xdr:cNvPr id="35" name="Chart 45">
          <a:extLst>
            <a:ext uri="{FF2B5EF4-FFF2-40B4-BE49-F238E27FC236}">
              <a16:creationId xmlns:a16="http://schemas.microsoft.com/office/drawing/2014/main" id="{598DB7C6-E948-49F2-B375-7967E519E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=91601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𝐿_𝑚𝑎𝑥=91601𝑁/𝑚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0.83111</cdr:x>
      <cdr:y>0.06753</cdr:y>
    </cdr:from>
    <cdr:to>
      <cdr:x>0.91561</cdr:x>
      <cdr:y>0.13211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0.17788</cdr:x>
      <cdr:y>0.0425</cdr:y>
    </cdr:from>
    <cdr:to>
      <cdr:x>0.47763</cdr:x>
      <cdr:y>0.13611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0.70935</cdr:x>
      <cdr:y>0.68448</cdr:y>
    </cdr:from>
    <cdr:to>
      <cdr:x>0.90769</cdr:x>
      <cdr:y>0.80255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0.53154</cdr:x>
      <cdr:y>0.76132</cdr:y>
    </cdr:from>
    <cdr:to>
      <cdr:x>0.83129</cdr:x>
      <cdr:y>0.89978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919491" y="1386313"/>
              <a:ext cx="1082447" cy="25212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=−134492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919491" y="1386313"/>
              <a:ext cx="1082447" cy="25212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𝐿_𝑚𝑖𝑛=−134492𝑁/𝑚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0.71327</cdr:x>
      <cdr:y>0.34878</cdr:y>
    </cdr:from>
    <cdr:to>
      <cdr:x>0.90656</cdr:x>
      <cdr:y>0.47595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75746" y="635097"/>
              <a:ext cx="698003" cy="23157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75746" y="635097"/>
              <a:ext cx="698003" cy="23157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0.78317</cdr:x>
      <cdr:y>0.29345</cdr:y>
    </cdr:from>
    <cdr:to>
      <cdr:x>0.94229</cdr:x>
      <cdr:y>0.36266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19396" y="738567"/>
              <a:ext cx="572832" cy="17419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=−1.5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19396" y="738567"/>
              <a:ext cx="572832" cy="17419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n=−1.5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0.26279</cdr:x>
      <cdr:y>0.69342</cdr:y>
    </cdr:from>
    <cdr:to>
      <cdr:x>0.56254</cdr:x>
      <cdr:y>0.8407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4279" y="1280589"/>
              <a:ext cx="757707" cy="271993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=−2719071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4279" y="1280589"/>
              <a:ext cx="757707" cy="271993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𝑆_𝑚𝑖𝑛=−2719071𝑁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0.7742</cdr:x>
      <cdr:y>0.17133</cdr:y>
    </cdr:from>
    <cdr:to>
      <cdr:x>0.96749</cdr:x>
      <cdr:y>0.2894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955683" y="311914"/>
              <a:ext cx="488263" cy="21495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955683" y="311914"/>
              <a:ext cx="488263" cy="21495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𝑆_𝑚𝑎𝑥=0𝑁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0.78225</cdr:x>
      <cdr:y>0.54274</cdr:y>
    </cdr:from>
    <cdr:to>
      <cdr:x>0.94137</cdr:x>
      <cdr:y>0.61195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977368" y="1002318"/>
              <a:ext cx="402222" cy="12781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=−1.5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1977368" y="1002318"/>
              <a:ext cx="402222" cy="12781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n=−1.5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0.22572</cdr:x>
      <cdr:y>0.70142</cdr:y>
    </cdr:from>
    <cdr:to>
      <cdr:x>0.52547</cdr:x>
      <cdr:y>0.83841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68814" y="1262556"/>
              <a:ext cx="755370" cy="24658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=−35310776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68814" y="1262556"/>
              <a:ext cx="755370" cy="246582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𝑀_𝑚𝑖𝑛=−35310776𝑁𝑚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0.73432</cdr:x>
      <cdr:y>0.13331</cdr:y>
    </cdr:from>
    <cdr:to>
      <cdr:x>0.92761</cdr:x>
      <cdr:y>0.25138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43656" y="239965"/>
              <a:ext cx="695868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43656" y="239965"/>
              <a:ext cx="695868" cy="2125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𝑀_𝑚𝑎𝑥=0𝑁𝑚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0.77601</cdr:x>
      <cdr:y>0.54149</cdr:y>
    </cdr:from>
    <cdr:to>
      <cdr:x>0.93513</cdr:x>
      <cdr:y>0.6107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8390" y="1345691"/>
              <a:ext cx="571754" cy="17199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=−1.5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8390" y="1345691"/>
              <a:ext cx="571754" cy="17199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n=−1.5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CCDEDA3-0D2F-4692-AECA-9F72FB02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5163" y="700848"/>
          <a:ext cx="7187070" cy="406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468265</xdr:colOff>
      <xdr:row>23</xdr:row>
      <xdr:rowOff>141009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E1B20BFD-249C-49D5-BB82-C3D46054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5122" y="722690"/>
          <a:ext cx="7167343" cy="4028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" name="Group 42">
          <a:extLst>
            <a:ext uri="{FF2B5EF4-FFF2-40B4-BE49-F238E27FC236}">
              <a16:creationId xmlns:a16="http://schemas.microsoft.com/office/drawing/2014/main" id="{ABB7B04A-F917-4408-8EFA-252397E4B541}"/>
            </a:ext>
          </a:extLst>
        </xdr:cNvPr>
        <xdr:cNvGrpSpPr/>
      </xdr:nvGrpSpPr>
      <xdr:grpSpPr>
        <a:xfrm>
          <a:off x="2654368" y="720413"/>
          <a:ext cx="8787199" cy="3971728"/>
          <a:chOff x="246529" y="459441"/>
          <a:chExt cx="7283823" cy="4090147"/>
        </a:xfrm>
      </xdr:grpSpPr>
      <xdr:sp macro="" textlink="">
        <xdr:nvSpPr>
          <xdr:cNvPr id="5" name="Freeform 16">
            <a:extLst>
              <a:ext uri="{FF2B5EF4-FFF2-40B4-BE49-F238E27FC236}">
                <a16:creationId xmlns:a16="http://schemas.microsoft.com/office/drawing/2014/main" id="{9A6E8238-8CB8-B4F9-4CD6-00BC96A4157A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8">
            <a:extLst>
              <a:ext uri="{FF2B5EF4-FFF2-40B4-BE49-F238E27FC236}">
                <a16:creationId xmlns:a16="http://schemas.microsoft.com/office/drawing/2014/main" id="{6FE252EF-745E-843D-552F-E9FA7791D5D6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3">
            <a:extLst>
              <a:ext uri="{FF2B5EF4-FFF2-40B4-BE49-F238E27FC236}">
                <a16:creationId xmlns:a16="http://schemas.microsoft.com/office/drawing/2014/main" id="{454BBCCF-1991-6207-9EAE-350C7B97ABC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10">
            <a:extLst>
              <a:ext uri="{FF2B5EF4-FFF2-40B4-BE49-F238E27FC236}">
                <a16:creationId xmlns:a16="http://schemas.microsoft.com/office/drawing/2014/main" id="{7B6F7BC4-9BC2-A597-AD92-6E81D960FE7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11">
            <a:extLst>
              <a:ext uri="{FF2B5EF4-FFF2-40B4-BE49-F238E27FC236}">
                <a16:creationId xmlns:a16="http://schemas.microsoft.com/office/drawing/2014/main" id="{6D1BF3BD-409E-8479-E9E0-FAE7BA32BDDD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13">
            <a:extLst>
              <a:ext uri="{FF2B5EF4-FFF2-40B4-BE49-F238E27FC236}">
                <a16:creationId xmlns:a16="http://schemas.microsoft.com/office/drawing/2014/main" id="{14413728-1D9B-3198-C287-2B3C0A118ED5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20">
            <a:extLst>
              <a:ext uri="{FF2B5EF4-FFF2-40B4-BE49-F238E27FC236}">
                <a16:creationId xmlns:a16="http://schemas.microsoft.com/office/drawing/2014/main" id="{9A2A48DE-DBFF-5103-E8B3-DC74F3820045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21">
            <a:extLst>
              <a:ext uri="{FF2B5EF4-FFF2-40B4-BE49-F238E27FC236}">
                <a16:creationId xmlns:a16="http://schemas.microsoft.com/office/drawing/2014/main" id="{4ABE1554-BC2C-E1F1-9588-B02BA5DB5C15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23">
            <a:extLst>
              <a:ext uri="{FF2B5EF4-FFF2-40B4-BE49-F238E27FC236}">
                <a16:creationId xmlns:a16="http://schemas.microsoft.com/office/drawing/2014/main" id="{804F6D41-581A-B9D5-73D0-798467B1550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26">
            <a:extLst>
              <a:ext uri="{FF2B5EF4-FFF2-40B4-BE49-F238E27FC236}">
                <a16:creationId xmlns:a16="http://schemas.microsoft.com/office/drawing/2014/main" id="{AE347127-8C42-4563-4443-A13F62B902F8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27">
            <a:extLst>
              <a:ext uri="{FF2B5EF4-FFF2-40B4-BE49-F238E27FC236}">
                <a16:creationId xmlns:a16="http://schemas.microsoft.com/office/drawing/2014/main" id="{910368C4-5F34-1C48-3DE2-0BBB992593CC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29">
            <a:extLst>
              <a:ext uri="{FF2B5EF4-FFF2-40B4-BE49-F238E27FC236}">
                <a16:creationId xmlns:a16="http://schemas.microsoft.com/office/drawing/2014/main" id="{85BAB4D4-C96F-68F0-763F-C2B467D6B206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32">
            <a:extLst>
              <a:ext uri="{FF2B5EF4-FFF2-40B4-BE49-F238E27FC236}">
                <a16:creationId xmlns:a16="http://schemas.microsoft.com/office/drawing/2014/main" id="{C78495E9-C47F-762B-0F83-25917094F03C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33">
            <a:extLst>
              <a:ext uri="{FF2B5EF4-FFF2-40B4-BE49-F238E27FC236}">
                <a16:creationId xmlns:a16="http://schemas.microsoft.com/office/drawing/2014/main" id="{ACA93A73-3888-7603-0BA2-3707C4FBD249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34">
            <a:extLst>
              <a:ext uri="{FF2B5EF4-FFF2-40B4-BE49-F238E27FC236}">
                <a16:creationId xmlns:a16="http://schemas.microsoft.com/office/drawing/2014/main" id="{008A2DBF-FF5B-BFE1-1697-3891793075E4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35">
            <a:extLst>
              <a:ext uri="{FF2B5EF4-FFF2-40B4-BE49-F238E27FC236}">
                <a16:creationId xmlns:a16="http://schemas.microsoft.com/office/drawing/2014/main" id="{A8A500FD-8C3D-0B8F-F6B6-8B18C807E03B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37">
            <a:extLst>
              <a:ext uri="{FF2B5EF4-FFF2-40B4-BE49-F238E27FC236}">
                <a16:creationId xmlns:a16="http://schemas.microsoft.com/office/drawing/2014/main" id="{BA7773D8-7FE9-E131-CB93-3F99AF3182A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41">
            <a:extLst>
              <a:ext uri="{FF2B5EF4-FFF2-40B4-BE49-F238E27FC236}">
                <a16:creationId xmlns:a16="http://schemas.microsoft.com/office/drawing/2014/main" id="{FF9B0FFD-B1E6-8F09-9CC6-21E82C987B52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24" name="Chart 46">
          <a:extLst>
            <a:ext uri="{FF2B5EF4-FFF2-40B4-BE49-F238E27FC236}">
              <a16:creationId xmlns:a16="http://schemas.microsoft.com/office/drawing/2014/main" id="{EBE41FEF-D1FB-415A-A2B1-B969756A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25" name="Chart 47">
          <a:extLst>
            <a:ext uri="{FF2B5EF4-FFF2-40B4-BE49-F238E27FC236}">
              <a16:creationId xmlns:a16="http://schemas.microsoft.com/office/drawing/2014/main" id="{75C0992D-E090-4B14-9C70-26DE62170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F4769027-E30D-4138-AD4B-821BDB96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"/>
          <a:ext cx="1696305" cy="354012"/>
        </a:xfrm>
        <a:prstGeom prst="rect">
          <a:avLst/>
        </a:prstGeom>
      </xdr:spPr>
    </xdr:pic>
    <xdr:clientData/>
  </xdr:twoCellAnchor>
  <xdr:twoCellAnchor>
    <xdr:from>
      <xdr:col>11</xdr:col>
      <xdr:colOff>660400</xdr:colOff>
      <xdr:row>43</xdr:row>
      <xdr:rowOff>38099</xdr:rowOff>
    </xdr:from>
    <xdr:to>
      <xdr:col>16</xdr:col>
      <xdr:colOff>894900</xdr:colOff>
      <xdr:row>53</xdr:row>
      <xdr:rowOff>134499</xdr:rowOff>
    </xdr:to>
    <xdr:graphicFrame macro="">
      <xdr:nvGraphicFramePr>
        <xdr:cNvPr id="28" name="Chart 45">
          <a:extLst>
            <a:ext uri="{FF2B5EF4-FFF2-40B4-BE49-F238E27FC236}">
              <a16:creationId xmlns:a16="http://schemas.microsoft.com/office/drawing/2014/main" id="{EE1DD775-E586-4229-9AD3-9C57C6DF4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1073150</xdr:colOff>
      <xdr:row>43</xdr:row>
      <xdr:rowOff>31750</xdr:rowOff>
    </xdr:from>
    <xdr:to>
      <xdr:col>21</xdr:col>
      <xdr:colOff>494850</xdr:colOff>
      <xdr:row>53</xdr:row>
      <xdr:rowOff>128150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582D1880-6A9C-4401-AA6D-B35F5FE33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=−2108660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𝐿_𝑚𝑖𝑛=−2108660𝑁/𝑚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0.70974</cdr:y>
    </cdr:from>
    <cdr:to>
      <cdr:x>0.91077</cdr:x>
      <cdr:y>0.77432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2652990" y="705036"/>
          <a:ext cx="8812493" cy="4283450"/>
          <a:chOff x="246529" y="459441"/>
          <a:chExt cx="7283823" cy="4090147"/>
        </a:xfrm>
      </xdr:grpSpPr>
      <xdr:sp macro="" textlink="">
        <xdr:nvSpPr>
          <xdr:cNvPr id="5" name="Freeform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8</xdr:col>
      <xdr:colOff>582220</xdr:colOff>
      <xdr:row>43</xdr:row>
      <xdr:rowOff>180731</xdr:rowOff>
    </xdr:from>
    <xdr:to>
      <xdr:col>17</xdr:col>
      <xdr:colOff>50800</xdr:colOff>
      <xdr:row>53</xdr:row>
      <xdr:rowOff>87924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5DDB4E-3160-5738-9C31-1B92C184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3800" y="5651500"/>
          <a:ext cx="2530059" cy="10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C3BB34-3EFA-37E6-8530-921693C2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17</xdr:col>
      <xdr:colOff>669635</xdr:colOff>
      <xdr:row>43</xdr:row>
      <xdr:rowOff>230908</xdr:rowOff>
    </xdr:from>
    <xdr:to>
      <xdr:col>23</xdr:col>
      <xdr:colOff>128331</xdr:colOff>
      <xdr:row>52</xdr:row>
      <xdr:rowOff>231230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82C45708-B74D-401A-83A8-8D34258E9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191410</xdr:colOff>
      <xdr:row>95</xdr:row>
      <xdr:rowOff>215554</xdr:rowOff>
    </xdr:from>
    <xdr:to>
      <xdr:col>22</xdr:col>
      <xdr:colOff>332596</xdr:colOff>
      <xdr:row>106</xdr:row>
      <xdr:rowOff>171675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E5C866E9-D29E-4FA0-8BB6-AEA5CDB92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207818</xdr:colOff>
      <xdr:row>109</xdr:row>
      <xdr:rowOff>196273</xdr:rowOff>
    </xdr:from>
    <xdr:to>
      <xdr:col>22</xdr:col>
      <xdr:colOff>349004</xdr:colOff>
      <xdr:row>122</xdr:row>
      <xdr:rowOff>60030</xdr:rowOff>
    </xdr:to>
    <xdr:graphicFrame macro="">
      <xdr:nvGraphicFramePr>
        <xdr:cNvPr id="32" name="Chart 45">
          <a:extLst>
            <a:ext uri="{FF2B5EF4-FFF2-40B4-BE49-F238E27FC236}">
              <a16:creationId xmlns:a16="http://schemas.microsoft.com/office/drawing/2014/main" id="{78DDDF3B-4C37-413C-9952-B50643F69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199571</xdr:colOff>
      <xdr:row>124</xdr:row>
      <xdr:rowOff>190500</xdr:rowOff>
    </xdr:from>
    <xdr:to>
      <xdr:col>22</xdr:col>
      <xdr:colOff>340757</xdr:colOff>
      <xdr:row>135</xdr:row>
      <xdr:rowOff>90542</xdr:rowOff>
    </xdr:to>
    <xdr:graphicFrame macro="">
      <xdr:nvGraphicFramePr>
        <xdr:cNvPr id="33" name="Chart 45">
          <a:extLst>
            <a:ext uri="{FF2B5EF4-FFF2-40B4-BE49-F238E27FC236}">
              <a16:creationId xmlns:a16="http://schemas.microsoft.com/office/drawing/2014/main" id="{F012F465-A2A1-4ACA-93D9-92C2D2BE2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0.15255</cdr:x>
      <cdr:y>0.05168</cdr:y>
    </cdr:from>
    <cdr:to>
      <cdr:x>0.36909</cdr:x>
      <cdr:y>0.18657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=343504.2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𝐿_𝑚𝑎𝑥=343504.2𝑁/𝑚</a:t>
              </a:r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0.76813</cdr:x>
      <cdr:y>0.64995</cdr:y>
    </cdr:from>
    <cdr:to>
      <cdr:x>0.89323</cdr:x>
      <cdr:y>0.75016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0.76779</cdr:x>
      <cdr:y>0.06679</cdr:y>
    </cdr:from>
    <cdr:to>
      <cdr:x>0.95755</cdr:x>
      <cdr:y>0.18513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0.25569</cdr:x>
      <cdr:y>0.69302</cdr:y>
    </cdr:from>
    <cdr:to>
      <cdr:x>0.61303</cdr:x>
      <cdr:y>0.82756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0.63996</cdr:x>
      <cdr:y>0.07089</cdr:y>
    </cdr:from>
    <cdr:to>
      <cdr:x>0.92769</cdr:x>
      <cdr:y>0.15182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3861" y="143670"/>
              <a:ext cx="1035828" cy="16403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=−3621.3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3861" y="143670"/>
              <a:ext cx="1035828" cy="164030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𝐿_𝑚𝑎𝑥=−3621.3𝑁/𝑚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0.21193</cdr:x>
      <cdr:y>0.76294</cdr:y>
    </cdr:from>
    <cdr:to>
      <cdr:x>0.51168</cdr:x>
      <cdr:y>0.85656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62630" y="1959148"/>
              <a:ext cx="1078671" cy="240407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62630" y="1959148"/>
              <a:ext cx="1078671" cy="240407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𝐿_min=−5949830𝑁/𝑚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0.61857</cdr:x>
      <cdr:y>0.14499</cdr:y>
    </cdr:from>
    <cdr:to>
      <cdr:x>0.94222</cdr:x>
      <cdr:y>0.26306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25982" y="372321"/>
              <a:ext cx="1164650" cy="30319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=−3621.3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225982" y="372321"/>
              <a:ext cx="1164650" cy="30319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𝐿_𝑚𝑎𝑥=−3621.3𝑁/𝑚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0.77351</cdr:x>
      <cdr:y>0.63035</cdr:y>
    </cdr:from>
    <cdr:to>
      <cdr:x>0.93263</cdr:x>
      <cdr:y>0.69956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0.23029</cdr:x>
      <cdr:y>0.76294</cdr:y>
    </cdr:from>
    <cdr:to>
      <cdr:x>0.53004</cdr:x>
      <cdr:y>0.85656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831082" y="1913965"/>
              <a:ext cx="1081749" cy="234861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=−6497367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831082" y="1913965"/>
              <a:ext cx="1081749" cy="234861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𝐹_min=−6497367𝑁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0.63846</cdr:x>
      <cdr:y>0.13619</cdr:y>
    </cdr:from>
    <cdr:to>
      <cdr:x>0.96211</cdr:x>
      <cdr:y>0.25426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4102" y="341645"/>
              <a:ext cx="1168000" cy="29619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04102" y="341645"/>
              <a:ext cx="1168000" cy="29619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𝐹_𝑚𝑎𝑥=0𝑁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0.77351</cdr:x>
      <cdr:y>0.63035</cdr:y>
    </cdr:from>
    <cdr:to>
      <cdr:x>0.93263</cdr:x>
      <cdr:y>0.69956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0.19333</cdr:x>
      <cdr:y>0.74249</cdr:y>
    </cdr:from>
    <cdr:to>
      <cdr:x>0.49308</cdr:x>
      <cdr:y>0.83611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97602" y="1844718"/>
              <a:ext cx="1081584" cy="23259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min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=−26333247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97602" y="1844718"/>
              <a:ext cx="1081584" cy="232598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𝑀_min=−26333247𝑁𝑚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0.65078</cdr:x>
      <cdr:y>0.12597</cdr:y>
    </cdr:from>
    <cdr:to>
      <cdr:x>0.97443</cdr:x>
      <cdr:y>0.24404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48196" y="312963"/>
              <a:ext cx="1167822" cy="29334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348196" y="312963"/>
              <a:ext cx="1167822" cy="29334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𝑀_𝑚𝑎𝑥=0𝑁𝑚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0.77351</cdr:x>
      <cdr:y>0.63035</cdr:y>
    </cdr:from>
    <cdr:to>
      <cdr:x>0.93263</cdr:x>
      <cdr:y>0.69956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783533" y="1618667"/>
              <a:ext cx="572603" cy="1777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757682</xdr:colOff>
      <xdr:row>27</xdr:row>
      <xdr:rowOff>168573</xdr:rowOff>
    </xdr:from>
    <xdr:to>
      <xdr:col>16</xdr:col>
      <xdr:colOff>242583</xdr:colOff>
      <xdr:row>39</xdr:row>
      <xdr:rowOff>49645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5C1CB-22A4-7241-B063-275705E6C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507999</xdr:colOff>
      <xdr:row>27</xdr:row>
      <xdr:rowOff>161636</xdr:rowOff>
    </xdr:from>
    <xdr:to>
      <xdr:col>23</xdr:col>
      <xdr:colOff>824173</xdr:colOff>
      <xdr:row>39</xdr:row>
      <xdr:rowOff>42708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22038FC-9BD9-40E1-B5CA-F2A0C7E7F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0.15751</cdr:x>
      <cdr:y>0.04107</cdr:y>
    </cdr:from>
    <cdr:to>
      <cdr:x>0.37462</cdr:x>
      <cdr:y>0.17642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=5954091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𝐿_𝑚𝑎𝑥=5954091𝑁/𝑚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0.81348</cdr:x>
      <cdr:y>0.64814</cdr:y>
    </cdr:from>
    <cdr:to>
      <cdr:x>0.9389</cdr:x>
      <cdr:y>0.7487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0.80967</cdr:x>
      <cdr:y>0.07043</cdr:y>
    </cdr:from>
    <cdr:to>
      <cdr:x>0.95727</cdr:x>
      <cdr:y>0.19307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0.25114</cdr:x>
      <cdr:y>0.6585</cdr:y>
    </cdr:from>
    <cdr:to>
      <cdr:x>0.46825</cdr:x>
      <cdr:y>0.79386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=−5697142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𝐿_𝑚𝑖𝑛=−5697142𝑁/𝑚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0.80895</cdr:x>
      <cdr:y>0.26537</cdr:y>
    </cdr:from>
    <cdr:to>
      <cdr:x>0.96175</cdr:x>
      <cdr:y>0.36592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0.80459</cdr:x>
      <cdr:y>0.62412</cdr:y>
    </cdr:from>
    <cdr:to>
      <cdr:x>0.96415</cdr:x>
      <cdr:y>0.77819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288370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8787" y="447711"/>
          <a:ext cx="3722301" cy="2350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7785" y="546582"/>
          <a:ext cx="4093944" cy="251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468786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3372" y="2576174"/>
          <a:ext cx="5336650" cy="156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834" y="3142722"/>
          <a:ext cx="4627296" cy="591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180973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0" y="15068550"/>
          <a:ext cx="31527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6584EA2-0C9C-F830-9C0E-22DC9B38DDE5}"/>
            </a:ext>
          </a:extLst>
        </xdr:cNvPr>
        <xdr:cNvGrpSpPr/>
      </xdr:nvGrpSpPr>
      <xdr:grpSpPr>
        <a:xfrm>
          <a:off x="2568777" y="551252"/>
          <a:ext cx="7786390" cy="3180607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0A3CA7-8275-E0E7-49AC-5969A5FD3AB5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500-00002200000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7" name="Picture 6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9" name="Straight Arrow Connector 8">
                <a:extLst>
                  <a:ext uri="{FF2B5EF4-FFF2-40B4-BE49-F238E27FC236}">
                    <a16:creationId xmlns:a16="http://schemas.microsoft.com/office/drawing/2014/main" id="{00000000-0008-0000-0500-000009000000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Straight Arrow Connector 9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Straight Arrow Connector 10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0000000-0008-0000-0500-000010000000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00000000-0008-0000-0500-000011000000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19">
                <a:extLst>
                  <a:ext uri="{FF2B5EF4-FFF2-40B4-BE49-F238E27FC236}">
                    <a16:creationId xmlns:a16="http://schemas.microsoft.com/office/drawing/2014/main" id="{00000000-0008-0000-0500-000014000000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0">
                <a:extLst>
                  <a:ext uri="{FF2B5EF4-FFF2-40B4-BE49-F238E27FC236}">
                    <a16:creationId xmlns:a16="http://schemas.microsoft.com/office/drawing/2014/main" id="{00000000-0008-0000-0500-000015000000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Connector 21">
                <a:extLst>
                  <a:ext uri="{FF2B5EF4-FFF2-40B4-BE49-F238E27FC236}">
                    <a16:creationId xmlns:a16="http://schemas.microsoft.com/office/drawing/2014/main" id="{00000000-0008-0000-0500-000016000000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Straight Connector 22">
                <a:extLst>
                  <a:ext uri="{FF2B5EF4-FFF2-40B4-BE49-F238E27FC236}">
                    <a16:creationId xmlns:a16="http://schemas.microsoft.com/office/drawing/2014/main" id="{00000000-0008-0000-0500-000017000000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00000000-0008-0000-0500-000018000000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" name="TextBox 25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00000000-0008-0000-0500-00001F000000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00000000-0008-0000-0500-000021000000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500-000026000000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39" name="Straight Arrow Connector 38">
                <a:extLst>
                  <a:ext uri="{FF2B5EF4-FFF2-40B4-BE49-F238E27FC236}">
                    <a16:creationId xmlns:a16="http://schemas.microsoft.com/office/drawing/2014/main" id="{00000000-0008-0000-0500-000027000000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" name="Straight Connector 40">
                <a:extLst>
                  <a:ext uri="{FF2B5EF4-FFF2-40B4-BE49-F238E27FC236}">
                    <a16:creationId xmlns:a16="http://schemas.microsoft.com/office/drawing/2014/main" id="{00000000-0008-0000-0500-000029000000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7" name="Straight Arrow Connector 26">
                <a:extLst>
                  <a:ext uri="{FF2B5EF4-FFF2-40B4-BE49-F238E27FC236}">
                    <a16:creationId xmlns:a16="http://schemas.microsoft.com/office/drawing/2014/main" id="{00000000-0008-0000-0500-00001B000000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Arrow Connector 27">
                <a:extLst>
                  <a:ext uri="{FF2B5EF4-FFF2-40B4-BE49-F238E27FC236}">
                    <a16:creationId xmlns:a16="http://schemas.microsoft.com/office/drawing/2014/main" id="{00000000-0008-0000-0500-00001C000000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00000000-0008-0000-0500-00001E000000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00000000-0008-0000-0500-000024000000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40" name="TextBox 39">
                <a:extLst>
                  <a:ext uri="{FF2B5EF4-FFF2-40B4-BE49-F238E27FC236}">
                    <a16:creationId xmlns:a16="http://schemas.microsoft.com/office/drawing/2014/main" id="{00000000-0008-0000-0500-00002800000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500-00002A000000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35" name="Flowchart: Summing Junction 34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2" name="Circular Arrow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2981</xdr:colOff>
      <xdr:row>62</xdr:row>
      <xdr:rowOff>182479</xdr:rowOff>
    </xdr:from>
    <xdr:to>
      <xdr:col>23</xdr:col>
      <xdr:colOff>389467</xdr:colOff>
      <xdr:row>85</xdr:row>
      <xdr:rowOff>33866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1115303</xdr:colOff>
      <xdr:row>36</xdr:row>
      <xdr:rowOff>184019</xdr:rowOff>
    </xdr:from>
    <xdr:to>
      <xdr:col>23</xdr:col>
      <xdr:colOff>281837</xdr:colOff>
      <xdr:row>54</xdr:row>
      <xdr:rowOff>48546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BDDF07C-E17A-B8CD-4297-AB5074FA11D8}"/>
            </a:ext>
          </a:extLst>
        </xdr:cNvPr>
        <xdr:cNvSpPr txBox="1"/>
      </xdr:nvSpPr>
      <xdr:spPr>
        <a:xfrm>
          <a:off x="13969690" y="9385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870A93-6394-285E-4FC8-5FCA645E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708452" cy="354949"/>
        </a:xfrm>
        <a:prstGeom prst="rect">
          <a:avLst/>
        </a:prstGeom>
      </xdr:spPr>
    </xdr:pic>
    <xdr:clientData/>
  </xdr:twoCellAnchor>
  <xdr:twoCellAnchor>
    <xdr:from>
      <xdr:col>14</xdr:col>
      <xdr:colOff>772101</xdr:colOff>
      <xdr:row>87</xdr:row>
      <xdr:rowOff>114012</xdr:rowOff>
    </xdr:from>
    <xdr:to>
      <xdr:col>23</xdr:col>
      <xdr:colOff>37235</xdr:colOff>
      <xdr:row>109</xdr:row>
      <xdr:rowOff>161671</xdr:rowOff>
    </xdr:to>
    <xdr:graphicFrame macro="">
      <xdr:nvGraphicFramePr>
        <xdr:cNvPr id="18" name="Chart 42">
          <a:extLst>
            <a:ext uri="{FF2B5EF4-FFF2-40B4-BE49-F238E27FC236}">
              <a16:creationId xmlns:a16="http://schemas.microsoft.com/office/drawing/2014/main" id="{73BEA035-AEFD-471C-BA95-633065C5F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292906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3AB4-8205-4317-AEC6-B24BAAD3D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8387" y="447711"/>
          <a:ext cx="3714683" cy="224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F05F6-1E89-437E-8BFC-E48ACB1C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1100" y="540154"/>
          <a:ext cx="4093004" cy="246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364465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F73D4B-3460-4FD5-832A-9BC19F83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7397" y="2525766"/>
          <a:ext cx="5350289" cy="1534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755B50-F0BB-4934-BA84-614F80F0A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9149" y="3087689"/>
          <a:ext cx="4627476" cy="57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180974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1C531F-9F4B-4DD3-8842-505E39A84DDE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82300" y="14382750"/>
          <a:ext cx="3089273" cy="274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7" name="Group 12">
          <a:extLst>
            <a:ext uri="{FF2B5EF4-FFF2-40B4-BE49-F238E27FC236}">
              <a16:creationId xmlns:a16="http://schemas.microsoft.com/office/drawing/2014/main" id="{4B003C62-680D-4AFA-816A-84E8FE5F2E88}"/>
            </a:ext>
          </a:extLst>
        </xdr:cNvPr>
        <xdr:cNvGrpSpPr/>
      </xdr:nvGrpSpPr>
      <xdr:grpSpPr>
        <a:xfrm>
          <a:off x="2568777" y="551252"/>
          <a:ext cx="7751754" cy="3180607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6E956DF-957E-2287-DDEA-F5D9C44DBF46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10" name="Group 33">
              <a:extLst>
                <a:ext uri="{FF2B5EF4-FFF2-40B4-BE49-F238E27FC236}">
                  <a16:creationId xmlns:a16="http://schemas.microsoft.com/office/drawing/2014/main" id="{426F7F4F-1FE0-6A77-FCA8-C93D5520FD1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12" name="Picture 6">
                <a:extLst>
                  <a:ext uri="{FF2B5EF4-FFF2-40B4-BE49-F238E27FC236}">
                    <a16:creationId xmlns:a16="http://schemas.microsoft.com/office/drawing/2014/main" id="{745B384D-0DA0-F2C7-510A-C2E86FFB2CD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13" name="Straight Arrow Connector 8">
                <a:extLst>
                  <a:ext uri="{FF2B5EF4-FFF2-40B4-BE49-F238E27FC236}">
                    <a16:creationId xmlns:a16="http://schemas.microsoft.com/office/drawing/2014/main" id="{BA7AA75D-6581-1E0A-E52B-88276A872FFA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Straight Arrow Connector 9">
                <a:extLst>
                  <a:ext uri="{FF2B5EF4-FFF2-40B4-BE49-F238E27FC236}">
                    <a16:creationId xmlns:a16="http://schemas.microsoft.com/office/drawing/2014/main" id="{EFE32F52-E911-9750-A457-C3070913FC69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Arrow Connector 10">
                <a:extLst>
                  <a:ext uri="{FF2B5EF4-FFF2-40B4-BE49-F238E27FC236}">
                    <a16:creationId xmlns:a16="http://schemas.microsoft.com/office/drawing/2014/main" id="{36CE50E8-B1E4-B2D3-93AB-6F7D2757731C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36FF766-A4BC-FECC-E330-E38C0CFEBB57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B3E68661-1D24-1F2F-EBEA-72F6108F2BD7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Straight Connector 19">
                <a:extLst>
                  <a:ext uri="{FF2B5EF4-FFF2-40B4-BE49-F238E27FC236}">
                    <a16:creationId xmlns:a16="http://schemas.microsoft.com/office/drawing/2014/main" id="{FC1D15B9-224B-646B-D467-509FBBB5DBAC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Connector 20">
                <a:extLst>
                  <a:ext uri="{FF2B5EF4-FFF2-40B4-BE49-F238E27FC236}">
                    <a16:creationId xmlns:a16="http://schemas.microsoft.com/office/drawing/2014/main" id="{0CA6FE67-2E60-7EB7-1498-FC48EF3D5395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21">
                <a:extLst>
                  <a:ext uri="{FF2B5EF4-FFF2-40B4-BE49-F238E27FC236}">
                    <a16:creationId xmlns:a16="http://schemas.microsoft.com/office/drawing/2014/main" id="{5CB10E88-85DF-347E-7D5D-F3156DDD5269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2">
                <a:extLst>
                  <a:ext uri="{FF2B5EF4-FFF2-40B4-BE49-F238E27FC236}">
                    <a16:creationId xmlns:a16="http://schemas.microsoft.com/office/drawing/2014/main" id="{A44F9FFA-DBAD-C762-7748-099C304C7BEF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Arrow Connector 23">
                <a:extLst>
                  <a:ext uri="{FF2B5EF4-FFF2-40B4-BE49-F238E27FC236}">
                    <a16:creationId xmlns:a16="http://schemas.microsoft.com/office/drawing/2014/main" id="{C8F84BF3-8D0F-841E-A1E7-B911540EF0FB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" name="TextBox 25">
                <a:extLst>
                  <a:ext uri="{FF2B5EF4-FFF2-40B4-BE49-F238E27FC236}">
                    <a16:creationId xmlns:a16="http://schemas.microsoft.com/office/drawing/2014/main" id="{C07F1A73-52BD-32B3-6A0B-6D4AD18CF48B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24" name="TextBox 30">
                <a:extLst>
                  <a:ext uri="{FF2B5EF4-FFF2-40B4-BE49-F238E27FC236}">
                    <a16:creationId xmlns:a16="http://schemas.microsoft.com/office/drawing/2014/main" id="{F78ACD7A-847D-5BC6-6982-3DE13F90CFE8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25" name="TextBox 32">
                <a:extLst>
                  <a:ext uri="{FF2B5EF4-FFF2-40B4-BE49-F238E27FC236}">
                    <a16:creationId xmlns:a16="http://schemas.microsoft.com/office/drawing/2014/main" id="{833B3128-6AB8-46E9-8132-D8885AEB8B13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26" name="TextBox 37">
                <a:extLst>
                  <a:ext uri="{FF2B5EF4-FFF2-40B4-BE49-F238E27FC236}">
                    <a16:creationId xmlns:a16="http://schemas.microsoft.com/office/drawing/2014/main" id="{CF15FF99-0EA9-4B86-5F28-973FF7B7DF67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27" name="Straight Arrow Connector 38">
                <a:extLst>
                  <a:ext uri="{FF2B5EF4-FFF2-40B4-BE49-F238E27FC236}">
                    <a16:creationId xmlns:a16="http://schemas.microsoft.com/office/drawing/2014/main" id="{0FF04157-70C8-A374-00FE-769C0655D9BF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Connector 40">
                <a:extLst>
                  <a:ext uri="{FF2B5EF4-FFF2-40B4-BE49-F238E27FC236}">
                    <a16:creationId xmlns:a16="http://schemas.microsoft.com/office/drawing/2014/main" id="{F59F3DB4-24D4-84A3-9F3F-B6146EE62352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Straight Arrow Connector 26">
                <a:extLst>
                  <a:ext uri="{FF2B5EF4-FFF2-40B4-BE49-F238E27FC236}">
                    <a16:creationId xmlns:a16="http://schemas.microsoft.com/office/drawing/2014/main" id="{CE2FE460-AC0C-7515-F630-3AF9FA6EFC38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Straight Arrow Connector 27">
                <a:extLst>
                  <a:ext uri="{FF2B5EF4-FFF2-40B4-BE49-F238E27FC236}">
                    <a16:creationId xmlns:a16="http://schemas.microsoft.com/office/drawing/2014/main" id="{2C2532C9-F74F-2DE5-5BA3-B9EDCDA27116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" name="TextBox 29">
                <a:extLst>
                  <a:ext uri="{FF2B5EF4-FFF2-40B4-BE49-F238E27FC236}">
                    <a16:creationId xmlns:a16="http://schemas.microsoft.com/office/drawing/2014/main" id="{57A9E143-1E28-7C6E-2F0C-BB4B716410BB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588E783C-0D97-CFF9-09E4-A4F5EFD018B2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5">
                <a:extLst>
                  <a:ext uri="{FF2B5EF4-FFF2-40B4-BE49-F238E27FC236}">
                    <a16:creationId xmlns:a16="http://schemas.microsoft.com/office/drawing/2014/main" id="{D78401E4-DE3C-2190-8A8F-2F406CD2D1D6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4" name="TextBox 36">
                <a:extLst>
                  <a:ext uri="{FF2B5EF4-FFF2-40B4-BE49-F238E27FC236}">
                    <a16:creationId xmlns:a16="http://schemas.microsoft.com/office/drawing/2014/main" id="{55735DFE-2582-D852-DE0B-F32F3DB3D9E3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35" name="TextBox 39">
                <a:extLst>
                  <a:ext uri="{FF2B5EF4-FFF2-40B4-BE49-F238E27FC236}">
                    <a16:creationId xmlns:a16="http://schemas.microsoft.com/office/drawing/2014/main" id="{3CCFB2BE-27EB-8CAD-02F0-725172E2A05A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41">
                <a:extLst>
                  <a:ext uri="{FF2B5EF4-FFF2-40B4-BE49-F238E27FC236}">
                    <a16:creationId xmlns:a16="http://schemas.microsoft.com/office/drawing/2014/main" id="{DEB60FA0-BBBD-35F8-7EB9-A1F57AAC64F2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11" name="Flowchart: Summing Junction 34">
              <a:extLst>
                <a:ext uri="{FF2B5EF4-FFF2-40B4-BE49-F238E27FC236}">
                  <a16:creationId xmlns:a16="http://schemas.microsoft.com/office/drawing/2014/main" id="{CA0CB56C-0FD3-1E63-C37E-4B4391326712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9" name="Circular Arrow 11">
            <a:extLst>
              <a:ext uri="{FF2B5EF4-FFF2-40B4-BE49-F238E27FC236}">
                <a16:creationId xmlns:a16="http://schemas.microsoft.com/office/drawing/2014/main" id="{345F25CB-F249-F7BE-99E8-7A39630C0462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347696</xdr:colOff>
      <xdr:row>62</xdr:row>
      <xdr:rowOff>146193</xdr:rowOff>
    </xdr:from>
    <xdr:to>
      <xdr:col>24</xdr:col>
      <xdr:colOff>35682</xdr:colOff>
      <xdr:row>84</xdr:row>
      <xdr:rowOff>188080</xdr:rowOff>
    </xdr:to>
    <xdr:graphicFrame macro="">
      <xdr:nvGraphicFramePr>
        <xdr:cNvPr id="37" name="Chart 42">
          <a:extLst>
            <a:ext uri="{FF2B5EF4-FFF2-40B4-BE49-F238E27FC236}">
              <a16:creationId xmlns:a16="http://schemas.microsoft.com/office/drawing/2014/main" id="{7F74CB9A-AF46-4DB1-8A78-A43705577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262589</xdr:colOff>
      <xdr:row>37</xdr:row>
      <xdr:rowOff>20733</xdr:rowOff>
    </xdr:from>
    <xdr:to>
      <xdr:col>23</xdr:col>
      <xdr:colOff>653766</xdr:colOff>
      <xdr:row>54</xdr:row>
      <xdr:rowOff>66688</xdr:rowOff>
    </xdr:to>
    <xdr:graphicFrame macro="">
      <xdr:nvGraphicFramePr>
        <xdr:cNvPr id="38" name="Chart 43">
          <a:extLst>
            <a:ext uri="{FF2B5EF4-FFF2-40B4-BE49-F238E27FC236}">
              <a16:creationId xmlns:a16="http://schemas.microsoft.com/office/drawing/2014/main" id="{E347898C-1F98-461F-AB7E-CB85A48A8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39" name="TextBox 13">
          <a:extLst>
            <a:ext uri="{FF2B5EF4-FFF2-40B4-BE49-F238E27FC236}">
              <a16:creationId xmlns:a16="http://schemas.microsoft.com/office/drawing/2014/main" id="{8AF62A32-AF9C-4DEF-BD70-E8B5DC62DBA3}"/>
            </a:ext>
          </a:extLst>
        </xdr:cNvPr>
        <xdr:cNvSpPr txBox="1"/>
      </xdr:nvSpPr>
      <xdr:spPr>
        <a:xfrm>
          <a:off x="14098394" y="91356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40" name="Picture 14">
          <a:extLst>
            <a:ext uri="{FF2B5EF4-FFF2-40B4-BE49-F238E27FC236}">
              <a16:creationId xmlns:a16="http://schemas.microsoft.com/office/drawing/2014/main" id="{3815DCEF-04AB-44ED-A2B0-C5E848B2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955800" cy="354949"/>
        </a:xfrm>
        <a:prstGeom prst="rect">
          <a:avLst/>
        </a:prstGeom>
      </xdr:spPr>
    </xdr:pic>
    <xdr:clientData/>
  </xdr:twoCellAnchor>
  <xdr:twoCellAnchor>
    <xdr:from>
      <xdr:col>15</xdr:col>
      <xdr:colOff>391101</xdr:colOff>
      <xdr:row>87</xdr:row>
      <xdr:rowOff>95869</xdr:rowOff>
    </xdr:from>
    <xdr:to>
      <xdr:col>24</xdr:col>
      <xdr:colOff>182378</xdr:colOff>
      <xdr:row>109</xdr:row>
      <xdr:rowOff>143528</xdr:rowOff>
    </xdr:to>
    <xdr:graphicFrame macro="">
      <xdr:nvGraphicFramePr>
        <xdr:cNvPr id="41" name="Chart 42">
          <a:extLst>
            <a:ext uri="{FF2B5EF4-FFF2-40B4-BE49-F238E27FC236}">
              <a16:creationId xmlns:a16="http://schemas.microsoft.com/office/drawing/2014/main" id="{B39A5AD3-21D4-4097-B7E2-5A7D39093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200396</xdr:colOff>
      <xdr:row>45</xdr:row>
      <xdr:rowOff>46181</xdr:rowOff>
    </xdr:from>
    <xdr:to>
      <xdr:col>35</xdr:col>
      <xdr:colOff>443967</xdr:colOff>
      <xdr:row>55</xdr:row>
      <xdr:rowOff>31895</xdr:rowOff>
    </xdr:to>
    <xdr:graphicFrame macro="">
      <xdr:nvGraphicFramePr>
        <xdr:cNvPr id="43" name="Chart 45">
          <a:extLst>
            <a:ext uri="{FF2B5EF4-FFF2-40B4-BE49-F238E27FC236}">
              <a16:creationId xmlns:a16="http://schemas.microsoft.com/office/drawing/2014/main" id="{928587C9-28D1-4208-B510-8B91E7FC9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0.19893</cdr:x>
      <cdr:y>0.76516</cdr:y>
    </cdr:from>
    <cdr:to>
      <cdr:x>0.49868</cdr:x>
      <cdr:y>0.92431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18924" y="1409331"/>
              <a:ext cx="1083284" cy="293123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=−4210305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718924" y="1409331"/>
              <a:ext cx="1083284" cy="293123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𝑇_𝑚𝑖𝑛=−4210305𝑁𝑚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0.73458</cdr:x>
      <cdr:y>0.144</cdr:y>
    </cdr:from>
    <cdr:to>
      <cdr:x>0.92787</cdr:x>
      <cdr:y>0.26207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54736" y="265236"/>
              <a:ext cx="698541" cy="21747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54736" y="265236"/>
              <a:ext cx="698541" cy="21747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𝑇_𝑚𝑎𝑥=0𝑁𝑚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0.78003</cdr:x>
      <cdr:y>0.5428</cdr:y>
    </cdr:from>
    <cdr:to>
      <cdr:x>0.93915</cdr:x>
      <cdr:y>0.61201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12290" y="1370843"/>
              <a:ext cx="573686" cy="174791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12290" y="1370843"/>
              <a:ext cx="573686" cy="174791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0.18363</cdr:x>
      <cdr:y>0.15496</cdr:y>
    </cdr:from>
    <cdr:to>
      <cdr:x>0.7479</cdr:x>
      <cdr:y>0.23379</cdr:y>
    </cdr:to>
    <cdr:sp macro="" textlink="">
      <cdr:nvSpPr>
        <cdr:cNvPr id="5" name="文本框 1">
          <a:extLst xmlns:a="http://schemas.openxmlformats.org/drawingml/2006/main">
            <a:ext uri="{FF2B5EF4-FFF2-40B4-BE49-F238E27FC236}">
              <a16:creationId xmlns:a16="http://schemas.microsoft.com/office/drawing/2014/main" id="{08102275-6B81-EF20-BB53-1FF15C78061C}"/>
            </a:ext>
          </a:extLst>
        </cdr:cNvPr>
        <cdr:cNvSpPr txBox="1"/>
      </cdr:nvSpPr>
      <cdr:spPr>
        <a:xfrm xmlns:a="http://schemas.openxmlformats.org/drawingml/2006/main">
          <a:off x="663260" y="390905"/>
          <a:ext cx="2038114" cy="198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Extreme</a:t>
          </a:r>
          <a:r>
            <a:rPr lang="en-US" altLang="zh-CN" sz="7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case : engine not working</a:t>
          </a:r>
          <a:endParaRPr lang="zh-CN" altLang="en-US" sz="700" kern="1200">
            <a:solidFill>
              <a:srgbClr val="DC143C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0.23334</cdr:x>
      <cdr:y>0.06328</cdr:y>
    </cdr:from>
    <cdr:to>
      <cdr:x>0.23577</cdr:x>
      <cdr:y>0.15876</cdr:y>
    </cdr:to>
    <cdr:cxnSp macro="">
      <cdr:nvCxnSpPr>
        <cdr:cNvPr id="6" name="直接箭头连接符 5">
          <a:extLst xmlns:a="http://schemas.openxmlformats.org/drawingml/2006/main">
            <a:ext uri="{FF2B5EF4-FFF2-40B4-BE49-F238E27FC236}">
              <a16:creationId xmlns:a16="http://schemas.microsoft.com/office/drawing/2014/main" id="{6B3DE42B-2B69-0579-1C5D-16B73130062F}"/>
            </a:ext>
          </a:extLst>
        </cdr:cNvPr>
        <cdr:cNvCxnSpPr/>
      </cdr:nvCxnSpPr>
      <cdr:spPr>
        <a:xfrm xmlns:a="http://schemas.openxmlformats.org/drawingml/2006/main" flipH="1" flipV="1">
          <a:off x="842818" y="159646"/>
          <a:ext cx="8759" cy="24086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DC143C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292906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C6256E-D8D4-4D9B-A22F-102CED89C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2987" y="447711"/>
          <a:ext cx="3744619" cy="224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925FEB-8D81-44A7-807C-C233FEF86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5700" y="540154"/>
          <a:ext cx="4093004" cy="246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364465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931DB8-520E-4972-8F2D-1A8E1BCEA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1997" y="2525766"/>
          <a:ext cx="5379318" cy="1534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321C1-0688-40CE-8C21-FEC441B3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749" y="3087689"/>
          <a:ext cx="4627476" cy="57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180974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645E0E-07B9-4D76-AB94-135EEE2AE6EF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90250" y="14382750"/>
          <a:ext cx="3089274" cy="274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7" name="Group 12">
          <a:extLst>
            <a:ext uri="{FF2B5EF4-FFF2-40B4-BE49-F238E27FC236}">
              <a16:creationId xmlns:a16="http://schemas.microsoft.com/office/drawing/2014/main" id="{F1C8AF3D-4C0A-4C88-93B6-AFD6994BB423}"/>
            </a:ext>
          </a:extLst>
        </xdr:cNvPr>
        <xdr:cNvGrpSpPr/>
      </xdr:nvGrpSpPr>
      <xdr:grpSpPr>
        <a:xfrm>
          <a:off x="2571441" y="548143"/>
          <a:ext cx="7761523" cy="3192153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BE47AE8-BA9F-5796-C7DF-951831530299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10" name="Group 33">
              <a:extLst>
                <a:ext uri="{FF2B5EF4-FFF2-40B4-BE49-F238E27FC236}">
                  <a16:creationId xmlns:a16="http://schemas.microsoft.com/office/drawing/2014/main" id="{AEB31990-CFDB-39B0-421A-2CD09736BFF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12" name="Picture 6">
                <a:extLst>
                  <a:ext uri="{FF2B5EF4-FFF2-40B4-BE49-F238E27FC236}">
                    <a16:creationId xmlns:a16="http://schemas.microsoft.com/office/drawing/2014/main" id="{30F2CD5D-F6A9-9CF9-55D6-86A600BD059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13" name="Straight Arrow Connector 8">
                <a:extLst>
                  <a:ext uri="{FF2B5EF4-FFF2-40B4-BE49-F238E27FC236}">
                    <a16:creationId xmlns:a16="http://schemas.microsoft.com/office/drawing/2014/main" id="{1A04A029-BE1C-5D54-B6F1-14978FA14233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4" name="Straight Arrow Connector 9">
                <a:extLst>
                  <a:ext uri="{FF2B5EF4-FFF2-40B4-BE49-F238E27FC236}">
                    <a16:creationId xmlns:a16="http://schemas.microsoft.com/office/drawing/2014/main" id="{EC8385CC-371B-A3D6-E3D4-5D46C6D9CE8B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Arrow Connector 10">
                <a:extLst>
                  <a:ext uri="{FF2B5EF4-FFF2-40B4-BE49-F238E27FC236}">
                    <a16:creationId xmlns:a16="http://schemas.microsoft.com/office/drawing/2014/main" id="{ECDA624A-61DB-83CD-47C5-5CF5A93CD91C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4A4EBA06-A84F-AEBE-E9A8-5B4FF12EF204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C59B7A2E-CB4C-72E5-9A6D-FB394AF3F1A1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Straight Connector 19">
                <a:extLst>
                  <a:ext uri="{FF2B5EF4-FFF2-40B4-BE49-F238E27FC236}">
                    <a16:creationId xmlns:a16="http://schemas.microsoft.com/office/drawing/2014/main" id="{F461010F-F571-2473-BDE9-F7DC34AEFDE7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Connector 20">
                <a:extLst>
                  <a:ext uri="{FF2B5EF4-FFF2-40B4-BE49-F238E27FC236}">
                    <a16:creationId xmlns:a16="http://schemas.microsoft.com/office/drawing/2014/main" id="{3092866B-2EF2-6C60-F9AF-8E650E05DFD7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21">
                <a:extLst>
                  <a:ext uri="{FF2B5EF4-FFF2-40B4-BE49-F238E27FC236}">
                    <a16:creationId xmlns:a16="http://schemas.microsoft.com/office/drawing/2014/main" id="{416C5757-30CA-CA82-2EFE-02450AD7F168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2">
                <a:extLst>
                  <a:ext uri="{FF2B5EF4-FFF2-40B4-BE49-F238E27FC236}">
                    <a16:creationId xmlns:a16="http://schemas.microsoft.com/office/drawing/2014/main" id="{61264EB9-7E86-26E6-D778-086C623223CC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Arrow Connector 23">
                <a:extLst>
                  <a:ext uri="{FF2B5EF4-FFF2-40B4-BE49-F238E27FC236}">
                    <a16:creationId xmlns:a16="http://schemas.microsoft.com/office/drawing/2014/main" id="{8F8ACD71-A829-EBE8-4100-652F48394E44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" name="TextBox 25">
                <a:extLst>
                  <a:ext uri="{FF2B5EF4-FFF2-40B4-BE49-F238E27FC236}">
                    <a16:creationId xmlns:a16="http://schemas.microsoft.com/office/drawing/2014/main" id="{5AFCFBEC-22CA-2CD8-81FC-29890A30213C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24" name="TextBox 30">
                <a:extLst>
                  <a:ext uri="{FF2B5EF4-FFF2-40B4-BE49-F238E27FC236}">
                    <a16:creationId xmlns:a16="http://schemas.microsoft.com/office/drawing/2014/main" id="{D729EF39-46D9-A21B-F541-895F1EBC0F15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25" name="TextBox 32">
                <a:extLst>
                  <a:ext uri="{FF2B5EF4-FFF2-40B4-BE49-F238E27FC236}">
                    <a16:creationId xmlns:a16="http://schemas.microsoft.com/office/drawing/2014/main" id="{213FD8E0-3022-F612-7C82-95D0C2806601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26" name="TextBox 37">
                <a:extLst>
                  <a:ext uri="{FF2B5EF4-FFF2-40B4-BE49-F238E27FC236}">
                    <a16:creationId xmlns:a16="http://schemas.microsoft.com/office/drawing/2014/main" id="{41A2BDC0-5C68-4192-E1C0-41356555FDA8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27" name="Straight Arrow Connector 38">
                <a:extLst>
                  <a:ext uri="{FF2B5EF4-FFF2-40B4-BE49-F238E27FC236}">
                    <a16:creationId xmlns:a16="http://schemas.microsoft.com/office/drawing/2014/main" id="{54AE4E68-EA16-7164-2633-4133F9371A1E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Connector 40">
                <a:extLst>
                  <a:ext uri="{FF2B5EF4-FFF2-40B4-BE49-F238E27FC236}">
                    <a16:creationId xmlns:a16="http://schemas.microsoft.com/office/drawing/2014/main" id="{1146198C-A3C1-8879-0E74-79356A8C3186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Straight Arrow Connector 26">
                <a:extLst>
                  <a:ext uri="{FF2B5EF4-FFF2-40B4-BE49-F238E27FC236}">
                    <a16:creationId xmlns:a16="http://schemas.microsoft.com/office/drawing/2014/main" id="{7AC25D9D-DE4B-C8FF-6AEC-4B9385D8DFDB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Straight Arrow Connector 27">
                <a:extLst>
                  <a:ext uri="{FF2B5EF4-FFF2-40B4-BE49-F238E27FC236}">
                    <a16:creationId xmlns:a16="http://schemas.microsoft.com/office/drawing/2014/main" id="{AF8C2F09-8A3A-BBD4-9698-ED8DCA28BF8C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" name="TextBox 29">
                <a:extLst>
                  <a:ext uri="{FF2B5EF4-FFF2-40B4-BE49-F238E27FC236}">
                    <a16:creationId xmlns:a16="http://schemas.microsoft.com/office/drawing/2014/main" id="{63C37350-7182-F030-45C9-D193997AD388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8607FF1-2BF3-B403-BE5A-28E2C531CEAB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5">
                <a:extLst>
                  <a:ext uri="{FF2B5EF4-FFF2-40B4-BE49-F238E27FC236}">
                    <a16:creationId xmlns:a16="http://schemas.microsoft.com/office/drawing/2014/main" id="{D71E27D2-3384-5228-7129-1F521A65C702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4" name="TextBox 36">
                <a:extLst>
                  <a:ext uri="{FF2B5EF4-FFF2-40B4-BE49-F238E27FC236}">
                    <a16:creationId xmlns:a16="http://schemas.microsoft.com/office/drawing/2014/main" id="{0D68A8BD-8312-4C2A-E767-047D2B4641E8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35" name="TextBox 39">
                <a:extLst>
                  <a:ext uri="{FF2B5EF4-FFF2-40B4-BE49-F238E27FC236}">
                    <a16:creationId xmlns:a16="http://schemas.microsoft.com/office/drawing/2014/main" id="{DAE879F7-1003-6AAC-E40E-6A985C51C83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41">
                <a:extLst>
                  <a:ext uri="{FF2B5EF4-FFF2-40B4-BE49-F238E27FC236}">
                    <a16:creationId xmlns:a16="http://schemas.microsoft.com/office/drawing/2014/main" id="{7E19DBE7-DBDD-C6B2-8E69-85206D68F13C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11" name="Flowchart: Summing Junction 34">
              <a:extLst>
                <a:ext uri="{FF2B5EF4-FFF2-40B4-BE49-F238E27FC236}">
                  <a16:creationId xmlns:a16="http://schemas.microsoft.com/office/drawing/2014/main" id="{46E7FC7B-CCB3-69FF-6613-17178BC09FB9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9" name="Circular Arrow 11">
            <a:extLst>
              <a:ext uri="{FF2B5EF4-FFF2-40B4-BE49-F238E27FC236}">
                <a16:creationId xmlns:a16="http://schemas.microsoft.com/office/drawing/2014/main" id="{FF0E4310-0B9A-6C8F-5972-6F2ABE1A4193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347696</xdr:colOff>
      <xdr:row>62</xdr:row>
      <xdr:rowOff>146193</xdr:rowOff>
    </xdr:from>
    <xdr:to>
      <xdr:col>24</xdr:col>
      <xdr:colOff>35682</xdr:colOff>
      <xdr:row>84</xdr:row>
      <xdr:rowOff>188080</xdr:rowOff>
    </xdr:to>
    <xdr:graphicFrame macro="">
      <xdr:nvGraphicFramePr>
        <xdr:cNvPr id="37" name="Chart 42">
          <a:extLst>
            <a:ext uri="{FF2B5EF4-FFF2-40B4-BE49-F238E27FC236}">
              <a16:creationId xmlns:a16="http://schemas.microsoft.com/office/drawing/2014/main" id="{611A1D1A-857A-43B1-A53F-F4A95D5BD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262589</xdr:colOff>
      <xdr:row>37</xdr:row>
      <xdr:rowOff>20733</xdr:rowOff>
    </xdr:from>
    <xdr:to>
      <xdr:col>23</xdr:col>
      <xdr:colOff>653766</xdr:colOff>
      <xdr:row>54</xdr:row>
      <xdr:rowOff>66688</xdr:rowOff>
    </xdr:to>
    <xdr:graphicFrame macro="">
      <xdr:nvGraphicFramePr>
        <xdr:cNvPr id="38" name="Chart 43">
          <a:extLst>
            <a:ext uri="{FF2B5EF4-FFF2-40B4-BE49-F238E27FC236}">
              <a16:creationId xmlns:a16="http://schemas.microsoft.com/office/drawing/2014/main" id="{72558C83-1B1C-44F9-9E8A-CE6C49770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39" name="TextBox 13">
          <a:extLst>
            <a:ext uri="{FF2B5EF4-FFF2-40B4-BE49-F238E27FC236}">
              <a16:creationId xmlns:a16="http://schemas.microsoft.com/office/drawing/2014/main" id="{B378EE13-1DA4-4115-9B5F-96065F6E6E87}"/>
            </a:ext>
          </a:extLst>
        </xdr:cNvPr>
        <xdr:cNvSpPr txBox="1"/>
      </xdr:nvSpPr>
      <xdr:spPr>
        <a:xfrm>
          <a:off x="14072994" y="91356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40" name="Picture 14">
          <a:extLst>
            <a:ext uri="{FF2B5EF4-FFF2-40B4-BE49-F238E27FC236}">
              <a16:creationId xmlns:a16="http://schemas.microsoft.com/office/drawing/2014/main" id="{91F3E99A-9D5A-4C57-B24A-0A506388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955800" cy="354949"/>
        </a:xfrm>
        <a:prstGeom prst="rect">
          <a:avLst/>
        </a:prstGeom>
      </xdr:spPr>
    </xdr:pic>
    <xdr:clientData/>
  </xdr:twoCellAnchor>
  <xdr:twoCellAnchor>
    <xdr:from>
      <xdr:col>15</xdr:col>
      <xdr:colOff>391101</xdr:colOff>
      <xdr:row>87</xdr:row>
      <xdr:rowOff>95869</xdr:rowOff>
    </xdr:from>
    <xdr:to>
      <xdr:col>24</xdr:col>
      <xdr:colOff>182378</xdr:colOff>
      <xdr:row>109</xdr:row>
      <xdr:rowOff>143528</xdr:rowOff>
    </xdr:to>
    <xdr:graphicFrame macro="">
      <xdr:nvGraphicFramePr>
        <xdr:cNvPr id="41" name="Chart 42">
          <a:extLst>
            <a:ext uri="{FF2B5EF4-FFF2-40B4-BE49-F238E27FC236}">
              <a16:creationId xmlns:a16="http://schemas.microsoft.com/office/drawing/2014/main" id="{A6C4B68C-83E3-4C4A-970B-1A507B83E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37</xdr:row>
      <xdr:rowOff>0</xdr:rowOff>
    </xdr:from>
    <xdr:to>
      <xdr:col>36</xdr:col>
      <xdr:colOff>239867</xdr:colOff>
      <xdr:row>50</xdr:row>
      <xdr:rowOff>131561</xdr:rowOff>
    </xdr:to>
    <xdr:graphicFrame macro="">
      <xdr:nvGraphicFramePr>
        <xdr:cNvPr id="42" name="Chart 45">
          <a:extLst>
            <a:ext uri="{FF2B5EF4-FFF2-40B4-BE49-F238E27FC236}">
              <a16:creationId xmlns:a16="http://schemas.microsoft.com/office/drawing/2014/main" id="{6965E891-15BA-4FAE-BF3F-74BDF9296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0.24533</cdr:x>
      <cdr:y>0.77918</cdr:y>
    </cdr:from>
    <cdr:to>
      <cdr:x>0.54508</cdr:x>
      <cdr:y>0.87279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884498" y="1967827"/>
              <a:ext cx="1080709" cy="236413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</m:t>
                        </m:r>
                        <m:r>
                          <m:rPr>
                            <m:sty m:val="p"/>
                          </m:rP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in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=−1682433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884498" y="1967827"/>
              <a:ext cx="1080709" cy="236413"/>
            </a:xfrm>
            <a:prstGeom xmlns:a="http://schemas.openxmlformats.org/drawingml/2006/main" prst="rect">
              <a:avLst/>
            </a:prstGeom>
            <a:noFill xmlns:a="http://schemas.openxmlformats.org/drawingml/2006/main"/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𝑇_𝑚in=−1682433𝑁𝑚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0.53164</cdr:x>
      <cdr:y>0.04829</cdr:y>
    </cdr:from>
    <cdr:to>
      <cdr:x>0.72493</cdr:x>
      <cdr:y>0.16636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919346" y="122886"/>
              <a:ext cx="697825" cy="30043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=27495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1919346" y="122886"/>
              <a:ext cx="697825" cy="30043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𝑇_𝑚𝑎𝑥=27495𝑁𝑚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0.78179</cdr:x>
      <cdr:y>0.49754</cdr:y>
    </cdr:from>
    <cdr:to>
      <cdr:x>0.94091</cdr:x>
      <cdr:y>0.56675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18640" y="1256543"/>
              <a:ext cx="573686" cy="17479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18640" y="1256543"/>
              <a:ext cx="573686" cy="174790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0.37014</cdr:x>
      <cdr:y>0.30789</cdr:y>
    </cdr:from>
    <cdr:to>
      <cdr:x>0.93408</cdr:x>
      <cdr:y>0.38535</cdr:y>
    </cdr:to>
    <cdr:sp macro="" textlink="">
      <cdr:nvSpPr>
        <cdr:cNvPr id="5" name="文本框 1">
          <a:extLst xmlns:a="http://schemas.openxmlformats.org/drawingml/2006/main">
            <a:ext uri="{FF2B5EF4-FFF2-40B4-BE49-F238E27FC236}">
              <a16:creationId xmlns:a16="http://schemas.microsoft.com/office/drawing/2014/main" id="{21300D2F-B717-867A-23F2-11E800C89756}"/>
            </a:ext>
          </a:extLst>
        </cdr:cNvPr>
        <cdr:cNvSpPr txBox="1"/>
      </cdr:nvSpPr>
      <cdr:spPr>
        <a:xfrm xmlns:a="http://schemas.openxmlformats.org/drawingml/2006/main">
          <a:off x="1336286" y="783442"/>
          <a:ext cx="2035988" cy="1970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Inner engine</a:t>
          </a:r>
          <a:r>
            <a:rPr lang="en-US" altLang="zh-CN" sz="7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70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Cold Stream Cascade Reverser operates</a:t>
          </a:r>
          <a:r>
            <a:rPr lang="en-US" altLang="zh-CN" sz="700" kern="1200" baseline="0">
              <a:solidFill>
                <a:srgbClr val="DC143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zh-CN" altLang="en-US" sz="700" kern="1200">
            <a:solidFill>
              <a:srgbClr val="DC143C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0.31633</cdr:x>
      <cdr:y>0.26935</cdr:y>
    </cdr:from>
    <cdr:to>
      <cdr:x>0.38695</cdr:x>
      <cdr:y>0.33785</cdr:y>
    </cdr:to>
    <cdr:cxnSp macro="">
      <cdr:nvCxnSpPr>
        <cdr:cNvPr id="7" name="直接箭头连接符 6">
          <a:extLst xmlns:a="http://schemas.openxmlformats.org/drawingml/2006/main">
            <a:ext uri="{FF2B5EF4-FFF2-40B4-BE49-F238E27FC236}">
              <a16:creationId xmlns:a16="http://schemas.microsoft.com/office/drawing/2014/main" id="{3EA27D89-BA90-9A2D-4522-243EFC2C08B8}"/>
            </a:ext>
          </a:extLst>
        </cdr:cNvPr>
        <cdr:cNvCxnSpPr/>
      </cdr:nvCxnSpPr>
      <cdr:spPr>
        <a:xfrm xmlns:a="http://schemas.openxmlformats.org/drawingml/2006/main" flipH="1" flipV="1">
          <a:off x="1142035" y="685378"/>
          <a:ext cx="254965" cy="174314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DC143C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607930</xdr:colOff>
      <xdr:row>69</xdr:row>
      <xdr:rowOff>66084</xdr:rowOff>
    </xdr:from>
    <xdr:to>
      <xdr:col>25</xdr:col>
      <xdr:colOff>254818</xdr:colOff>
      <xdr:row>83</xdr:row>
      <xdr:rowOff>142285</xdr:rowOff>
    </xdr:to>
    <xdr:graphicFrame macro="">
      <xdr:nvGraphicFramePr>
        <xdr:cNvPr id="33" name="Chart 3">
          <a:extLst>
            <a:ext uri="{FF2B5EF4-FFF2-40B4-BE49-F238E27FC236}">
              <a16:creationId xmlns:a16="http://schemas.microsoft.com/office/drawing/2014/main" id="{2F01930B-63C6-4B9A-8183-0F9B9A926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598405</xdr:colOff>
      <xdr:row>51</xdr:row>
      <xdr:rowOff>0</xdr:rowOff>
    </xdr:from>
    <xdr:to>
      <xdr:col>25</xdr:col>
      <xdr:colOff>264343</xdr:colOff>
      <xdr:row>68</xdr:row>
      <xdr:rowOff>184509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F3A00F-0CD4-4E45-BB22-65603CC90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607930</xdr:colOff>
      <xdr:row>84</xdr:row>
      <xdr:rowOff>18165</xdr:rowOff>
    </xdr:from>
    <xdr:to>
      <xdr:col>25</xdr:col>
      <xdr:colOff>254818</xdr:colOff>
      <xdr:row>98</xdr:row>
      <xdr:rowOff>153282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7D41AE-7C86-49D2-8160-B30FAC5DC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244307</xdr:colOff>
      <xdr:row>1</xdr:row>
      <xdr:rowOff>224967</xdr:rowOff>
    </xdr:from>
    <xdr:to>
      <xdr:col>16</xdr:col>
      <xdr:colOff>380312</xdr:colOff>
      <xdr:row>18</xdr:row>
      <xdr:rowOff>157114</xdr:rowOff>
    </xdr:to>
    <xdr:grpSp>
      <xdr:nvGrpSpPr>
        <xdr:cNvPr id="143" name="Group 7">
          <a:extLst>
            <a:ext uri="{FF2B5EF4-FFF2-40B4-BE49-F238E27FC236}">
              <a16:creationId xmlns:a16="http://schemas.microsoft.com/office/drawing/2014/main" id="{9E026AFA-7350-25A2-01ED-8EC82EAED408}"/>
            </a:ext>
          </a:extLst>
        </xdr:cNvPr>
        <xdr:cNvGrpSpPr/>
      </xdr:nvGrpSpPr>
      <xdr:grpSpPr>
        <a:xfrm>
          <a:off x="2890140" y="684284"/>
          <a:ext cx="10931005" cy="3081747"/>
          <a:chOff x="5222839" y="755224"/>
          <a:chExt cx="9474433" cy="3143319"/>
        </a:xfrm>
      </xdr:grpSpPr>
      <xdr:pic>
        <xdr:nvPicPr>
          <xdr:cNvPr id="144" name="Picture 6">
            <a:extLst>
              <a:ext uri="{FF2B5EF4-FFF2-40B4-BE49-F238E27FC236}">
                <a16:creationId xmlns:a16="http://schemas.microsoft.com/office/drawing/2014/main" id="{174381B0-905E-476D-AD59-B90E55CCE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45" name="Arrow: Down 11">
            <a:extLst>
              <a:ext uri="{FF2B5EF4-FFF2-40B4-BE49-F238E27FC236}">
                <a16:creationId xmlns:a16="http://schemas.microsoft.com/office/drawing/2014/main" id="{7FD55551-7106-4D7A-AE83-69846737B03B}"/>
              </a:ext>
            </a:extLst>
          </xdr:cNvPr>
          <xdr:cNvSpPr/>
        </xdr:nvSpPr>
        <xdr:spPr>
          <a:xfrm rot="10800000">
            <a:off x="8628858" y="1235791"/>
            <a:ext cx="326572" cy="1248585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endParaRPr lang="en-GB" sz="1100"/>
          </a:p>
        </xdr:txBody>
      </xdr:sp>
      <xdr:sp macro="" textlink="">
        <xdr:nvSpPr>
          <xdr:cNvPr id="146" name="Arrow: Down 12">
            <a:extLst>
              <a:ext uri="{FF2B5EF4-FFF2-40B4-BE49-F238E27FC236}">
                <a16:creationId xmlns:a16="http://schemas.microsoft.com/office/drawing/2014/main" id="{AC3BCCC9-D312-44F0-AF75-EA2278525835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7" name="Arrow: Down 13">
            <a:extLst>
              <a:ext uri="{FF2B5EF4-FFF2-40B4-BE49-F238E27FC236}">
                <a16:creationId xmlns:a16="http://schemas.microsoft.com/office/drawing/2014/main" id="{B3688152-654D-4637-8143-D6B9617826B3}"/>
              </a:ext>
            </a:extLst>
          </xdr:cNvPr>
          <xdr:cNvSpPr/>
        </xdr:nvSpPr>
        <xdr:spPr>
          <a:xfrm rot="10800000">
            <a:off x="12874264" y="1319024"/>
            <a:ext cx="173385" cy="701230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8" name="TextBox 14">
            <a:extLst>
              <a:ext uri="{FF2B5EF4-FFF2-40B4-BE49-F238E27FC236}">
                <a16:creationId xmlns:a16="http://schemas.microsoft.com/office/drawing/2014/main" id="{09F31822-4D18-4536-A649-906DF7224D30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R_F</a:t>
            </a:r>
          </a:p>
        </xdr:txBody>
      </xdr:sp>
      <xdr:sp macro="" textlink="">
        <xdr:nvSpPr>
          <xdr:cNvPr id="149" name="TextBox 15">
            <a:extLst>
              <a:ext uri="{FF2B5EF4-FFF2-40B4-BE49-F238E27FC236}">
                <a16:creationId xmlns:a16="http://schemas.microsoft.com/office/drawing/2014/main" id="{29D6A295-5A3E-4642-9838-E22FCD7D0D48}"/>
              </a:ext>
            </a:extLst>
          </xdr:cNvPr>
          <xdr:cNvSpPr txBox="1"/>
        </xdr:nvSpPr>
        <xdr:spPr>
          <a:xfrm>
            <a:off x="8871819" y="777093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  <xdr:sp macro="" textlink="">
        <xdr:nvSpPr>
          <xdr:cNvPr id="150" name="TextBox 17">
            <a:extLst>
              <a:ext uri="{FF2B5EF4-FFF2-40B4-BE49-F238E27FC236}">
                <a16:creationId xmlns:a16="http://schemas.microsoft.com/office/drawing/2014/main" id="{948931EF-5999-4CAB-B4FE-3BCED85C26F5}"/>
              </a:ext>
            </a:extLst>
          </xdr:cNvPr>
          <xdr:cNvSpPr txBox="1"/>
        </xdr:nvSpPr>
        <xdr:spPr>
          <a:xfrm>
            <a:off x="11862682" y="1208652"/>
            <a:ext cx="1000700" cy="4944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800"/>
              <a:t>Tail load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39277</xdr:colOff>
      <xdr:row>35</xdr:row>
      <xdr:rowOff>157113</xdr:rowOff>
    </xdr:from>
    <xdr:to>
      <xdr:col>13</xdr:col>
      <xdr:colOff>417728</xdr:colOff>
      <xdr:row>37</xdr:row>
      <xdr:rowOff>186127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5917B3-F536-3C9E-D6A6-29DC285F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6700" y="7158479"/>
          <a:ext cx="7870796" cy="402158"/>
        </a:xfrm>
        <a:prstGeom prst="rect">
          <a:avLst/>
        </a:prstGeom>
      </xdr:spPr>
    </xdr:pic>
    <xdr:clientData/>
  </xdr:twoCellAnchor>
  <xdr:twoCellAnchor editAs="oneCell">
    <xdr:from>
      <xdr:col>2</xdr:col>
      <xdr:colOff>55151</xdr:colOff>
      <xdr:row>32</xdr:row>
      <xdr:rowOff>187749</xdr:rowOff>
    </xdr:from>
    <xdr:to>
      <xdr:col>17</xdr:col>
      <xdr:colOff>49694</xdr:colOff>
      <xdr:row>35</xdr:row>
      <xdr:rowOff>10997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9C590-6586-E30B-FBA0-90F21EC2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2901" y="6712374"/>
          <a:ext cx="9995793" cy="442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1681023</xdr:colOff>
      <xdr:row>0</xdr:row>
      <xdr:rowOff>349251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F8D8C5-E34A-A472-D1D9-BEAF09A0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1681023" cy="3492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79</xdr:row>
      <xdr:rowOff>193964</xdr:rowOff>
    </xdr:from>
    <xdr:to>
      <xdr:col>25</xdr:col>
      <xdr:colOff>160193</xdr:colOff>
      <xdr:row>94</xdr:row>
      <xdr:rowOff>75333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6A38D-60CF-439F-AE9B-2C6B1EE73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62</xdr:row>
      <xdr:rowOff>21648</xdr:rowOff>
    </xdr:from>
    <xdr:to>
      <xdr:col>25</xdr:col>
      <xdr:colOff>169718</xdr:colOff>
      <xdr:row>79</xdr:row>
      <xdr:rowOff>131619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929648-3B15-40FB-BBD2-990A4FCD6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6927</xdr:colOff>
      <xdr:row>94</xdr:row>
      <xdr:rowOff>112567</xdr:rowOff>
    </xdr:from>
    <xdr:to>
      <xdr:col>25</xdr:col>
      <xdr:colOff>138545</xdr:colOff>
      <xdr:row>109</xdr:row>
      <xdr:rowOff>37233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0A65D5-DE58-4E5A-AEFB-90E2FBB7D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358983</xdr:colOff>
      <xdr:row>98</xdr:row>
      <xdr:rowOff>173181</xdr:rowOff>
    </xdr:from>
    <xdr:to>
      <xdr:col>27</xdr:col>
      <xdr:colOff>511383</xdr:colOff>
      <xdr:row>102</xdr:row>
      <xdr:rowOff>115455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6FB5D5-BD5E-452F-A122-9045B4034734}"/>
            </a:ext>
          </a:extLst>
        </xdr:cNvPr>
        <xdr:cNvSpPr txBox="1"/>
      </xdr:nvSpPr>
      <xdr:spPr>
        <a:xfrm>
          <a:off x="17792619" y="19151022"/>
          <a:ext cx="1364673" cy="6927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1</xdr:col>
      <xdr:colOff>230276</xdr:colOff>
      <xdr:row>1</xdr:row>
      <xdr:rowOff>177940</xdr:rowOff>
    </xdr:from>
    <xdr:to>
      <xdr:col>15</xdr:col>
      <xdr:colOff>370165</xdr:colOff>
      <xdr:row>18</xdr:row>
      <xdr:rowOff>75665</xdr:rowOff>
    </xdr:to>
    <xdr:grpSp>
      <xdr:nvGrpSpPr>
        <xdr:cNvPr id="9" name="Group 7">
          <a:extLst>
            <a:ext uri="{FF2B5EF4-FFF2-40B4-BE49-F238E27FC236}">
              <a16:creationId xmlns:a16="http://schemas.microsoft.com/office/drawing/2014/main" id="{0986FAF5-FB92-43EB-B6EE-3F3DB2120B87}"/>
            </a:ext>
          </a:extLst>
        </xdr:cNvPr>
        <xdr:cNvGrpSpPr/>
      </xdr:nvGrpSpPr>
      <xdr:grpSpPr>
        <a:xfrm>
          <a:off x="2203009" y="660540"/>
          <a:ext cx="11087289" cy="3115058"/>
          <a:chOff x="5222839" y="755224"/>
          <a:chExt cx="9474433" cy="3143319"/>
        </a:xfrm>
      </xdr:grpSpPr>
      <xdr:pic>
        <xdr:nvPicPr>
          <xdr:cNvPr id="10" name="Picture 6">
            <a:extLst>
              <a:ext uri="{FF2B5EF4-FFF2-40B4-BE49-F238E27FC236}">
                <a16:creationId xmlns:a16="http://schemas.microsoft.com/office/drawing/2014/main" id="{AE98FB34-0FFB-127F-577C-38A2AEB3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1">
            <a:extLst>
              <a:ext uri="{FF2B5EF4-FFF2-40B4-BE49-F238E27FC236}">
                <a16:creationId xmlns:a16="http://schemas.microsoft.com/office/drawing/2014/main" id="{AB2A2FFB-D847-8CB3-B4ED-51E84DE624B7}"/>
              </a:ext>
            </a:extLst>
          </xdr:cNvPr>
          <xdr:cNvSpPr/>
        </xdr:nvSpPr>
        <xdr:spPr>
          <a:xfrm rot="10800000">
            <a:off x="8664953" y="1256102"/>
            <a:ext cx="326572" cy="1183629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Arrow: Down 12">
            <a:extLst>
              <a:ext uri="{FF2B5EF4-FFF2-40B4-BE49-F238E27FC236}">
                <a16:creationId xmlns:a16="http://schemas.microsoft.com/office/drawing/2014/main" id="{5C670971-C7FA-1F5F-BE1B-D1B6EDD8F271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4">
            <a:extLst>
              <a:ext uri="{FF2B5EF4-FFF2-40B4-BE49-F238E27FC236}">
                <a16:creationId xmlns:a16="http://schemas.microsoft.com/office/drawing/2014/main" id="{2554D340-C33D-BE6B-1998-AD4E0F31E176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F</a:t>
            </a:r>
            <a:endParaRPr lang="en-GB" sz="1800"/>
          </a:p>
        </xdr:txBody>
      </xdr:sp>
      <xdr:sp macro="" textlink="">
        <xdr:nvSpPr>
          <xdr:cNvPr id="15" name="TextBox 15">
            <a:extLst>
              <a:ext uri="{FF2B5EF4-FFF2-40B4-BE49-F238E27FC236}">
                <a16:creationId xmlns:a16="http://schemas.microsoft.com/office/drawing/2014/main" id="{C6B63394-BFC1-93A7-3A0F-10AC68D7D14A}"/>
              </a:ext>
            </a:extLst>
          </xdr:cNvPr>
          <xdr:cNvSpPr txBox="1"/>
        </xdr:nvSpPr>
        <xdr:spPr>
          <a:xfrm>
            <a:off x="8920904" y="762570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41869</xdr:colOff>
      <xdr:row>46</xdr:row>
      <xdr:rowOff>167472</xdr:rowOff>
    </xdr:from>
    <xdr:to>
      <xdr:col>13</xdr:col>
      <xdr:colOff>343517</xdr:colOff>
      <xdr:row>49</xdr:row>
      <xdr:rowOff>27055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3F4BE-9A4E-7885-3F05-3947994B9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5083" y="9305192"/>
          <a:ext cx="7858846" cy="424803"/>
        </a:xfrm>
        <a:prstGeom prst="rect">
          <a:avLst/>
        </a:prstGeom>
      </xdr:spPr>
    </xdr:pic>
    <xdr:clientData/>
  </xdr:twoCellAnchor>
  <xdr:twoCellAnchor editAs="oneCell">
    <xdr:from>
      <xdr:col>2</xdr:col>
      <xdr:colOff>31402</xdr:colOff>
      <xdr:row>44</xdr:row>
      <xdr:rowOff>41867</xdr:rowOff>
    </xdr:from>
    <xdr:to>
      <xdr:col>15</xdr:col>
      <xdr:colOff>496741</xdr:colOff>
      <xdr:row>46</xdr:row>
      <xdr:rowOff>15765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CCF2F-4492-406F-1434-0D0A556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4616" y="8802774"/>
          <a:ext cx="9341383" cy="3977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1701801</xdr:colOff>
      <xdr:row>0</xdr:row>
      <xdr:rowOff>353567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40A5DA-4B50-D129-FDBD-D4A4DE1E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0"/>
          <a:ext cx="1701800" cy="35356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28576</xdr:colOff>
      <xdr:row>79</xdr:row>
      <xdr:rowOff>117125</xdr:rowOff>
    </xdr:from>
    <xdr:to>
      <xdr:col>26</xdr:col>
      <xdr:colOff>249638</xdr:colOff>
      <xdr:row>94</xdr:row>
      <xdr:rowOff>4918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DA2DB-A303-48D8-884B-A5483777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60</xdr:row>
      <xdr:rowOff>230856</xdr:rowOff>
    </xdr:from>
    <xdr:to>
      <xdr:col>26</xdr:col>
      <xdr:colOff>269747</xdr:colOff>
      <xdr:row>79</xdr:row>
      <xdr:rowOff>98657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72A43-82C4-40A9-9064-7B9A1053E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28576</xdr:colOff>
      <xdr:row>94</xdr:row>
      <xdr:rowOff>26691</xdr:rowOff>
    </xdr:from>
    <xdr:to>
      <xdr:col>26</xdr:col>
      <xdr:colOff>249638</xdr:colOff>
      <xdr:row>108</xdr:row>
      <xdr:rowOff>176160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C72F2-D2BF-4439-BBC2-936012A26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126662</xdr:colOff>
      <xdr:row>67</xdr:row>
      <xdr:rowOff>117010</xdr:rowOff>
    </xdr:from>
    <xdr:to>
      <xdr:col>18</xdr:col>
      <xdr:colOff>455275</xdr:colOff>
      <xdr:row>70</xdr:row>
      <xdr:rowOff>42902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EC68A-7B43-44CC-B866-91739619DFBE}"/>
            </a:ext>
          </a:extLst>
        </xdr:cNvPr>
        <xdr:cNvSpPr txBox="1"/>
      </xdr:nvSpPr>
      <xdr:spPr>
        <a:xfrm>
          <a:off x="12927843" y="13284537"/>
          <a:ext cx="1668394" cy="491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3</xdr:col>
      <xdr:colOff>437372</xdr:colOff>
      <xdr:row>56</xdr:row>
      <xdr:rowOff>128296</xdr:rowOff>
    </xdr:from>
    <xdr:to>
      <xdr:col>5</xdr:col>
      <xdr:colOff>305773</xdr:colOff>
      <xdr:row>59</xdr:row>
      <xdr:rowOff>19439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797F72B-870A-445B-B126-2AF98A01BEC2}"/>
            </a:ext>
          </a:extLst>
        </xdr:cNvPr>
        <xdr:cNvSpPr txBox="1"/>
      </xdr:nvSpPr>
      <xdr:spPr>
        <a:xfrm>
          <a:off x="3712806" y="11431944"/>
          <a:ext cx="1637329" cy="4743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Tail load change</a:t>
          </a:r>
          <a:r>
            <a:rPr lang="en-GB" sz="1100" baseline="0">
              <a:solidFill>
                <a:srgbClr val="FF0000"/>
              </a:solidFill>
            </a:rPr>
            <a:t> landing load factor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211426</xdr:colOff>
      <xdr:row>1</xdr:row>
      <xdr:rowOff>130811</xdr:rowOff>
    </xdr:from>
    <xdr:to>
      <xdr:col>15</xdr:col>
      <xdr:colOff>368308</xdr:colOff>
      <xdr:row>20</xdr:row>
      <xdr:rowOff>42710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D55EB5-4D9D-4CD9-BCBF-AFCA08D3460C}"/>
            </a:ext>
          </a:extLst>
        </xdr:cNvPr>
        <xdr:cNvGrpSpPr/>
      </xdr:nvGrpSpPr>
      <xdr:grpSpPr>
        <a:xfrm>
          <a:off x="2178377" y="626421"/>
          <a:ext cx="12144443" cy="3489582"/>
          <a:chOff x="5222839" y="755224"/>
          <a:chExt cx="9474433" cy="3143319"/>
        </a:xfrm>
      </xdr:grpSpPr>
      <xdr:pic>
        <xdr:nvPicPr>
          <xdr:cNvPr id="9" name="Picture 6">
            <a:extLst>
              <a:ext uri="{FF2B5EF4-FFF2-40B4-BE49-F238E27FC236}">
                <a16:creationId xmlns:a16="http://schemas.microsoft.com/office/drawing/2014/main" id="{474C83B4-FA43-78DF-F61A-4714896E4F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2">
            <a:extLst>
              <a:ext uri="{FF2B5EF4-FFF2-40B4-BE49-F238E27FC236}">
                <a16:creationId xmlns:a16="http://schemas.microsoft.com/office/drawing/2014/main" id="{935F808B-3EC9-1935-EC2D-B3FEEC2A0E93}"/>
              </a:ext>
            </a:extLst>
          </xdr:cNvPr>
          <xdr:cNvSpPr/>
        </xdr:nvSpPr>
        <xdr:spPr>
          <a:xfrm rot="10800000">
            <a:off x="8368733" y="1794371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22912112-DB99-A2E6-C215-8E6C24747BC9}"/>
              </a:ext>
            </a:extLst>
          </xdr:cNvPr>
          <xdr:cNvSpPr txBox="1"/>
        </xdr:nvSpPr>
        <xdr:spPr>
          <a:xfrm>
            <a:off x="7947361" y="1470471"/>
            <a:ext cx="696516" cy="632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Gear load</a:t>
            </a:r>
          </a:p>
        </xdr:txBody>
      </xdr:sp>
    </xdr:grpSp>
    <xdr:clientData/>
  </xdr:twoCellAnchor>
  <xdr:twoCellAnchor>
    <xdr:from>
      <xdr:col>12</xdr:col>
      <xdr:colOff>711759</xdr:colOff>
      <xdr:row>5</xdr:row>
      <xdr:rowOff>115138</xdr:rowOff>
    </xdr:from>
    <xdr:to>
      <xdr:col>13</xdr:col>
      <xdr:colOff>123386</xdr:colOff>
      <xdr:row>9</xdr:row>
      <xdr:rowOff>64895</xdr:rowOff>
    </xdr:to>
    <xdr:sp macro="" textlink="">
      <xdr:nvSpPr>
        <xdr:cNvPr id="5" name="Arrow: Down 13">
          <a:extLst>
            <a:ext uri="{FF2B5EF4-FFF2-40B4-BE49-F238E27FC236}">
              <a16:creationId xmlns:a16="http://schemas.microsoft.com/office/drawing/2014/main" id="{728CDCA3-7BDE-4A05-97E7-BC32F92BA873}"/>
            </a:ext>
          </a:extLst>
        </xdr:cNvPr>
        <xdr:cNvSpPr/>
      </xdr:nvSpPr>
      <xdr:spPr>
        <a:xfrm rot="10800000">
          <a:off x="10624039" y="1413050"/>
          <a:ext cx="175721" cy="703383"/>
        </a:xfrm>
        <a:prstGeom prst="downArrow">
          <a:avLst>
            <a:gd name="adj1" fmla="val 50000"/>
            <a:gd name="adj2" fmla="val 12666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62803</xdr:colOff>
      <xdr:row>2</xdr:row>
      <xdr:rowOff>136071</xdr:rowOff>
    </xdr:from>
    <xdr:to>
      <xdr:col>13</xdr:col>
      <xdr:colOff>312892</xdr:colOff>
      <xdr:row>5</xdr:row>
      <xdr:rowOff>66770</xdr:rowOff>
    </xdr:to>
    <xdr:sp macro="" textlink="">
      <xdr:nvSpPr>
        <xdr:cNvPr id="10" name="TextBox 17">
          <a:extLst>
            <a:ext uri="{FF2B5EF4-FFF2-40B4-BE49-F238E27FC236}">
              <a16:creationId xmlns:a16="http://schemas.microsoft.com/office/drawing/2014/main" id="{F7AD44B5-282D-4FE4-9523-E40DCEB36F7D}"/>
            </a:ext>
          </a:extLst>
        </xdr:cNvPr>
        <xdr:cNvSpPr txBox="1"/>
      </xdr:nvSpPr>
      <xdr:spPr>
        <a:xfrm>
          <a:off x="9975083" y="868763"/>
          <a:ext cx="1014183" cy="4959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Tail load</a:t>
          </a:r>
          <a:endParaRPr lang="en-GB" sz="1800"/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1709615</xdr:colOff>
      <xdr:row>0</xdr:row>
      <xdr:rowOff>355191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068161-A0F3-9D67-5A56-26EF816B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1709615" cy="35519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30T01:09:26.67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2T11:39:17.15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theme/theme1.xml><?xml version="1.0" encoding="utf-8"?>
<a:theme xmlns:a="http://schemas.openxmlformats.org/drawingml/2006/main" name="Our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3.nd.edu/~ame40431/AME20211_2021/Other/AbbottDoenhoff_TheoryOfWingSectionsIncludingASummaryOfAirfoilData.pdf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zenithair.net/zenith-ch650-specs/" TargetMode="External"/><Relationship Id="rId1" Type="http://schemas.openxmlformats.org/officeDocument/2006/relationships/hyperlink" Target="https://zenithair.net/zenith-ch650-specs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asa.europa.eu/en/document-library/certification-specifications/cs-lsa-initial-issue" TargetMode="External"/><Relationship Id="rId4" Type="http://schemas.openxmlformats.org/officeDocument/2006/relationships/hyperlink" Target="https://cdn.standards.iteh.ai/samples/76060/e8b799935a9846fb934cdec8eabb01f5/ASTM-F2245-10c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"/>
  <sheetViews>
    <sheetView view="pageBreakPreview" topLeftCell="A7" zoomScale="85" zoomScaleNormal="110" zoomScaleSheetLayoutView="85" workbookViewId="0">
      <selection activeCell="D20" sqref="D20"/>
    </sheetView>
  </sheetViews>
  <sheetFormatPr defaultColWidth="8.83203125" defaultRowHeight="14.5"/>
  <cols>
    <col min="1" max="1" width="30.6640625" style="187" customWidth="1"/>
    <col min="2" max="3" width="8.83203125" style="185"/>
    <col min="4" max="4" width="18.83203125" style="185" bestFit="1" customWidth="1"/>
    <col min="5" max="16384" width="8.83203125" style="185"/>
  </cols>
  <sheetData>
    <row r="1" spans="1:26" s="188" customFormat="1" ht="39" customHeight="1">
      <c r="A1" s="182"/>
      <c r="B1" s="231" t="s">
        <v>288</v>
      </c>
      <c r="C1" s="232"/>
      <c r="D1" s="232"/>
      <c r="E1" s="233" t="s">
        <v>9</v>
      </c>
      <c r="F1" s="234"/>
      <c r="G1" s="235" t="s">
        <v>289</v>
      </c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</row>
    <row r="2" spans="1:26" ht="15" customHeight="1">
      <c r="A2" s="183"/>
      <c r="B2" s="184"/>
      <c r="C2" s="184"/>
      <c r="D2" s="184"/>
      <c r="E2" s="184"/>
      <c r="F2" s="184"/>
      <c r="G2" s="184"/>
      <c r="I2" s="186"/>
    </row>
    <row r="5" spans="1:26" ht="26">
      <c r="L5" s="184"/>
    </row>
    <row r="14" spans="1:26" s="189" customFormat="1">
      <c r="A14" s="199"/>
    </row>
    <row r="15" spans="1:26">
      <c r="C15" s="190" t="s">
        <v>290</v>
      </c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</row>
    <row r="16" spans="1:26">
      <c r="C16" s="191" t="s">
        <v>291</v>
      </c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</row>
    <row r="17" spans="1:25"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</row>
    <row r="18" spans="1:25">
      <c r="C18" s="192" t="s">
        <v>292</v>
      </c>
      <c r="D18" s="192" t="s">
        <v>293</v>
      </c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</row>
    <row r="19" spans="1:25">
      <c r="C19" s="193">
        <v>1</v>
      </c>
      <c r="D19" s="195" t="s">
        <v>278</v>
      </c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</row>
    <row r="20" spans="1:25">
      <c r="C20" s="193">
        <v>2</v>
      </c>
      <c r="D20" s="195" t="s">
        <v>294</v>
      </c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</row>
    <row r="21" spans="1:25">
      <c r="C21" s="193">
        <v>3</v>
      </c>
      <c r="D21" s="195" t="s">
        <v>64</v>
      </c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</row>
    <row r="22" spans="1:25">
      <c r="C22" s="193">
        <v>4</v>
      </c>
      <c r="D22" s="195" t="s">
        <v>97</v>
      </c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</row>
    <row r="23" spans="1:25">
      <c r="C23" s="193">
        <v>5</v>
      </c>
      <c r="D23" s="195" t="s">
        <v>115</v>
      </c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</row>
    <row r="24" spans="1:25">
      <c r="C24" s="194">
        <v>6</v>
      </c>
      <c r="D24" s="196" t="s">
        <v>224</v>
      </c>
    </row>
    <row r="25" spans="1:25">
      <c r="C25" s="194">
        <v>7</v>
      </c>
      <c r="D25" s="196" t="s">
        <v>242</v>
      </c>
    </row>
    <row r="26" spans="1:25">
      <c r="C26" s="194">
        <v>8</v>
      </c>
      <c r="D26" s="196" t="s">
        <v>251</v>
      </c>
    </row>
    <row r="27" spans="1:25" s="197" customFormat="1">
      <c r="A27" s="198"/>
    </row>
  </sheetData>
  <mergeCells count="3">
    <mergeCell ref="B1:D1"/>
    <mergeCell ref="E1:F1"/>
    <mergeCell ref="G1:Z1"/>
  </mergeCells>
  <phoneticPr fontId="3" type="noConversion"/>
  <hyperlinks>
    <hyperlink ref="D19" location="'Wing layout'!A1" display="Wing Layout" xr:uid="{A0F5B795-7590-1E48-AA56-9AC375E09903}"/>
    <hyperlink ref="D20" location="' n-V diagram'!A1" display="n-V Diagram" xr:uid="{C83E4FCD-F634-B94B-BB79-87D32123D896}"/>
    <hyperlink ref="D21" location="'Wing inertia load'!A1" display="Wing Inertia Load" xr:uid="{7A576F75-F862-8647-8D3C-3E41BB799AE0}"/>
    <hyperlink ref="D22" location="'Wing aero load'!A1" display="Wing Aero Load" xr:uid="{DE84D9E1-36C6-2146-9863-B0F7D10C94E9}"/>
    <hyperlink ref="D23" location="'Wing Torque'!A1" display="Wing Torque" xr:uid="{02C2CB99-F41F-4A4A-A528-1784CB280CB4}"/>
    <hyperlink ref="D24" location="'Fuselage Air Load'!A1" display="Fuselage Air Load" xr:uid="{8F5C1B8F-9365-AC40-A43C-621B0FBD38AF}"/>
    <hyperlink ref="D25" location="'Fuselage Inertial Load'!A1" display="Fuselage Inertial Load" xr:uid="{1AB48C86-B4D2-8A4C-A233-8A8605101B92}"/>
    <hyperlink ref="D26" location="'Fuselage Gear Load'!A1" display="Fuselage Gear Load" xr:uid="{83AC5FE2-2AC0-8942-AFB9-1FBC3A57E01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8"/>
  <sheetViews>
    <sheetView zoomScale="73" zoomScaleNormal="46" workbookViewId="0">
      <pane xSplit="1" topLeftCell="B1" activePane="topRight" state="frozen"/>
      <selection pane="topRight" activeCell="Q23" sqref="Q23"/>
    </sheetView>
  </sheetViews>
  <sheetFormatPr defaultColWidth="8.83203125" defaultRowHeight="14"/>
  <cols>
    <col min="1" max="1" width="30.83203125" style="165" customWidth="1"/>
    <col min="3" max="3" width="17.33203125" bestFit="1" customWidth="1"/>
    <col min="14" max="14" width="23.83203125" customWidth="1"/>
  </cols>
  <sheetData>
    <row r="1" spans="1:42" s="166" customFormat="1" ht="39" customHeight="1">
      <c r="A1" s="59"/>
      <c r="B1" s="239" t="s">
        <v>278</v>
      </c>
      <c r="C1" s="240"/>
      <c r="D1" s="240"/>
      <c r="E1" s="240"/>
      <c r="F1" s="241" t="s">
        <v>9</v>
      </c>
      <c r="G1" s="242"/>
      <c r="H1" s="243" t="s">
        <v>281</v>
      </c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3" spans="1:42">
      <c r="A3" s="171" t="s">
        <v>279</v>
      </c>
      <c r="C3" s="245" t="s">
        <v>283</v>
      </c>
      <c r="D3" s="246"/>
      <c r="E3" s="247"/>
    </row>
    <row r="4" spans="1:42">
      <c r="A4" s="167" t="s">
        <v>282</v>
      </c>
      <c r="C4" s="169" t="s">
        <v>117</v>
      </c>
      <c r="D4" s="169" t="s">
        <v>18</v>
      </c>
      <c r="E4" s="169" t="s">
        <v>280</v>
      </c>
      <c r="F4" s="175"/>
    </row>
    <row r="5" spans="1:42">
      <c r="C5" s="153" t="s">
        <v>0</v>
      </c>
      <c r="D5" s="168">
        <v>3.56</v>
      </c>
      <c r="E5" s="153" t="s">
        <v>1</v>
      </c>
    </row>
    <row r="6" spans="1:42">
      <c r="C6" s="153" t="s">
        <v>2</v>
      </c>
      <c r="D6" s="168">
        <v>30</v>
      </c>
      <c r="E6" s="153" t="s">
        <v>3</v>
      </c>
    </row>
    <row r="7" spans="1:42">
      <c r="C7" s="153" t="s">
        <v>4</v>
      </c>
      <c r="D7" s="168">
        <v>1.1200000000000001</v>
      </c>
      <c r="E7" s="153" t="s">
        <v>1</v>
      </c>
    </row>
    <row r="8" spans="1:42">
      <c r="C8" s="153" t="s">
        <v>5</v>
      </c>
      <c r="D8" s="168">
        <v>46</v>
      </c>
      <c r="E8" s="153" t="s">
        <v>6</v>
      </c>
    </row>
    <row r="9" spans="1:42">
      <c r="C9" s="173" t="s">
        <v>7</v>
      </c>
      <c r="D9" s="174">
        <v>2</v>
      </c>
      <c r="E9" s="173" t="s">
        <v>1</v>
      </c>
      <c r="S9" s="2"/>
    </row>
    <row r="10" spans="1:42">
      <c r="C10" s="153" t="s">
        <v>286</v>
      </c>
      <c r="D10" s="178" t="s">
        <v>287</v>
      </c>
      <c r="E10" s="178"/>
    </row>
    <row r="12" spans="1:42">
      <c r="A12" s="18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170"/>
      <c r="AL12" s="170"/>
      <c r="AM12" s="170"/>
      <c r="AN12" s="170"/>
      <c r="AO12" s="170"/>
      <c r="AP12" s="170"/>
    </row>
    <row r="13" spans="1:42" ht="15" customHeight="1">
      <c r="A13" s="171" t="s">
        <v>234</v>
      </c>
    </row>
    <row r="14" spans="1:42">
      <c r="A14" s="248" t="s">
        <v>284</v>
      </c>
    </row>
    <row r="15" spans="1:42">
      <c r="A15" s="249"/>
    </row>
    <row r="30" spans="1:42" s="172" customFormat="1">
      <c r="A30" s="165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>
      <c r="A31" s="181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</row>
    <row r="33" spans="1:1" ht="15" customHeight="1">
      <c r="A33" s="171" t="s">
        <v>269</v>
      </c>
    </row>
    <row r="34" spans="1:1">
      <c r="A34" s="237" t="s">
        <v>285</v>
      </c>
    </row>
    <row r="35" spans="1:1">
      <c r="A35" s="238"/>
    </row>
    <row r="36" spans="1:1">
      <c r="A36" s="238"/>
    </row>
    <row r="37" spans="1:1">
      <c r="A37" s="238"/>
    </row>
    <row r="38" spans="1:1">
      <c r="A38" s="238"/>
    </row>
    <row r="39" spans="1:1">
      <c r="A39" s="238"/>
    </row>
    <row r="67" spans="1:1">
      <c r="A67" s="181"/>
    </row>
    <row r="68" spans="1:1" s="179" customFormat="1">
      <c r="A68" s="165"/>
    </row>
  </sheetData>
  <mergeCells count="6">
    <mergeCell ref="A34:A39"/>
    <mergeCell ref="B1:E1"/>
    <mergeCell ref="F1:G1"/>
    <mergeCell ref="H1:Z1"/>
    <mergeCell ref="C3:E3"/>
    <mergeCell ref="A14:A15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3"/>
  <sheetViews>
    <sheetView zoomScale="70" zoomScaleNormal="7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L32" sqref="L32"/>
    </sheetView>
  </sheetViews>
  <sheetFormatPr defaultColWidth="8.83203125" defaultRowHeight="14.5"/>
  <cols>
    <col min="1" max="1" width="30.83203125" style="23" customWidth="1"/>
    <col min="2" max="2" width="8.83203125" style="4"/>
    <col min="3" max="3" width="13.83203125" style="4" customWidth="1"/>
    <col min="4" max="4" width="10.6640625" style="4" bestFit="1" customWidth="1"/>
    <col min="5" max="5" width="12.83203125" style="4" bestFit="1" customWidth="1"/>
    <col min="6" max="6" width="12.1640625" style="4" bestFit="1" customWidth="1"/>
    <col min="7" max="7" width="12.83203125" style="4" bestFit="1" customWidth="1"/>
    <col min="8" max="8" width="9.83203125" style="4" bestFit="1" customWidth="1"/>
    <col min="9" max="9" width="15" style="4" bestFit="1" customWidth="1"/>
    <col min="10" max="10" width="11.1640625" style="4" bestFit="1" customWidth="1"/>
    <col min="11" max="11" width="10.6640625" style="4" bestFit="1" customWidth="1"/>
    <col min="12" max="12" width="8.6640625" style="4" customWidth="1"/>
    <col min="13" max="13" width="16.1640625" style="4" bestFit="1" customWidth="1"/>
    <col min="14" max="14" width="11.1640625" style="4" bestFit="1" customWidth="1"/>
    <col min="15" max="15" width="10.6640625" style="4" bestFit="1" customWidth="1"/>
    <col min="16" max="19" width="8.83203125" style="4"/>
    <col min="20" max="20" width="11.33203125" style="4" bestFit="1" customWidth="1"/>
    <col min="21" max="16384" width="8.83203125" style="4"/>
  </cols>
  <sheetData>
    <row r="1" spans="1:31" s="30" customFormat="1" ht="39" customHeight="1">
      <c r="A1" s="59"/>
      <c r="B1" s="252" t="s">
        <v>8</v>
      </c>
      <c r="C1" s="252"/>
      <c r="D1" s="252"/>
      <c r="E1" s="253"/>
      <c r="F1" s="254" t="s">
        <v>9</v>
      </c>
      <c r="G1" s="255"/>
      <c r="H1" s="267" t="s">
        <v>10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31" ht="18.5">
      <c r="A2" s="156" t="s">
        <v>225</v>
      </c>
    </row>
    <row r="3" spans="1:31" ht="19" customHeight="1">
      <c r="A3" s="250" t="s">
        <v>11</v>
      </c>
      <c r="C3" s="261" t="s">
        <v>12</v>
      </c>
      <c r="D3" s="262"/>
      <c r="F3" s="261" t="s">
        <v>13</v>
      </c>
      <c r="G3" s="264"/>
      <c r="H3" s="262"/>
      <c r="I3" s="16" t="s">
        <v>14</v>
      </c>
      <c r="K3" s="261" t="s">
        <v>15</v>
      </c>
      <c r="L3" s="264"/>
      <c r="M3" s="262"/>
      <c r="N3" s="16" t="s">
        <v>14</v>
      </c>
      <c r="P3" s="261" t="s">
        <v>16</v>
      </c>
      <c r="Q3" s="262"/>
      <c r="R3" s="16" t="s">
        <v>14</v>
      </c>
      <c r="T3" s="261" t="s">
        <v>309</v>
      </c>
      <c r="U3" s="264"/>
      <c r="V3" s="262"/>
    </row>
    <row r="4" spans="1:31" ht="19" customHeight="1">
      <c r="A4" s="250"/>
      <c r="C4" s="12" t="s">
        <v>17</v>
      </c>
      <c r="D4" s="12" t="s">
        <v>18</v>
      </c>
      <c r="F4" s="12" t="s">
        <v>17</v>
      </c>
      <c r="G4" s="12" t="s">
        <v>18</v>
      </c>
      <c r="H4" s="12" t="s">
        <v>19</v>
      </c>
      <c r="K4" s="12" t="s">
        <v>17</v>
      </c>
      <c r="L4" s="12" t="s">
        <v>18</v>
      </c>
      <c r="M4" s="12" t="s">
        <v>19</v>
      </c>
      <c r="P4" s="12" t="s">
        <v>17</v>
      </c>
      <c r="Q4" s="12" t="s">
        <v>18</v>
      </c>
      <c r="T4" s="12" t="s">
        <v>17</v>
      </c>
      <c r="U4" s="12" t="s">
        <v>18</v>
      </c>
      <c r="V4" s="12" t="s">
        <v>19</v>
      </c>
      <c r="W4" s="268" t="s">
        <v>310</v>
      </c>
      <c r="X4" s="268"/>
      <c r="Y4" s="268"/>
      <c r="Z4" s="268"/>
      <c r="AA4" s="268"/>
      <c r="AB4" s="268"/>
      <c r="AC4" s="268"/>
      <c r="AD4" s="268"/>
      <c r="AE4" s="268"/>
    </row>
    <row r="5" spans="1:31" ht="19" customHeight="1">
      <c r="A5" s="250"/>
      <c r="C5" s="6" t="s">
        <v>20</v>
      </c>
      <c r="D5" s="15">
        <v>3.75</v>
      </c>
      <c r="F5" s="5" t="s">
        <v>21</v>
      </c>
      <c r="G5" s="14">
        <v>548.70000000000005</v>
      </c>
      <c r="H5" s="5" t="s">
        <v>22</v>
      </c>
      <c r="K5" s="5" t="s">
        <v>23</v>
      </c>
      <c r="L5" s="17">
        <f>62.5826*3.6</f>
        <v>225.29736</v>
      </c>
      <c r="M5" s="5" t="s">
        <v>24</v>
      </c>
      <c r="P5" s="5" t="s">
        <v>25</v>
      </c>
      <c r="Q5" s="18">
        <v>0.52</v>
      </c>
      <c r="T5" s="5" t="s">
        <v>59</v>
      </c>
      <c r="U5" s="19">
        <f>147.5083 * 3.6</f>
        <v>531.02987999999993</v>
      </c>
      <c r="V5" s="5" t="s">
        <v>24</v>
      </c>
      <c r="W5" s="268" t="s">
        <v>311</v>
      </c>
      <c r="X5" s="268"/>
      <c r="Y5" s="268"/>
      <c r="Z5" s="268"/>
      <c r="AA5" s="268"/>
      <c r="AB5" s="268"/>
      <c r="AC5" s="268"/>
      <c r="AD5" s="268"/>
      <c r="AE5" s="268"/>
    </row>
    <row r="6" spans="1:31" ht="19" customHeight="1">
      <c r="A6" s="250"/>
      <c r="C6" s="6" t="s">
        <v>26</v>
      </c>
      <c r="D6" s="15">
        <v>-1.5</v>
      </c>
      <c r="F6" s="5" t="s">
        <v>27</v>
      </c>
      <c r="G6" s="14">
        <v>65</v>
      </c>
      <c r="H6" s="5" t="s">
        <v>1</v>
      </c>
      <c r="K6" s="5" t="s">
        <v>28</v>
      </c>
      <c r="L6" s="17">
        <f>93.2924 * 3.6</f>
        <v>335.85264000000001</v>
      </c>
      <c r="M6" s="5" t="s">
        <v>24</v>
      </c>
      <c r="P6" s="5" t="s">
        <v>29</v>
      </c>
      <c r="Q6" s="18">
        <v>4.4359000000000002</v>
      </c>
      <c r="T6" s="5" t="s">
        <v>300</v>
      </c>
      <c r="U6" s="19">
        <f>113.509 * 3.6</f>
        <v>408.63240000000002</v>
      </c>
      <c r="V6" s="5" t="s">
        <v>24</v>
      </c>
      <c r="W6" s="268" t="s">
        <v>312</v>
      </c>
      <c r="X6" s="268"/>
      <c r="Y6" s="268"/>
      <c r="Z6" s="268"/>
      <c r="AA6" s="268"/>
      <c r="AB6" s="268"/>
      <c r="AC6" s="268"/>
      <c r="AD6" s="268"/>
      <c r="AE6" s="268"/>
    </row>
    <row r="7" spans="1:31">
      <c r="A7" s="250"/>
      <c r="F7" s="5" t="s">
        <v>30</v>
      </c>
      <c r="G7" s="42">
        <f>G5/G6</f>
        <v>8.4415384615384621</v>
      </c>
      <c r="H7" s="5" t="s">
        <v>1</v>
      </c>
      <c r="K7" s="5" t="s">
        <v>33</v>
      </c>
      <c r="L7" s="17">
        <f>161.0222*3.6</f>
        <v>579.67992000000004</v>
      </c>
      <c r="M7" s="5" t="s">
        <v>24</v>
      </c>
      <c r="P7" s="5" t="s">
        <v>31</v>
      </c>
      <c r="Q7" s="18">
        <v>1.4413</v>
      </c>
      <c r="T7" s="5" t="s">
        <v>307</v>
      </c>
      <c r="U7" s="19">
        <f>180.7*3.6</f>
        <v>650.52</v>
      </c>
      <c r="V7" s="5" t="s">
        <v>24</v>
      </c>
      <c r="W7" s="268" t="s">
        <v>313</v>
      </c>
      <c r="X7" s="268"/>
      <c r="Y7" s="268"/>
      <c r="Z7" s="268"/>
      <c r="AA7" s="268"/>
      <c r="AB7" s="268"/>
      <c r="AC7" s="268"/>
      <c r="AD7" s="268"/>
      <c r="AE7" s="268"/>
    </row>
    <row r="8" spans="1:31">
      <c r="A8" s="250"/>
      <c r="F8" s="5" t="s">
        <v>32</v>
      </c>
      <c r="G8" s="14">
        <v>429900</v>
      </c>
      <c r="H8" s="5" t="s">
        <v>3</v>
      </c>
      <c r="K8" s="5" t="s">
        <v>37</v>
      </c>
      <c r="L8" s="17">
        <f>161.02*3.6</f>
        <v>579.67200000000003</v>
      </c>
      <c r="M8" s="5" t="s">
        <v>24</v>
      </c>
      <c r="P8" s="5" t="s">
        <v>34</v>
      </c>
      <c r="Q8" s="18">
        <v>-0.97460000000000002</v>
      </c>
      <c r="T8" s="5" t="s">
        <v>306</v>
      </c>
      <c r="U8" s="19">
        <f>139.003 * 3.6</f>
        <v>500.41079999999994</v>
      </c>
      <c r="V8" s="5" t="s">
        <v>24</v>
      </c>
      <c r="W8" s="268" t="s">
        <v>314</v>
      </c>
      <c r="X8" s="268"/>
      <c r="Y8" s="268"/>
      <c r="Z8" s="268"/>
      <c r="AA8" s="268"/>
      <c r="AB8" s="268"/>
      <c r="AC8" s="268"/>
      <c r="AD8" s="268"/>
      <c r="AE8" s="268"/>
    </row>
    <row r="9" spans="1:31">
      <c r="A9" s="250"/>
      <c r="F9" s="5" t="s">
        <v>35</v>
      </c>
      <c r="G9" s="41">
        <f>G8/G5</f>
        <v>783.48824494259156</v>
      </c>
      <c r="H9" s="5" t="s">
        <v>36</v>
      </c>
      <c r="P9" s="5" t="s">
        <v>38</v>
      </c>
      <c r="Q9" s="18">
        <v>0.13109999999999999</v>
      </c>
      <c r="T9" s="4" t="s">
        <v>317</v>
      </c>
    </row>
    <row r="10" spans="1:31">
      <c r="A10" s="250"/>
      <c r="P10" s="5" t="s">
        <v>39</v>
      </c>
      <c r="Q10" s="18">
        <v>-0.5</v>
      </c>
      <c r="T10" s="1" t="s">
        <v>315</v>
      </c>
      <c r="V10" s="1" t="s">
        <v>318</v>
      </c>
    </row>
    <row r="11" spans="1:31" s="21" customFormat="1">
      <c r="A11" s="23"/>
    </row>
    <row r="12" spans="1:31" s="20" customFormat="1" ht="18.5">
      <c r="A12" s="157" t="s">
        <v>234</v>
      </c>
    </row>
    <row r="13" spans="1:31" ht="18.5">
      <c r="A13" s="158" t="s">
        <v>41</v>
      </c>
      <c r="C13" s="256" t="s">
        <v>40</v>
      </c>
      <c r="D13" s="257"/>
      <c r="E13" s="257"/>
      <c r="F13" s="257"/>
      <c r="G13" s="257"/>
      <c r="I13" s="256" t="s">
        <v>303</v>
      </c>
      <c r="J13" s="257"/>
      <c r="K13" s="257"/>
      <c r="X13" s="4" t="s">
        <v>316</v>
      </c>
    </row>
    <row r="14" spans="1:31">
      <c r="C14" s="12" t="s">
        <v>42</v>
      </c>
      <c r="D14" s="12" t="s">
        <v>43</v>
      </c>
      <c r="E14" s="12" t="s">
        <v>44</v>
      </c>
      <c r="F14" s="12" t="s">
        <v>45</v>
      </c>
      <c r="G14" s="12" t="s">
        <v>46</v>
      </c>
      <c r="I14" s="13" t="s">
        <v>47</v>
      </c>
      <c r="J14" s="13" t="s">
        <v>48</v>
      </c>
      <c r="K14" s="13" t="s">
        <v>49</v>
      </c>
    </row>
    <row r="15" spans="1:31">
      <c r="C15" s="25">
        <v>0</v>
      </c>
      <c r="D15" s="25">
        <f t="shared" ref="D15:D37" si="0">C15*3.6</f>
        <v>0</v>
      </c>
      <c r="E15" s="25">
        <f t="shared" ref="E15:E37" si="1">0.5*1.225*C15^2</f>
        <v>0</v>
      </c>
      <c r="F15" s="25">
        <f t="shared" ref="F15:F35" si="2">E15*$G$5*$Q$7/$G$8/9.81</f>
        <v>0</v>
      </c>
      <c r="G15" s="25">
        <f t="shared" ref="G15:G30" si="3">E15*$G$5*$Q$8/$G$8/9.81</f>
        <v>0</v>
      </c>
      <c r="I15" s="7" t="s">
        <v>307</v>
      </c>
      <c r="J15" s="27">
        <f>SQRT((D5* 9.81* G9) / (0.5 * 1.225*Q7)) * 3.6</f>
        <v>650.48702898185968</v>
      </c>
      <c r="K15" s="5">
        <f>D5</f>
        <v>3.75</v>
      </c>
    </row>
    <row r="16" spans="1:31">
      <c r="C16" s="25">
        <v>10</v>
      </c>
      <c r="D16" s="25">
        <f t="shared" si="0"/>
        <v>36</v>
      </c>
      <c r="E16" s="25">
        <f t="shared" si="1"/>
        <v>61.250000000000007</v>
      </c>
      <c r="F16" s="25">
        <f t="shared" si="2"/>
        <v>1.1485740167509265E-2</v>
      </c>
      <c r="G16" s="25">
        <f t="shared" si="3"/>
        <v>-7.766601240029509E-3</v>
      </c>
      <c r="I16" s="7" t="s">
        <v>37</v>
      </c>
      <c r="J16" s="5">
        <f>L8</f>
        <v>579.67200000000003</v>
      </c>
      <c r="K16" s="5">
        <f>D5</f>
        <v>3.75</v>
      </c>
    </row>
    <row r="17" spans="1:11">
      <c r="C17" s="25">
        <v>21</v>
      </c>
      <c r="D17" s="25">
        <f t="shared" si="0"/>
        <v>75.600000000000009</v>
      </c>
      <c r="E17" s="25">
        <f t="shared" si="1"/>
        <v>270.11250000000001</v>
      </c>
      <c r="F17" s="25">
        <f t="shared" si="2"/>
        <v>5.0652114138715856E-2</v>
      </c>
      <c r="G17" s="25">
        <f t="shared" si="3"/>
        <v>-3.4250711468530121E-2</v>
      </c>
    </row>
    <row r="18" spans="1:11">
      <c r="C18" s="25">
        <v>22.8</v>
      </c>
      <c r="D18" s="25">
        <f t="shared" si="0"/>
        <v>82.08</v>
      </c>
      <c r="E18" s="25">
        <f t="shared" si="1"/>
        <v>318.40200000000004</v>
      </c>
      <c r="F18" s="25">
        <f t="shared" si="2"/>
        <v>5.9707471686780172E-2</v>
      </c>
      <c r="G18" s="25">
        <f t="shared" si="3"/>
        <v>-4.03738998861694E-2</v>
      </c>
    </row>
    <row r="19" spans="1:11">
      <c r="C19" s="25">
        <v>25</v>
      </c>
      <c r="D19" s="25">
        <f t="shared" si="0"/>
        <v>90</v>
      </c>
      <c r="E19" s="25">
        <f t="shared" si="1"/>
        <v>382.8125</v>
      </c>
      <c r="F19" s="25">
        <f t="shared" si="2"/>
        <v>7.17858760469329E-2</v>
      </c>
      <c r="G19" s="25">
        <f t="shared" si="3"/>
        <v>-4.8541257750184426E-2</v>
      </c>
      <c r="I19" s="256" t="s">
        <v>305</v>
      </c>
      <c r="J19" s="257"/>
      <c r="K19" s="257"/>
    </row>
    <row r="20" spans="1:11">
      <c r="C20" s="25">
        <v>27</v>
      </c>
      <c r="D20" s="25">
        <f t="shared" si="0"/>
        <v>97.2</v>
      </c>
      <c r="E20" s="25">
        <f t="shared" si="1"/>
        <v>446.51250000000005</v>
      </c>
      <c r="F20" s="25">
        <f t="shared" si="2"/>
        <v>8.3731045821142533E-2</v>
      </c>
      <c r="G20" s="25">
        <f t="shared" si="3"/>
        <v>-5.6618523039815113E-2</v>
      </c>
      <c r="I20" s="12" t="s">
        <v>47</v>
      </c>
      <c r="J20" s="12" t="s">
        <v>48</v>
      </c>
      <c r="K20" s="12" t="s">
        <v>49</v>
      </c>
    </row>
    <row r="21" spans="1:11">
      <c r="C21" s="25">
        <v>30</v>
      </c>
      <c r="D21" s="25">
        <f t="shared" si="0"/>
        <v>108</v>
      </c>
      <c r="E21" s="25">
        <f t="shared" si="1"/>
        <v>551.25</v>
      </c>
      <c r="F21" s="25">
        <f t="shared" si="2"/>
        <v>0.10337166150758337</v>
      </c>
      <c r="G21" s="25">
        <f t="shared" si="3"/>
        <v>-6.9899411160265559E-2</v>
      </c>
      <c r="I21" s="7" t="s">
        <v>306</v>
      </c>
      <c r="J21" s="26">
        <f>U8</f>
        <v>500.41079999999994</v>
      </c>
      <c r="K21" s="6">
        <f>D6</f>
        <v>-1.5</v>
      </c>
    </row>
    <row r="22" spans="1:11">
      <c r="C22" s="25">
        <v>35</v>
      </c>
      <c r="D22" s="25">
        <f t="shared" si="0"/>
        <v>126</v>
      </c>
      <c r="E22" s="25">
        <f t="shared" si="1"/>
        <v>750.3125</v>
      </c>
      <c r="F22" s="25">
        <f t="shared" si="2"/>
        <v>0.14070031705198849</v>
      </c>
      <c r="G22" s="25">
        <f t="shared" si="3"/>
        <v>-9.5140865190361468E-2</v>
      </c>
      <c r="I22" s="7" t="s">
        <v>37</v>
      </c>
      <c r="J22" s="6">
        <f>L8</f>
        <v>579.67200000000003</v>
      </c>
      <c r="K22" s="6">
        <f>D6</f>
        <v>-1.5</v>
      </c>
    </row>
    <row r="23" spans="1:11">
      <c r="A23" s="24"/>
      <c r="C23" s="25">
        <v>40</v>
      </c>
      <c r="D23" s="25">
        <f t="shared" si="0"/>
        <v>144</v>
      </c>
      <c r="E23" s="25">
        <f t="shared" si="1"/>
        <v>980.00000000000011</v>
      </c>
      <c r="F23" s="25">
        <f t="shared" si="2"/>
        <v>0.18377184268014823</v>
      </c>
      <c r="G23" s="25">
        <f t="shared" si="3"/>
        <v>-0.12426561984047214</v>
      </c>
    </row>
    <row r="24" spans="1:11">
      <c r="C24" s="25">
        <v>45</v>
      </c>
      <c r="D24" s="25">
        <f t="shared" si="0"/>
        <v>162</v>
      </c>
      <c r="E24" s="25">
        <f t="shared" si="1"/>
        <v>1240.3125</v>
      </c>
      <c r="F24" s="25">
        <f t="shared" si="2"/>
        <v>0.23258623839206258</v>
      </c>
      <c r="G24" s="25">
        <f t="shared" si="3"/>
        <v>-0.15727367511059748</v>
      </c>
    </row>
    <row r="25" spans="1:11">
      <c r="C25" s="25">
        <v>46</v>
      </c>
      <c r="D25" s="25">
        <f t="shared" si="0"/>
        <v>165.6</v>
      </c>
      <c r="E25" s="25">
        <f t="shared" si="1"/>
        <v>1296.0500000000002</v>
      </c>
      <c r="F25" s="25">
        <f t="shared" si="2"/>
        <v>0.24303826194449607</v>
      </c>
      <c r="G25" s="25">
        <f t="shared" si="3"/>
        <v>-0.16434128223902439</v>
      </c>
      <c r="I25" s="263" t="s">
        <v>50</v>
      </c>
      <c r="J25" s="265"/>
      <c r="K25" s="266"/>
    </row>
    <row r="26" spans="1:11">
      <c r="C26" s="25">
        <v>47</v>
      </c>
      <c r="D26" s="25">
        <f t="shared" si="0"/>
        <v>169.20000000000002</v>
      </c>
      <c r="E26" s="25">
        <f t="shared" si="1"/>
        <v>1353.0125</v>
      </c>
      <c r="F26" s="25">
        <f t="shared" si="2"/>
        <v>0.25372000030027964</v>
      </c>
      <c r="G26" s="25">
        <f t="shared" si="3"/>
        <v>-0.17156422139225183</v>
      </c>
      <c r="I26" s="12" t="s">
        <v>47</v>
      </c>
      <c r="J26" s="12" t="s">
        <v>48</v>
      </c>
      <c r="K26" s="12" t="s">
        <v>49</v>
      </c>
    </row>
    <row r="27" spans="1:11">
      <c r="C27" s="25">
        <v>48</v>
      </c>
      <c r="D27" s="25">
        <f t="shared" si="0"/>
        <v>172.8</v>
      </c>
      <c r="E27" s="25">
        <f t="shared" si="1"/>
        <v>1411.2</v>
      </c>
      <c r="F27" s="25">
        <f t="shared" si="2"/>
        <v>0.26463145345941347</v>
      </c>
      <c r="G27" s="25">
        <f t="shared" si="3"/>
        <v>-0.17894249257027986</v>
      </c>
      <c r="I27" s="7" t="s">
        <v>37</v>
      </c>
      <c r="J27" s="6">
        <f>L8</f>
        <v>579.67200000000003</v>
      </c>
      <c r="K27" s="6">
        <f>D5</f>
        <v>3.75</v>
      </c>
    </row>
    <row r="28" spans="1:11">
      <c r="C28" s="25">
        <v>49</v>
      </c>
      <c r="D28" s="25">
        <f t="shared" si="0"/>
        <v>176.4</v>
      </c>
      <c r="E28" s="25">
        <f t="shared" si="1"/>
        <v>1470.6125000000002</v>
      </c>
      <c r="F28" s="25">
        <f t="shared" si="2"/>
        <v>0.27577262142189746</v>
      </c>
      <c r="G28" s="25">
        <f t="shared" si="3"/>
        <v>-0.1864760957731085</v>
      </c>
      <c r="I28" s="7" t="s">
        <v>37</v>
      </c>
      <c r="J28" s="6">
        <f>L8</f>
        <v>579.67200000000003</v>
      </c>
      <c r="K28" s="6">
        <f>D6</f>
        <v>-1.5</v>
      </c>
    </row>
    <row r="29" spans="1:11">
      <c r="C29" s="25">
        <v>50</v>
      </c>
      <c r="D29" s="25">
        <f t="shared" si="0"/>
        <v>180</v>
      </c>
      <c r="E29" s="25">
        <f t="shared" si="1"/>
        <v>1531.25</v>
      </c>
      <c r="F29" s="25">
        <f t="shared" si="2"/>
        <v>0.2871435041877316</v>
      </c>
      <c r="G29" s="25">
        <f t="shared" si="3"/>
        <v>-0.1941650310007377</v>
      </c>
    </row>
    <row r="30" spans="1:11">
      <c r="C30" s="25">
        <f>J21/3.6</f>
        <v>139.00299999999999</v>
      </c>
      <c r="D30" s="25">
        <f t="shared" si="0"/>
        <v>500.41079999999994</v>
      </c>
      <c r="E30" s="25">
        <f t="shared" si="1"/>
        <v>11834.623330512497</v>
      </c>
      <c r="F30" s="25">
        <f t="shared" si="2"/>
        <v>2.2192556498711782</v>
      </c>
      <c r="G30" s="25">
        <f t="shared" si="3"/>
        <v>-1.5006497997394368</v>
      </c>
      <c r="I30" s="268" t="s">
        <v>304</v>
      </c>
      <c r="J30" s="268"/>
      <c r="K30" s="268"/>
    </row>
    <row r="31" spans="1:11">
      <c r="C31" s="25">
        <v>52</v>
      </c>
      <c r="D31" s="25">
        <f t="shared" si="0"/>
        <v>187.20000000000002</v>
      </c>
      <c r="E31" s="25">
        <f t="shared" si="1"/>
        <v>1656.2</v>
      </c>
      <c r="F31" s="25">
        <f t="shared" si="2"/>
        <v>0.31057441412945053</v>
      </c>
      <c r="G31" s="25"/>
      <c r="I31" s="13" t="s">
        <v>58</v>
      </c>
      <c r="J31" s="13" t="s">
        <v>301</v>
      </c>
      <c r="K31" s="13" t="s">
        <v>302</v>
      </c>
    </row>
    <row r="32" spans="1:11">
      <c r="C32" s="25">
        <v>53</v>
      </c>
      <c r="D32" s="25">
        <f t="shared" si="0"/>
        <v>190.8</v>
      </c>
      <c r="E32" s="25">
        <f t="shared" si="1"/>
        <v>1720.5125</v>
      </c>
      <c r="F32" s="25">
        <f t="shared" si="2"/>
        <v>0.32263444130533525</v>
      </c>
      <c r="G32" s="25"/>
      <c r="I32" s="7" t="s">
        <v>59</v>
      </c>
      <c r="J32" s="22">
        <f>F35/1.5</f>
        <v>2.5</v>
      </c>
      <c r="K32" s="27">
        <f>U5</f>
        <v>531.02987999999993</v>
      </c>
    </row>
    <row r="33" spans="1:11">
      <c r="C33" s="25">
        <v>54</v>
      </c>
      <c r="D33" s="25">
        <f t="shared" si="0"/>
        <v>194.4</v>
      </c>
      <c r="E33" s="25">
        <f t="shared" si="1"/>
        <v>1786.0500000000002</v>
      </c>
      <c r="F33" s="25">
        <f t="shared" si="2"/>
        <v>0.33492418328457013</v>
      </c>
      <c r="G33" s="25"/>
      <c r="I33" s="7" t="s">
        <v>37</v>
      </c>
      <c r="J33" s="22">
        <f>J32</f>
        <v>2.5</v>
      </c>
      <c r="K33" s="27">
        <f>L8</f>
        <v>579.67200000000003</v>
      </c>
    </row>
    <row r="34" spans="1:11">
      <c r="C34" s="25">
        <v>55</v>
      </c>
      <c r="D34" s="25">
        <f t="shared" si="0"/>
        <v>198</v>
      </c>
      <c r="E34" s="25">
        <f t="shared" si="1"/>
        <v>1852.8125000000002</v>
      </c>
      <c r="F34" s="25">
        <f t="shared" si="2"/>
        <v>0.34744364006715528</v>
      </c>
      <c r="G34" s="25"/>
      <c r="I34" s="219" t="s">
        <v>300</v>
      </c>
      <c r="J34" s="22">
        <f>G30/1.5</f>
        <v>-1.0004331998262912</v>
      </c>
      <c r="K34" s="27">
        <f>U6</f>
        <v>408.63240000000002</v>
      </c>
    </row>
    <row r="35" spans="1:11">
      <c r="C35" s="25">
        <f>J15/3.6</f>
        <v>180.69084138384991</v>
      </c>
      <c r="D35" s="25">
        <f t="shared" si="0"/>
        <v>650.48702898185968</v>
      </c>
      <c r="E35" s="25">
        <f t="shared" si="1"/>
        <v>19997.622848002211</v>
      </c>
      <c r="F35" s="25">
        <f t="shared" si="2"/>
        <v>3.75</v>
      </c>
      <c r="G35" s="25"/>
      <c r="I35" s="7" t="s">
        <v>37</v>
      </c>
      <c r="J35" s="22">
        <f>J34</f>
        <v>-1.0004331998262912</v>
      </c>
      <c r="K35" s="27">
        <f>L8</f>
        <v>579.67200000000003</v>
      </c>
    </row>
    <row r="36" spans="1:11">
      <c r="C36" s="25">
        <v>57</v>
      </c>
      <c r="D36" s="25">
        <f t="shared" si="0"/>
        <v>205.20000000000002</v>
      </c>
      <c r="E36" s="25">
        <f t="shared" si="1"/>
        <v>1990.0125</v>
      </c>
      <c r="F36" s="25"/>
      <c r="G36" s="25"/>
    </row>
    <row r="37" spans="1:11">
      <c r="C37" s="25">
        <v>58</v>
      </c>
      <c r="D37" s="25">
        <f t="shared" si="0"/>
        <v>208.8</v>
      </c>
      <c r="E37" s="25">
        <f t="shared" si="1"/>
        <v>2060.4500000000003</v>
      </c>
      <c r="F37" s="25"/>
      <c r="G37" s="25"/>
    </row>
    <row r="38" spans="1:11" s="21" customFormat="1">
      <c r="A38" s="58"/>
    </row>
    <row r="39" spans="1:11" ht="18.5">
      <c r="A39" s="154" t="s">
        <v>51</v>
      </c>
    </row>
    <row r="40" spans="1:11">
      <c r="A40" s="251" t="s">
        <v>308</v>
      </c>
      <c r="C40" s="258" t="s">
        <v>52</v>
      </c>
      <c r="D40" s="259"/>
      <c r="E40" s="259"/>
      <c r="F40" s="260"/>
      <c r="H40" s="263" t="s">
        <v>53</v>
      </c>
      <c r="I40" s="264"/>
      <c r="J40" s="264"/>
      <c r="K40" s="262"/>
    </row>
    <row r="41" spans="1:11">
      <c r="A41" s="251"/>
      <c r="C41" s="5" t="s">
        <v>54</v>
      </c>
      <c r="D41" s="5" t="s">
        <v>55</v>
      </c>
      <c r="E41" s="5" t="s">
        <v>56</v>
      </c>
      <c r="F41" s="5" t="s">
        <v>57</v>
      </c>
      <c r="H41" s="6" t="s">
        <v>58</v>
      </c>
      <c r="I41" s="6" t="s">
        <v>17</v>
      </c>
      <c r="J41" s="6" t="s">
        <v>18</v>
      </c>
      <c r="K41" s="6" t="s">
        <v>19</v>
      </c>
    </row>
    <row r="42" spans="1:11">
      <c r="A42" s="251"/>
      <c r="C42" s="5">
        <v>0</v>
      </c>
      <c r="D42" s="22">
        <f>C42/57.3</f>
        <v>0</v>
      </c>
      <c r="E42" s="22">
        <f t="shared" ref="E42:E50" si="4">$Q$5+$Q$6*D42</f>
        <v>0.52</v>
      </c>
      <c r="F42" s="22">
        <f t="shared" ref="F42:F50" si="5">$Q$9+$Q$10*D42</f>
        <v>0.13109999999999999</v>
      </c>
      <c r="H42" s="7" t="s">
        <v>307</v>
      </c>
      <c r="I42" s="8" t="s">
        <v>60</v>
      </c>
      <c r="J42" s="28">
        <f>(J44/57.3*Q10+Q9)*G5*G7*0.5*1.225*(U7/3.6)^2</f>
        <v>2558283.6878767484</v>
      </c>
      <c r="K42" s="9" t="s">
        <v>61</v>
      </c>
    </row>
    <row r="43" spans="1:11">
      <c r="A43" s="251"/>
      <c r="C43" s="5">
        <v>2</v>
      </c>
      <c r="D43" s="22">
        <f t="shared" ref="D43:D50" si="6">C43/57.3</f>
        <v>3.4904013961605584E-2</v>
      </c>
      <c r="E43" s="22">
        <f t="shared" si="4"/>
        <v>0.67483071553228624</v>
      </c>
      <c r="F43" s="22">
        <f t="shared" si="5"/>
        <v>0.1136479930191972</v>
      </c>
      <c r="H43" s="7" t="s">
        <v>307</v>
      </c>
      <c r="I43" s="3" t="s">
        <v>56</v>
      </c>
      <c r="J43" s="10">
        <f>Q7</f>
        <v>1.4413</v>
      </c>
      <c r="K43" s="7"/>
    </row>
    <row r="44" spans="1:11">
      <c r="A44" s="251"/>
      <c r="C44" s="5">
        <v>4</v>
      </c>
      <c r="D44" s="22">
        <f t="shared" si="6"/>
        <v>6.9808027923211169E-2</v>
      </c>
      <c r="E44" s="22">
        <f t="shared" si="4"/>
        <v>0.82966143106457246</v>
      </c>
      <c r="F44" s="22">
        <f t="shared" si="5"/>
        <v>9.619598603839441E-2</v>
      </c>
      <c r="H44" s="7" t="s">
        <v>307</v>
      </c>
      <c r="I44" s="8" t="s">
        <v>62</v>
      </c>
      <c r="J44" s="10">
        <f>(J43-Q5)/Q6*57.1</f>
        <v>11.859201064045628</v>
      </c>
      <c r="K44" s="7" t="s">
        <v>63</v>
      </c>
    </row>
    <row r="45" spans="1:11">
      <c r="A45" s="251"/>
      <c r="C45" s="5">
        <v>6</v>
      </c>
      <c r="D45" s="22">
        <f t="shared" si="6"/>
        <v>0.10471204188481675</v>
      </c>
      <c r="E45" s="22">
        <f t="shared" si="4"/>
        <v>0.98449214659685869</v>
      </c>
      <c r="F45" s="22">
        <f t="shared" si="5"/>
        <v>7.8743979057591618E-2</v>
      </c>
      <c r="H45" s="7" t="s">
        <v>37</v>
      </c>
      <c r="I45" s="8" t="s">
        <v>60</v>
      </c>
      <c r="J45" s="28">
        <f>(J47/57.3*Q10+Q9)*G5*G7*0.5*1.225*(L8/3.6)^2</f>
        <v>-1055842.3481634818</v>
      </c>
      <c r="K45" s="7" t="s">
        <v>61</v>
      </c>
    </row>
    <row r="46" spans="1:11">
      <c r="A46" s="251"/>
      <c r="C46" s="5">
        <v>8</v>
      </c>
      <c r="D46" s="22">
        <f t="shared" si="6"/>
        <v>0.13961605584642234</v>
      </c>
      <c r="E46" s="22">
        <f t="shared" si="4"/>
        <v>1.1393228621291449</v>
      </c>
      <c r="F46" s="22">
        <f t="shared" si="5"/>
        <v>6.1291972076788825E-2</v>
      </c>
      <c r="H46" s="7" t="s">
        <v>37</v>
      </c>
      <c r="I46" s="8" t="s">
        <v>56</v>
      </c>
      <c r="J46" s="10">
        <f>D5*G8*9.81/G5/(0.5*1.225*(L8/3.6)^2)</f>
        <v>1.8149598509775455</v>
      </c>
      <c r="K46" s="7"/>
    </row>
    <row r="47" spans="1:11">
      <c r="A47" s="251"/>
      <c r="C47" s="5">
        <v>10</v>
      </c>
      <c r="D47" s="22">
        <f t="shared" si="6"/>
        <v>0.17452006980802792</v>
      </c>
      <c r="E47" s="22">
        <f t="shared" si="4"/>
        <v>1.2941535776614312</v>
      </c>
      <c r="F47" s="22">
        <f t="shared" si="5"/>
        <v>4.3839965095986033E-2</v>
      </c>
      <c r="H47" s="7" t="s">
        <v>37</v>
      </c>
      <c r="I47" s="8" t="s">
        <v>62</v>
      </c>
      <c r="J47" s="10">
        <f>(J46-Q5)/Q6*57.1</f>
        <v>16.669042920448579</v>
      </c>
      <c r="K47" s="7" t="s">
        <v>63</v>
      </c>
    </row>
    <row r="48" spans="1:11">
      <c r="C48" s="5">
        <v>12</v>
      </c>
      <c r="D48" s="22">
        <f t="shared" si="6"/>
        <v>0.20942408376963351</v>
      </c>
      <c r="E48" s="22">
        <f t="shared" si="4"/>
        <v>1.4489842931937174</v>
      </c>
      <c r="F48" s="22">
        <f t="shared" si="5"/>
        <v>2.6387958115183241E-2</v>
      </c>
    </row>
    <row r="49" spans="3:10">
      <c r="C49" s="5">
        <v>13</v>
      </c>
      <c r="D49" s="22">
        <f t="shared" si="6"/>
        <v>0.2268760907504363</v>
      </c>
      <c r="E49" s="22">
        <f t="shared" si="4"/>
        <v>1.5263996509598605</v>
      </c>
      <c r="F49" s="22">
        <f t="shared" si="5"/>
        <v>1.7661954624781845E-2</v>
      </c>
    </row>
    <row r="50" spans="3:10">
      <c r="C50" s="5">
        <v>14</v>
      </c>
      <c r="D50" s="22">
        <f t="shared" si="6"/>
        <v>0.24432809773123909</v>
      </c>
      <c r="E50" s="22">
        <f t="shared" si="4"/>
        <v>1.6038150087260035</v>
      </c>
      <c r="F50" s="22">
        <f t="shared" si="5"/>
        <v>8.9359511343804487E-3</v>
      </c>
    </row>
    <row r="61" spans="3:10">
      <c r="C61"/>
      <c r="J61" s="11"/>
    </row>
    <row r="62" spans="3:10">
      <c r="J62" s="11"/>
    </row>
    <row r="63" spans="3:10">
      <c r="J63" s="43"/>
    </row>
  </sheetData>
  <mergeCells count="22">
    <mergeCell ref="H40:K40"/>
    <mergeCell ref="I13:K13"/>
    <mergeCell ref="I25:K25"/>
    <mergeCell ref="I19:K19"/>
    <mergeCell ref="H1:Z1"/>
    <mergeCell ref="F3:H3"/>
    <mergeCell ref="K3:M3"/>
    <mergeCell ref="P3:Q3"/>
    <mergeCell ref="I30:K30"/>
    <mergeCell ref="T3:V3"/>
    <mergeCell ref="W7:AE7"/>
    <mergeCell ref="W8:AE8"/>
    <mergeCell ref="W5:AE5"/>
    <mergeCell ref="W6:AE6"/>
    <mergeCell ref="W4:AE4"/>
    <mergeCell ref="A3:A10"/>
    <mergeCell ref="A40:A47"/>
    <mergeCell ref="B1:E1"/>
    <mergeCell ref="F1:G1"/>
    <mergeCell ref="C13:G13"/>
    <mergeCell ref="C40:F40"/>
    <mergeCell ref="C3:D3"/>
  </mergeCells>
  <phoneticPr fontId="3" type="noConversion"/>
  <hyperlinks>
    <hyperlink ref="N3" r:id="rId1" xr:uid="{675A29E1-CDC4-CB47-B25D-399F74C37441}"/>
    <hyperlink ref="I3" r:id="rId2" xr:uid="{324D5EC5-FA4E-8C4C-ACE8-60D315A47EC6}"/>
    <hyperlink ref="R3" r:id="rId3" xr:uid="{2C29F1F3-D486-441F-AB4F-37D1D7BF7752}"/>
    <hyperlink ref="T10" r:id="rId4" xr:uid="{37BB459F-5CF4-497C-9F99-E046D062FE94}"/>
    <hyperlink ref="V10" r:id="rId5" xr:uid="{0CFC75E7-55C9-4E92-A54F-DE6529290CB9}"/>
  </hyperlinks>
  <pageMargins left="0.7" right="0.7" top="0.75" bottom="0.75" header="0.3" footer="0.3"/>
  <pageSetup paperSize="9" orientation="portrait" r:id="rId6"/>
  <ignoredErrors>
    <ignoredError sqref="J34" formula="1"/>
  </ignoredErrors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10"/>
  <sheetViews>
    <sheetView zoomScale="55" zoomScaleNormal="55" workbookViewId="0">
      <pane xSplit="1" ySplit="1" topLeftCell="D30" activePane="bottomRight" state="frozen"/>
      <selection activeCell="F46" sqref="F46"/>
      <selection pane="topRight" activeCell="F46" sqref="F46"/>
      <selection pane="bottomLeft" activeCell="F46" sqref="F46"/>
      <selection pane="bottomRight" activeCell="AE45" sqref="AE45:AF104"/>
    </sheetView>
  </sheetViews>
  <sheetFormatPr defaultColWidth="8.83203125" defaultRowHeight="14.5"/>
  <cols>
    <col min="1" max="1" width="25.6640625" style="24" customWidth="1"/>
    <col min="2" max="2" width="8.83203125" style="32"/>
    <col min="3" max="3" width="20.83203125" style="32" bestFit="1" customWidth="1"/>
    <col min="4" max="6" width="8.83203125" style="32"/>
    <col min="7" max="7" width="10.6640625" style="32" bestFit="1" customWidth="1"/>
    <col min="8" max="8" width="14.33203125" style="32" bestFit="1" customWidth="1"/>
    <col min="9" max="10" width="9.6640625" style="32" bestFit="1" customWidth="1"/>
    <col min="11" max="16" width="8.83203125" style="32"/>
    <col min="17" max="17" width="15.1640625" style="32" bestFit="1" customWidth="1"/>
    <col min="18" max="18" width="10.6640625" style="32" customWidth="1"/>
    <col min="19" max="19" width="8.83203125" style="32"/>
    <col min="20" max="20" width="10.1640625" style="32" customWidth="1"/>
    <col min="21" max="21" width="10" style="32" bestFit="1" customWidth="1"/>
    <col min="22" max="28" width="8.83203125" style="32"/>
    <col min="29" max="29" width="9.58203125" style="32" bestFit="1" customWidth="1"/>
    <col min="30" max="31" width="8.83203125" style="32"/>
    <col min="32" max="32" width="9.6640625" style="32" bestFit="1" customWidth="1"/>
    <col min="33" max="16384" width="8.83203125" style="32"/>
  </cols>
  <sheetData>
    <row r="1" spans="1:27" s="31" customFormat="1" ht="39" customHeight="1" thickBot="1">
      <c r="A1" s="60"/>
      <c r="B1" s="270" t="s">
        <v>64</v>
      </c>
      <c r="C1" s="271"/>
      <c r="D1" s="271"/>
      <c r="E1" s="272"/>
      <c r="F1" s="273" t="s">
        <v>9</v>
      </c>
      <c r="G1" s="273"/>
      <c r="H1" s="274" t="s">
        <v>65</v>
      </c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</row>
    <row r="3" spans="1:27" ht="18.5">
      <c r="A3" s="155" t="s">
        <v>225</v>
      </c>
    </row>
    <row r="4" spans="1:27">
      <c r="A4" s="251" t="s">
        <v>66</v>
      </c>
    </row>
    <row r="5" spans="1:27" ht="15" customHeight="1">
      <c r="A5" s="269"/>
      <c r="Y5" s="33"/>
      <c r="Z5" s="33"/>
      <c r="AA5" s="33"/>
    </row>
    <row r="6" spans="1:27" ht="15" customHeight="1">
      <c r="A6" s="269"/>
      <c r="Y6" s="33"/>
      <c r="Z6" s="33"/>
      <c r="AA6" s="33"/>
    </row>
    <row r="7" spans="1:27">
      <c r="A7" s="269"/>
    </row>
    <row r="8" spans="1:27">
      <c r="A8" s="269"/>
    </row>
    <row r="25" spans="1:10" s="34" customFormat="1" ht="15" thickBot="1">
      <c r="A25" s="61"/>
    </row>
    <row r="27" spans="1:10" ht="18.5">
      <c r="A27" s="155" t="s">
        <v>234</v>
      </c>
      <c r="C27" s="275" t="s">
        <v>68</v>
      </c>
      <c r="D27" s="275"/>
      <c r="E27" s="275"/>
      <c r="H27" s="275" t="s">
        <v>69</v>
      </c>
      <c r="I27" s="275"/>
      <c r="J27" s="275"/>
    </row>
    <row r="28" spans="1:10">
      <c r="A28" s="251" t="s">
        <v>67</v>
      </c>
      <c r="C28" s="35" t="s">
        <v>70</v>
      </c>
      <c r="D28" s="35">
        <f>' n-V diagram'!G6</f>
        <v>65</v>
      </c>
      <c r="E28" s="35" t="s">
        <v>1</v>
      </c>
      <c r="H28" s="35" t="s">
        <v>32</v>
      </c>
      <c r="I28" s="35">
        <v>429900</v>
      </c>
      <c r="J28" s="35" t="s">
        <v>3</v>
      </c>
    </row>
    <row r="29" spans="1:10">
      <c r="A29" s="269"/>
      <c r="C29" s="35" t="s">
        <v>71</v>
      </c>
      <c r="D29" s="35">
        <v>6.38</v>
      </c>
      <c r="E29" s="35" t="s">
        <v>1</v>
      </c>
      <c r="H29" s="35" t="s">
        <v>72</v>
      </c>
      <c r="I29" s="222">
        <v>-1.5</v>
      </c>
      <c r="J29" s="35"/>
    </row>
    <row r="30" spans="1:10">
      <c r="A30" s="269"/>
      <c r="C30" s="35" t="s">
        <v>0</v>
      </c>
      <c r="D30" s="36">
        <f>(D28-D29)/2</f>
        <v>29.31</v>
      </c>
      <c r="E30" s="35" t="s">
        <v>1</v>
      </c>
      <c r="H30" s="35" t="s">
        <v>73</v>
      </c>
      <c r="I30" s="35">
        <f>I28*I29*9.81</f>
        <v>-6325978.5</v>
      </c>
      <c r="J30" s="35" t="s">
        <v>74</v>
      </c>
    </row>
    <row r="31" spans="1:10">
      <c r="A31" s="269"/>
      <c r="C31" s="35" t="s">
        <v>2</v>
      </c>
      <c r="D31" s="35">
        <v>15709</v>
      </c>
      <c r="E31" s="35" t="s">
        <v>3</v>
      </c>
      <c r="F31" s="32" t="s">
        <v>75</v>
      </c>
      <c r="H31" s="35" t="s">
        <v>76</v>
      </c>
      <c r="I31" s="276" t="s">
        <v>321</v>
      </c>
      <c r="J31" s="277"/>
    </row>
    <row r="32" spans="1:10">
      <c r="A32" s="269"/>
      <c r="C32" s="35" t="s">
        <v>4</v>
      </c>
      <c r="D32" s="36">
        <v>27.5</v>
      </c>
      <c r="E32" s="35" t="s">
        <v>1</v>
      </c>
      <c r="H32" s="35" t="s">
        <v>78</v>
      </c>
      <c r="I32" s="36">
        <f>VLOOKUP(I31,C35:D37,2,FALSE)*9.81</f>
        <v>60086.25</v>
      </c>
      <c r="J32" s="35" t="s">
        <v>74</v>
      </c>
    </row>
    <row r="33" spans="1:32">
      <c r="A33" s="269"/>
      <c r="C33" s="35" t="s">
        <v>5</v>
      </c>
      <c r="D33" s="35">
        <v>43100</v>
      </c>
      <c r="E33" s="35" t="s">
        <v>6</v>
      </c>
      <c r="H33" s="35" t="s">
        <v>79</v>
      </c>
      <c r="I33" s="36">
        <f>D33*(D38/1000)*9.81</f>
        <v>343745.34299999999</v>
      </c>
      <c r="J33" s="35" t="s">
        <v>80</v>
      </c>
    </row>
    <row r="34" spans="1:32">
      <c r="A34" s="269"/>
      <c r="C34" s="35" t="s">
        <v>7</v>
      </c>
      <c r="D34" s="35">
        <v>5.59</v>
      </c>
      <c r="E34" s="35" t="s">
        <v>1</v>
      </c>
      <c r="H34" s="35" t="s">
        <v>81</v>
      </c>
      <c r="I34" s="35">
        <f>D31*9.81</f>
        <v>154105.29</v>
      </c>
      <c r="J34" s="35" t="s">
        <v>80</v>
      </c>
    </row>
    <row r="35" spans="1:32">
      <c r="A35" s="269"/>
      <c r="C35" s="35" t="s">
        <v>82</v>
      </c>
      <c r="D35" s="35">
        <v>0</v>
      </c>
      <c r="E35" s="62"/>
      <c r="H35" s="35" t="s">
        <v>83</v>
      </c>
      <c r="I35" s="37">
        <f>SUM(I32:I34)</f>
        <v>557936.88300000003</v>
      </c>
      <c r="J35" s="35" t="s">
        <v>80</v>
      </c>
    </row>
    <row r="36" spans="1:32">
      <c r="C36" s="5" t="s">
        <v>321</v>
      </c>
      <c r="D36" s="35">
        <v>6125</v>
      </c>
      <c r="E36" s="35" t="s">
        <v>3</v>
      </c>
      <c r="F36" s="1" t="s">
        <v>223</v>
      </c>
    </row>
    <row r="37" spans="1:32">
      <c r="C37" s="35" t="s">
        <v>84</v>
      </c>
      <c r="D37" s="35">
        <v>150</v>
      </c>
      <c r="E37" s="35" t="s">
        <v>6</v>
      </c>
    </row>
    <row r="38" spans="1:32">
      <c r="C38" s="5" t="s">
        <v>319</v>
      </c>
      <c r="D38" s="35">
        <v>813</v>
      </c>
      <c r="E38" s="35" t="s">
        <v>85</v>
      </c>
      <c r="F38" s="208" t="s">
        <v>295</v>
      </c>
    </row>
    <row r="39" spans="1:32">
      <c r="C39" s="35" t="s">
        <v>84</v>
      </c>
      <c r="D39" s="35">
        <f>D37*D38/1000</f>
        <v>121.95</v>
      </c>
      <c r="E39" s="35" t="s">
        <v>3</v>
      </c>
    </row>
    <row r="41" spans="1:32" s="34" customFormat="1" ht="15" thickBot="1">
      <c r="A41" s="61"/>
    </row>
    <row r="43" spans="1:32" ht="18.5">
      <c r="A43" s="154" t="s">
        <v>269</v>
      </c>
      <c r="C43" s="275" t="s">
        <v>87</v>
      </c>
      <c r="D43" s="275"/>
      <c r="E43" s="275"/>
      <c r="F43" s="275"/>
      <c r="G43" s="275"/>
      <c r="H43" s="275"/>
      <c r="I43" s="275"/>
      <c r="J43" s="275"/>
    </row>
    <row r="44" spans="1:32">
      <c r="A44" s="251" t="s">
        <v>86</v>
      </c>
      <c r="C44" s="35" t="s">
        <v>88</v>
      </c>
      <c r="D44" s="35" t="s">
        <v>89</v>
      </c>
      <c r="E44" s="35" t="s">
        <v>90</v>
      </c>
      <c r="F44" s="35" t="s">
        <v>76</v>
      </c>
      <c r="G44" s="35" t="s">
        <v>91</v>
      </c>
      <c r="H44" s="35" t="s">
        <v>92</v>
      </c>
      <c r="I44" s="35" t="s">
        <v>93</v>
      </c>
      <c r="J44" s="35" t="s">
        <v>94</v>
      </c>
    </row>
    <row r="45" spans="1:32" ht="18.75" customHeight="1">
      <c r="A45" s="269"/>
      <c r="C45" s="35" t="s">
        <v>1</v>
      </c>
      <c r="D45" s="35" t="s">
        <v>95</v>
      </c>
      <c r="E45" s="35" t="s">
        <v>95</v>
      </c>
      <c r="F45" s="35" t="s">
        <v>74</v>
      </c>
      <c r="G45" s="35" t="s">
        <v>80</v>
      </c>
      <c r="H45" s="35" t="s">
        <v>80</v>
      </c>
      <c r="I45" s="35" t="s">
        <v>61</v>
      </c>
      <c r="J45" s="35" t="s">
        <v>61</v>
      </c>
      <c r="Z45" s="220">
        <v>9805.9767415753104</v>
      </c>
      <c r="AC45" s="227">
        <f>-G46</f>
        <v>23205.596125000051</v>
      </c>
      <c r="AE45" s="47">
        <f>-H46</f>
        <v>442134.36124750093</v>
      </c>
      <c r="AF45" s="47">
        <f>-J46</f>
        <v>3988498.9490321171</v>
      </c>
    </row>
    <row r="46" spans="1:32" ht="15" customHeight="1">
      <c r="A46" s="269"/>
      <c r="C46" s="38">
        <v>0</v>
      </c>
      <c r="D46" s="37">
        <f>$D$31/60*$I$29*9.81</f>
        <v>-3852.6322500000006</v>
      </c>
      <c r="E46" s="220">
        <v>0</v>
      </c>
      <c r="F46" s="10">
        <f>14186.1866666667 * $I$29</f>
        <v>-21279.28000000005</v>
      </c>
      <c r="G46" s="39">
        <f>(D47+D46)*(C47-C46)/2+(E47+E46)*(C47-C46)/2+F46</f>
        <v>-23205.596125000051</v>
      </c>
      <c r="H46" s="38">
        <f>SUM(G46:$G$105)</f>
        <v>-442134.36124750093</v>
      </c>
      <c r="I46" s="38">
        <f>(H47+H46)*(C47-C46)/2</f>
        <v>-215265.78159250045</v>
      </c>
      <c r="J46" s="38">
        <f>SUM(I46:$I$110)</f>
        <v>-3988498.9490321171</v>
      </c>
      <c r="Z46" s="220">
        <v>9608.4462793990006</v>
      </c>
      <c r="AC46" s="227">
        <f t="shared" ref="AC46:AC104" si="0">-G47</f>
        <v>23205.596125000051</v>
      </c>
      <c r="AE46" s="47">
        <f t="shared" ref="AE46:AE104" si="1">-H47</f>
        <v>418928.76512250089</v>
      </c>
      <c r="AF46" s="47">
        <f t="shared" ref="AF46:AF104" si="2">-J47</f>
        <v>3773233.1674396168</v>
      </c>
    </row>
    <row r="47" spans="1:32" ht="15" customHeight="1">
      <c r="A47" s="269"/>
      <c r="C47" s="38">
        <v>0.5</v>
      </c>
      <c r="D47" s="37">
        <f t="shared" ref="D47:D105" si="3">$D$31/60*$I$29*9.81</f>
        <v>-3852.6322500000006</v>
      </c>
      <c r="E47" s="220">
        <v>0</v>
      </c>
      <c r="F47" s="10">
        <f t="shared" ref="F47:F51" si="4">14186.1866666667 * $I$29</f>
        <v>-21279.28000000005</v>
      </c>
      <c r="G47" s="39">
        <f>(D48+D47)*(C48-C47)/2+(E48+E47)*(C48-C47)/2+F47</f>
        <v>-23205.596125000051</v>
      </c>
      <c r="H47" s="38">
        <f>SUM(G47:$G$105)</f>
        <v>-418928.76512250089</v>
      </c>
      <c r="I47" s="38">
        <f t="shared" ref="I47:I105" si="5">(H48+H47)*(C48-C47)/2</f>
        <v>-203662.98353000043</v>
      </c>
      <c r="J47" s="38">
        <f>SUM(I47:$I$110)</f>
        <v>-3773233.1674396168</v>
      </c>
      <c r="Z47" s="220">
        <v>9410.9157969052703</v>
      </c>
      <c r="AC47" s="227">
        <f t="shared" si="0"/>
        <v>23205.596125000051</v>
      </c>
      <c r="AE47" s="47">
        <f t="shared" si="1"/>
        <v>395723.16899750079</v>
      </c>
      <c r="AF47" s="47">
        <f t="shared" si="2"/>
        <v>3569570.183909616</v>
      </c>
    </row>
    <row r="48" spans="1:32" ht="15" customHeight="1">
      <c r="A48" s="269"/>
      <c r="C48" s="38">
        <v>1</v>
      </c>
      <c r="D48" s="37">
        <f t="shared" si="3"/>
        <v>-3852.6322500000006</v>
      </c>
      <c r="E48" s="220">
        <v>0</v>
      </c>
      <c r="F48" s="10">
        <f t="shared" si="4"/>
        <v>-21279.28000000005</v>
      </c>
      <c r="G48" s="39">
        <f t="shared" ref="G48:G104" si="6">(D49+D48)*(C49-C48)/2+(E49+E48)*(C49-C48)/2+F48</f>
        <v>-23205.596125000051</v>
      </c>
      <c r="H48" s="38">
        <f>SUM(G48:$G$105)</f>
        <v>-395723.16899750079</v>
      </c>
      <c r="I48" s="38">
        <f t="shared" si="5"/>
        <v>-192060.18546750036</v>
      </c>
      <c r="J48" s="38">
        <f>SUM(I48:$I$110)</f>
        <v>-3569570.183909616</v>
      </c>
      <c r="Z48" s="220">
        <v>9213.3853347289496</v>
      </c>
      <c r="AC48" s="227">
        <f t="shared" si="0"/>
        <v>23205.596125000051</v>
      </c>
      <c r="AE48" s="47">
        <f t="shared" si="1"/>
        <v>372517.57287250069</v>
      </c>
      <c r="AF48" s="47">
        <f t="shared" si="2"/>
        <v>3377509.9984421157</v>
      </c>
    </row>
    <row r="49" spans="1:32" ht="15" customHeight="1">
      <c r="A49" s="269"/>
      <c r="C49" s="38">
        <v>1.5</v>
      </c>
      <c r="D49" s="37">
        <f t="shared" si="3"/>
        <v>-3852.6322500000006</v>
      </c>
      <c r="E49" s="220">
        <v>0</v>
      </c>
      <c r="F49" s="10">
        <f t="shared" si="4"/>
        <v>-21279.28000000005</v>
      </c>
      <c r="G49" s="39">
        <f t="shared" si="6"/>
        <v>-23205.596125000051</v>
      </c>
      <c r="H49" s="38">
        <f>SUM(G49:$G$105)</f>
        <v>-372517.57287250069</v>
      </c>
      <c r="I49" s="38">
        <f t="shared" si="5"/>
        <v>-180457.38740500034</v>
      </c>
      <c r="J49" s="38">
        <f>SUM(I49:$I$110)</f>
        <v>-3377509.9984421157</v>
      </c>
      <c r="Z49" s="220">
        <v>9015.8548725526398</v>
      </c>
      <c r="AC49" s="227">
        <f t="shared" si="0"/>
        <v>23205.596125000051</v>
      </c>
      <c r="AE49" s="47">
        <f t="shared" si="1"/>
        <v>349311.97674750065</v>
      </c>
      <c r="AF49" s="47">
        <f t="shared" si="2"/>
        <v>3197052.6110371156</v>
      </c>
    </row>
    <row r="50" spans="1:32" ht="15" customHeight="1">
      <c r="A50" s="269"/>
      <c r="C50" s="38">
        <v>2</v>
      </c>
      <c r="D50" s="37">
        <f t="shared" si="3"/>
        <v>-3852.6322500000006</v>
      </c>
      <c r="E50" s="220">
        <v>0</v>
      </c>
      <c r="F50" s="10">
        <f t="shared" si="4"/>
        <v>-21279.28000000005</v>
      </c>
      <c r="G50" s="39">
        <f t="shared" si="6"/>
        <v>-23205.596125000051</v>
      </c>
      <c r="H50" s="38">
        <f>SUM(G50:$G$105)</f>
        <v>-349311.97674750065</v>
      </c>
      <c r="I50" s="38">
        <f t="shared" si="5"/>
        <v>-168854.58934250032</v>
      </c>
      <c r="J50" s="38">
        <f>SUM(I50:$I$110)</f>
        <v>-3197052.6110371156</v>
      </c>
      <c r="Z50" s="220">
        <v>8818.32441037633</v>
      </c>
      <c r="AC50" s="227">
        <f t="shared" si="0"/>
        <v>23205.596125000051</v>
      </c>
      <c r="AE50" s="47">
        <f t="shared" si="1"/>
        <v>326106.38062250061</v>
      </c>
      <c r="AF50" s="47">
        <f t="shared" si="2"/>
        <v>3028198.021694615</v>
      </c>
    </row>
    <row r="51" spans="1:32" ht="15" customHeight="1">
      <c r="A51" s="269"/>
      <c r="C51" s="38">
        <v>2.5</v>
      </c>
      <c r="D51" s="37">
        <f t="shared" si="3"/>
        <v>-3852.6322500000006</v>
      </c>
      <c r="E51" s="220">
        <v>0</v>
      </c>
      <c r="F51" s="10">
        <f t="shared" si="4"/>
        <v>-21279.28000000005</v>
      </c>
      <c r="G51" s="39">
        <f t="shared" si="6"/>
        <v>-23205.596125000051</v>
      </c>
      <c r="H51" s="38">
        <f>SUM(G51:$G$105)</f>
        <v>-326106.38062250061</v>
      </c>
      <c r="I51" s="38">
        <f t="shared" si="5"/>
        <v>-157251.7912800003</v>
      </c>
      <c r="J51" s="38">
        <f>SUM(I51:$I$110)</f>
        <v>-3028198.021694615</v>
      </c>
      <c r="Z51" s="220">
        <v>8620.7939482000202</v>
      </c>
      <c r="AC51" s="227">
        <f t="shared" si="0"/>
        <v>23205.596125000051</v>
      </c>
      <c r="AE51" s="47">
        <f t="shared" si="1"/>
        <v>302900.78449750051</v>
      </c>
      <c r="AF51" s="47">
        <f t="shared" si="2"/>
        <v>2870946.2304146145</v>
      </c>
    </row>
    <row r="52" spans="1:32">
      <c r="A52" s="269"/>
      <c r="C52" s="38">
        <v>3</v>
      </c>
      <c r="D52" s="37">
        <f t="shared" si="3"/>
        <v>-3852.6322500000006</v>
      </c>
      <c r="E52" s="220">
        <v>0</v>
      </c>
      <c r="F52" s="10">
        <f>14186.1866666667 * $I$29</f>
        <v>-21279.28000000005</v>
      </c>
      <c r="G52" s="39">
        <f t="shared" si="6"/>
        <v>-23205.596125000051</v>
      </c>
      <c r="H52" s="38">
        <f>SUM(G52:$G$105)</f>
        <v>-302900.78449750051</v>
      </c>
      <c r="I52" s="38">
        <f t="shared" si="5"/>
        <v>-145648.99321750022</v>
      </c>
      <c r="J52" s="38">
        <f>SUM(I52:$I$110)</f>
        <v>-2870946.2304146145</v>
      </c>
      <c r="Z52" s="220">
        <v>8423.2634657062899</v>
      </c>
      <c r="AC52" s="227">
        <f t="shared" si="0"/>
        <v>1926.3161250000003</v>
      </c>
      <c r="AE52" s="47">
        <f t="shared" si="1"/>
        <v>279695.1883725003</v>
      </c>
      <c r="AF52" s="47">
        <f t="shared" si="2"/>
        <v>2725297.2371971146</v>
      </c>
    </row>
    <row r="53" spans="1:32">
      <c r="A53" s="269"/>
      <c r="C53" s="38">
        <v>3.5</v>
      </c>
      <c r="D53" s="37">
        <f t="shared" si="3"/>
        <v>-3852.6322500000006</v>
      </c>
      <c r="E53" s="220">
        <v>0</v>
      </c>
      <c r="F53" s="38">
        <v>0</v>
      </c>
      <c r="G53" s="39">
        <f t="shared" si="6"/>
        <v>-1926.3161250000003</v>
      </c>
      <c r="H53" s="38">
        <f>SUM(G53:$G$105)</f>
        <v>-279695.1883725003</v>
      </c>
      <c r="I53" s="38">
        <f t="shared" si="5"/>
        <v>-139366.01515500015</v>
      </c>
      <c r="J53" s="38">
        <f>SUM(I53:$I$110)</f>
        <v>-2725297.2371971146</v>
      </c>
      <c r="Z53" s="220">
        <v>8225.7330035299801</v>
      </c>
      <c r="AC53" s="227">
        <f t="shared" si="0"/>
        <v>1926.3161250000003</v>
      </c>
      <c r="AE53" s="47">
        <f t="shared" si="1"/>
        <v>277768.87224750029</v>
      </c>
      <c r="AF53" s="47">
        <f t="shared" si="2"/>
        <v>2585931.2220421149</v>
      </c>
    </row>
    <row r="54" spans="1:32">
      <c r="C54" s="38">
        <v>4</v>
      </c>
      <c r="D54" s="37">
        <f t="shared" si="3"/>
        <v>-3852.6322500000006</v>
      </c>
      <c r="E54" s="220">
        <v>0</v>
      </c>
      <c r="F54" s="38">
        <v>0</v>
      </c>
      <c r="G54" s="39">
        <f t="shared" si="6"/>
        <v>-1926.3161250000003</v>
      </c>
      <c r="H54" s="38">
        <f>SUM(G54:$G$105)</f>
        <v>-277768.87224750029</v>
      </c>
      <c r="I54" s="38">
        <f t="shared" si="5"/>
        <v>-138402.85709250014</v>
      </c>
      <c r="J54" s="38">
        <f>SUM(I54:$I$110)</f>
        <v>-2585931.2220421149</v>
      </c>
      <c r="Z54" s="220">
        <v>8072.9320919757602</v>
      </c>
      <c r="AC54" s="227">
        <f t="shared" si="0"/>
        <v>1926.3161250000003</v>
      </c>
      <c r="AE54" s="47">
        <f t="shared" si="1"/>
        <v>275842.55612250022</v>
      </c>
      <c r="AF54" s="47">
        <f t="shared" si="2"/>
        <v>2447528.3649496147</v>
      </c>
    </row>
    <row r="55" spans="1:32">
      <c r="C55" s="38">
        <v>4.5</v>
      </c>
      <c r="D55" s="37">
        <f t="shared" si="3"/>
        <v>-3852.6322500000006</v>
      </c>
      <c r="E55" s="220">
        <v>0</v>
      </c>
      <c r="F55" s="38">
        <v>0</v>
      </c>
      <c r="G55" s="39">
        <f t="shared" si="6"/>
        <v>-1926.3161250000003</v>
      </c>
      <c r="H55" s="38">
        <f>SUM(G55:$G$105)</f>
        <v>-275842.55612250022</v>
      </c>
      <c r="I55" s="38">
        <f t="shared" si="5"/>
        <v>-137439.69903000011</v>
      </c>
      <c r="J55" s="38">
        <f>SUM(I55:$I$110)</f>
        <v>-2447528.3649496147</v>
      </c>
      <c r="Z55" s="220">
        <v>7964.8607107262196</v>
      </c>
      <c r="AC55" s="227">
        <f t="shared" si="0"/>
        <v>1926.3161250000003</v>
      </c>
      <c r="AE55" s="47">
        <f t="shared" si="1"/>
        <v>273916.2399975002</v>
      </c>
      <c r="AF55" s="47">
        <f t="shared" si="2"/>
        <v>2310088.6659196145</v>
      </c>
    </row>
    <row r="56" spans="1:32">
      <c r="C56" s="38">
        <v>5</v>
      </c>
      <c r="D56" s="37">
        <f t="shared" si="3"/>
        <v>-3852.6322500000006</v>
      </c>
      <c r="E56" s="220">
        <v>0</v>
      </c>
      <c r="F56" s="38">
        <v>0</v>
      </c>
      <c r="G56" s="39">
        <f t="shared" si="6"/>
        <v>-1926.3161250000003</v>
      </c>
      <c r="H56" s="38">
        <f>SUM(G56:$G$105)</f>
        <v>-273916.2399975002</v>
      </c>
      <c r="I56" s="38">
        <f t="shared" si="5"/>
        <v>-136476.5409675001</v>
      </c>
      <c r="J56" s="38">
        <f>SUM(I56:$I$110)</f>
        <v>-2310088.6659196145</v>
      </c>
      <c r="Z56" s="220">
        <v>7856.78932947668</v>
      </c>
      <c r="AC56" s="227">
        <f t="shared" si="0"/>
        <v>92055.691124999998</v>
      </c>
      <c r="AE56" s="47">
        <f t="shared" si="1"/>
        <v>271989.92387250019</v>
      </c>
      <c r="AF56" s="47">
        <f t="shared" si="2"/>
        <v>2173612.1249521142</v>
      </c>
    </row>
    <row r="57" spans="1:32">
      <c r="C57" s="38">
        <v>5.5</v>
      </c>
      <c r="D57" s="37">
        <f t="shared" si="3"/>
        <v>-3852.6322500000006</v>
      </c>
      <c r="E57" s="220">
        <v>0</v>
      </c>
      <c r="F57" s="38">
        <f>I32*I29</f>
        <v>-90129.375</v>
      </c>
      <c r="G57" s="39">
        <f t="shared" si="6"/>
        <v>-92055.691124999998</v>
      </c>
      <c r="H57" s="38">
        <f>SUM(G57:$G$105)</f>
        <v>-271989.92387250019</v>
      </c>
      <c r="I57" s="38">
        <f t="shared" si="5"/>
        <v>-112981.03915500012</v>
      </c>
      <c r="J57" s="38">
        <f>SUM(I57:$I$110)</f>
        <v>-2173612.1249521142</v>
      </c>
      <c r="Z57" s="220">
        <v>7748.7179482271404</v>
      </c>
      <c r="AC57" s="227">
        <f t="shared" si="0"/>
        <v>1926.3161250000003</v>
      </c>
      <c r="AE57" s="47">
        <f t="shared" si="1"/>
        <v>179934.23274750027</v>
      </c>
      <c r="AF57" s="47">
        <f t="shared" si="2"/>
        <v>2060631.0857971145</v>
      </c>
    </row>
    <row r="58" spans="1:32">
      <c r="C58" s="38">
        <v>6</v>
      </c>
      <c r="D58" s="37">
        <f t="shared" si="3"/>
        <v>-3852.6322500000006</v>
      </c>
      <c r="E58" s="220">
        <v>0</v>
      </c>
      <c r="F58" s="38">
        <v>0</v>
      </c>
      <c r="G58" s="39">
        <f t="shared" si="6"/>
        <v>-1926.3161250000003</v>
      </c>
      <c r="H58" s="38">
        <f>SUM(G58:$G$105)</f>
        <v>-179934.23274750027</v>
      </c>
      <c r="I58" s="38">
        <f t="shared" si="5"/>
        <v>-89485.537342500145</v>
      </c>
      <c r="J58" s="38">
        <f>SUM(I58:$I$110)</f>
        <v>-2060631.0857971145</v>
      </c>
      <c r="Z58" s="220">
        <v>7640.6465669775998</v>
      </c>
      <c r="AC58" s="227">
        <f t="shared" si="0"/>
        <v>1926.3161250000003</v>
      </c>
      <c r="AE58" s="47">
        <f t="shared" si="1"/>
        <v>178007.91662250028</v>
      </c>
      <c r="AF58" s="47">
        <f t="shared" si="2"/>
        <v>1971145.5484546141</v>
      </c>
    </row>
    <row r="59" spans="1:32">
      <c r="C59" s="38">
        <v>6.5</v>
      </c>
      <c r="D59" s="37">
        <f t="shared" si="3"/>
        <v>-3852.6322500000006</v>
      </c>
      <c r="E59" s="220">
        <v>0</v>
      </c>
      <c r="F59" s="38">
        <v>0</v>
      </c>
      <c r="G59" s="39">
        <f t="shared" si="6"/>
        <v>-1926.3161250000003</v>
      </c>
      <c r="H59" s="38">
        <f>SUM(G59:$G$105)</f>
        <v>-178007.91662250028</v>
      </c>
      <c r="I59" s="38">
        <f t="shared" si="5"/>
        <v>-88522.379280000139</v>
      </c>
      <c r="J59" s="38">
        <f>SUM(I59:$I$110)</f>
        <v>-1971145.5484546141</v>
      </c>
      <c r="Z59" s="220">
        <v>7532.5751857280602</v>
      </c>
      <c r="AC59" s="227">
        <f t="shared" si="0"/>
        <v>1926.3161250000003</v>
      </c>
      <c r="AE59" s="47">
        <f t="shared" si="1"/>
        <v>176081.60049750027</v>
      </c>
      <c r="AF59" s="47">
        <f t="shared" si="2"/>
        <v>1882623.1691746141</v>
      </c>
    </row>
    <row r="60" spans="1:32">
      <c r="C60" s="38">
        <v>7</v>
      </c>
      <c r="D60" s="37">
        <f t="shared" si="3"/>
        <v>-3852.6322500000006</v>
      </c>
      <c r="E60" s="220">
        <v>0</v>
      </c>
      <c r="F60" s="38">
        <v>0</v>
      </c>
      <c r="G60" s="39">
        <f t="shared" si="6"/>
        <v>-1926.3161250000003</v>
      </c>
      <c r="H60" s="38">
        <f>SUM(G60:$G$105)</f>
        <v>-176081.60049750027</v>
      </c>
      <c r="I60" s="38">
        <f t="shared" si="5"/>
        <v>-87559.221217500133</v>
      </c>
      <c r="J60" s="38">
        <f>SUM(I60:$I$110)</f>
        <v>-1882623.1691746141</v>
      </c>
      <c r="Z60" s="220">
        <v>7424.5038044785197</v>
      </c>
      <c r="AC60" s="227">
        <f t="shared" si="0"/>
        <v>1926.3161250000003</v>
      </c>
      <c r="AE60" s="47">
        <f t="shared" si="1"/>
        <v>174155.28437250026</v>
      </c>
      <c r="AF60" s="47">
        <f t="shared" si="2"/>
        <v>1795063.9479571141</v>
      </c>
    </row>
    <row r="61" spans="1:32">
      <c r="C61" s="38">
        <v>7.5</v>
      </c>
      <c r="D61" s="37">
        <f t="shared" si="3"/>
        <v>-3852.6322500000006</v>
      </c>
      <c r="E61" s="220">
        <v>0</v>
      </c>
      <c r="F61" s="38">
        <v>0</v>
      </c>
      <c r="G61" s="39">
        <f t="shared" si="6"/>
        <v>-1926.3161250000003</v>
      </c>
      <c r="H61" s="38">
        <f>SUM(G61:$G$105)</f>
        <v>-174155.28437250026</v>
      </c>
      <c r="I61" s="38">
        <f t="shared" si="5"/>
        <v>-86596.063155000127</v>
      </c>
      <c r="J61" s="38">
        <f>SUM(I61:$I$110)</f>
        <v>-1795063.9479571141</v>
      </c>
      <c r="Z61" s="220">
        <v>7316.43242322898</v>
      </c>
      <c r="AC61" s="227">
        <f t="shared" si="0"/>
        <v>1926.3161250000003</v>
      </c>
      <c r="AE61" s="47">
        <f t="shared" si="1"/>
        <v>172228.96824750025</v>
      </c>
      <c r="AF61" s="47">
        <f t="shared" si="2"/>
        <v>1708467.884802114</v>
      </c>
    </row>
    <row r="62" spans="1:32">
      <c r="C62" s="38">
        <v>8</v>
      </c>
      <c r="D62" s="37">
        <f t="shared" si="3"/>
        <v>-3852.6322500000006</v>
      </c>
      <c r="E62" s="220">
        <v>0</v>
      </c>
      <c r="F62" s="38">
        <v>0</v>
      </c>
      <c r="G62" s="39">
        <f t="shared" si="6"/>
        <v>-1926.3161250000003</v>
      </c>
      <c r="H62" s="38">
        <f>SUM(G62:$G$105)</f>
        <v>-172228.96824750025</v>
      </c>
      <c r="I62" s="38">
        <f t="shared" si="5"/>
        <v>-85632.905092500121</v>
      </c>
      <c r="J62" s="38">
        <f>SUM(I62:$I$110)</f>
        <v>-1708467.884802114</v>
      </c>
      <c r="Z62" s="220">
        <v>7208.3610419794404</v>
      </c>
      <c r="AC62" s="227">
        <f t="shared" si="0"/>
        <v>1926.3161250000003</v>
      </c>
      <c r="AE62" s="47">
        <f t="shared" si="1"/>
        <v>170302.65212250024</v>
      </c>
      <c r="AF62" s="47">
        <f t="shared" si="2"/>
        <v>1622834.9797096138</v>
      </c>
    </row>
    <row r="63" spans="1:32">
      <c r="C63" s="38">
        <v>8.5</v>
      </c>
      <c r="D63" s="37">
        <f t="shared" si="3"/>
        <v>-3852.6322500000006</v>
      </c>
      <c r="E63" s="220">
        <v>0</v>
      </c>
      <c r="F63" s="38">
        <v>0</v>
      </c>
      <c r="G63" s="39">
        <f t="shared" si="6"/>
        <v>-1926.3161250000003</v>
      </c>
      <c r="H63" s="38">
        <f>SUM(G63:$G$105)</f>
        <v>-170302.65212250024</v>
      </c>
      <c r="I63" s="38">
        <f t="shared" si="5"/>
        <v>-84669.747030000115</v>
      </c>
      <c r="J63" s="38">
        <f>SUM(I63:$I$110)</f>
        <v>-1622834.9797096138</v>
      </c>
      <c r="Z63" s="220">
        <v>7100.2896607298999</v>
      </c>
      <c r="AC63" s="227">
        <f t="shared" si="0"/>
        <v>1926.3161250000003</v>
      </c>
      <c r="AE63" s="47">
        <f t="shared" si="1"/>
        <v>168376.33599750022</v>
      </c>
      <c r="AF63" s="47">
        <f t="shared" si="2"/>
        <v>1538165.2326796136</v>
      </c>
    </row>
    <row r="64" spans="1:32">
      <c r="C64" s="38">
        <v>9</v>
      </c>
      <c r="D64" s="37">
        <f t="shared" si="3"/>
        <v>-3852.6322500000006</v>
      </c>
      <c r="E64" s="220">
        <v>0</v>
      </c>
      <c r="F64" s="38">
        <v>0</v>
      </c>
      <c r="G64" s="39">
        <f t="shared" si="6"/>
        <v>-1926.3161250000003</v>
      </c>
      <c r="H64" s="38">
        <f>SUM(G64:$G$105)</f>
        <v>-168376.33599750022</v>
      </c>
      <c r="I64" s="38">
        <f t="shared" si="5"/>
        <v>-83706.588967500109</v>
      </c>
      <c r="J64" s="38">
        <f>SUM(I64:$I$110)</f>
        <v>-1538165.2326796136</v>
      </c>
      <c r="Z64" s="220">
        <v>6992.2182794803603</v>
      </c>
      <c r="AC64" s="227">
        <f t="shared" si="0"/>
        <v>1926.3161250000003</v>
      </c>
      <c r="AE64" s="47">
        <f t="shared" si="1"/>
        <v>166450.01987250021</v>
      </c>
      <c r="AF64" s="47">
        <f t="shared" si="2"/>
        <v>1454458.6437121134</v>
      </c>
    </row>
    <row r="65" spans="3:32">
      <c r="C65" s="38">
        <v>9.5</v>
      </c>
      <c r="D65" s="37">
        <f t="shared" si="3"/>
        <v>-3852.6322500000006</v>
      </c>
      <c r="E65" s="220">
        <v>0</v>
      </c>
      <c r="F65" s="38">
        <v>0</v>
      </c>
      <c r="G65" s="39">
        <f t="shared" si="6"/>
        <v>-1926.3161250000003</v>
      </c>
      <c r="H65" s="38">
        <f>SUM(G65:$G$105)</f>
        <v>-166450.01987250021</v>
      </c>
      <c r="I65" s="38">
        <f t="shared" si="5"/>
        <v>-82743.430905000103</v>
      </c>
      <c r="J65" s="38">
        <f>SUM(I65:$I$110)</f>
        <v>-1454458.6437121134</v>
      </c>
      <c r="Z65" s="220">
        <v>6884.1468982308197</v>
      </c>
      <c r="AC65" s="227">
        <f t="shared" si="0"/>
        <v>1926.3161250000003</v>
      </c>
      <c r="AE65" s="47">
        <f t="shared" si="1"/>
        <v>164523.7037475002</v>
      </c>
      <c r="AF65" s="47">
        <f t="shared" si="2"/>
        <v>1371715.2128071131</v>
      </c>
    </row>
    <row r="66" spans="3:32">
      <c r="C66" s="38">
        <v>10</v>
      </c>
      <c r="D66" s="37">
        <f t="shared" si="3"/>
        <v>-3852.6322500000006</v>
      </c>
      <c r="E66" s="220">
        <v>0</v>
      </c>
      <c r="F66" s="38">
        <v>0</v>
      </c>
      <c r="G66" s="39">
        <f t="shared" si="6"/>
        <v>-1926.3161250000003</v>
      </c>
      <c r="H66" s="38">
        <f>SUM(G66:$G$105)</f>
        <v>-164523.7037475002</v>
      </c>
      <c r="I66" s="38">
        <f t="shared" si="5"/>
        <v>-81780.272842500097</v>
      </c>
      <c r="J66" s="38">
        <f>SUM(I66:$I$110)</f>
        <v>-1371715.2128071131</v>
      </c>
      <c r="Z66" s="220">
        <v>6776.0755169812701</v>
      </c>
      <c r="AC66" s="227">
        <f t="shared" si="0"/>
        <v>1926.3161250000003</v>
      </c>
      <c r="AE66" s="47">
        <f t="shared" si="1"/>
        <v>162597.38762250019</v>
      </c>
      <c r="AF66" s="47">
        <f t="shared" si="2"/>
        <v>1289934.9399646132</v>
      </c>
    </row>
    <row r="67" spans="3:32">
      <c r="C67" s="38">
        <v>10.5</v>
      </c>
      <c r="D67" s="37">
        <f t="shared" si="3"/>
        <v>-3852.6322500000006</v>
      </c>
      <c r="E67" s="220">
        <v>0</v>
      </c>
      <c r="F67" s="38">
        <v>0</v>
      </c>
      <c r="G67" s="39">
        <f t="shared" si="6"/>
        <v>-1926.3161250000003</v>
      </c>
      <c r="H67" s="38">
        <f>SUM(G67:$G$105)</f>
        <v>-162597.38762250019</v>
      </c>
      <c r="I67" s="38">
        <f t="shared" si="5"/>
        <v>-80817.114780000091</v>
      </c>
      <c r="J67" s="38">
        <f>SUM(I67:$I$110)</f>
        <v>-1289934.9399646132</v>
      </c>
      <c r="Z67" s="220">
        <v>6668.0041357317295</v>
      </c>
      <c r="AC67" s="227">
        <f t="shared" si="0"/>
        <v>1926.3161250000003</v>
      </c>
      <c r="AE67" s="47">
        <f t="shared" si="1"/>
        <v>160671.07149750018</v>
      </c>
      <c r="AF67" s="47">
        <f t="shared" si="2"/>
        <v>1209117.8251846132</v>
      </c>
    </row>
    <row r="68" spans="3:32">
      <c r="C68" s="38">
        <v>11</v>
      </c>
      <c r="D68" s="37">
        <f t="shared" si="3"/>
        <v>-3852.6322500000006</v>
      </c>
      <c r="E68" s="220">
        <v>0</v>
      </c>
      <c r="F68" s="38">
        <v>0</v>
      </c>
      <c r="G68" s="39">
        <f t="shared" si="6"/>
        <v>-1926.3161250000003</v>
      </c>
      <c r="H68" s="38">
        <f>SUM(G68:$G$105)</f>
        <v>-160671.07149750018</v>
      </c>
      <c r="I68" s="38">
        <f t="shared" si="5"/>
        <v>-79853.956717500085</v>
      </c>
      <c r="J68" s="38">
        <f>SUM(I68:$I$110)</f>
        <v>-1209117.8251846132</v>
      </c>
      <c r="Z68" s="220">
        <v>6559.9327544821899</v>
      </c>
      <c r="AC68" s="227">
        <f t="shared" si="0"/>
        <v>1926.3161250000003</v>
      </c>
      <c r="AE68" s="47">
        <f t="shared" si="1"/>
        <v>158744.75537250013</v>
      </c>
      <c r="AF68" s="47">
        <f t="shared" si="2"/>
        <v>1129263.868467113</v>
      </c>
    </row>
    <row r="69" spans="3:32">
      <c r="C69" s="38">
        <v>11.5</v>
      </c>
      <c r="D69" s="37">
        <f t="shared" si="3"/>
        <v>-3852.6322500000006</v>
      </c>
      <c r="E69" s="220">
        <v>0</v>
      </c>
      <c r="F69" s="38">
        <v>0</v>
      </c>
      <c r="G69" s="39">
        <f t="shared" si="6"/>
        <v>-1926.3161250000003</v>
      </c>
      <c r="H69" s="38">
        <f>SUM(G69:$G$105)</f>
        <v>-158744.75537250013</v>
      </c>
      <c r="I69" s="38">
        <f t="shared" si="5"/>
        <v>-78890.798655000064</v>
      </c>
      <c r="J69" s="38">
        <f>SUM(I69:$I$110)</f>
        <v>-1129263.868467113</v>
      </c>
      <c r="Z69" s="220">
        <v>6451.8613732326503</v>
      </c>
      <c r="AC69" s="227">
        <f t="shared" si="0"/>
        <v>1926.3161250000003</v>
      </c>
      <c r="AE69" s="47">
        <f t="shared" si="1"/>
        <v>156818.43924750012</v>
      </c>
      <c r="AF69" s="47">
        <f t="shared" si="2"/>
        <v>1050373.0698121127</v>
      </c>
    </row>
    <row r="70" spans="3:32">
      <c r="C70" s="38">
        <v>12</v>
      </c>
      <c r="D70" s="37">
        <f t="shared" si="3"/>
        <v>-3852.6322500000006</v>
      </c>
      <c r="E70" s="220">
        <v>0</v>
      </c>
      <c r="F70" s="38">
        <v>0</v>
      </c>
      <c r="G70" s="39">
        <f t="shared" si="6"/>
        <v>-1926.3161250000003</v>
      </c>
      <c r="H70" s="38">
        <f>SUM(G70:$G$105)</f>
        <v>-156818.43924750012</v>
      </c>
      <c r="I70" s="38">
        <f t="shared" si="5"/>
        <v>-77927.640592500058</v>
      </c>
      <c r="J70" s="38">
        <f>SUM(I70:$I$110)</f>
        <v>-1050373.0698121127</v>
      </c>
      <c r="Z70" s="220">
        <v>6343.7900123005302</v>
      </c>
      <c r="AC70" s="227">
        <f t="shared" si="0"/>
        <v>1926.3161250000003</v>
      </c>
      <c r="AE70" s="47">
        <f t="shared" si="1"/>
        <v>154892.12312250011</v>
      </c>
      <c r="AF70" s="47">
        <f t="shared" si="2"/>
        <v>972445.42921961262</v>
      </c>
    </row>
    <row r="71" spans="3:32">
      <c r="C71" s="38">
        <v>12.5</v>
      </c>
      <c r="D71" s="37">
        <f t="shared" si="3"/>
        <v>-3852.6322500000006</v>
      </c>
      <c r="E71" s="220">
        <v>0</v>
      </c>
      <c r="F71" s="38">
        <v>0</v>
      </c>
      <c r="G71" s="39">
        <f t="shared" si="6"/>
        <v>-1926.3161250000003</v>
      </c>
      <c r="H71" s="38">
        <f>SUM(G71:$G$105)</f>
        <v>-154892.12312250011</v>
      </c>
      <c r="I71" s="38">
        <f t="shared" si="5"/>
        <v>-76964.482530000052</v>
      </c>
      <c r="J71" s="38">
        <f>SUM(I71:$I$110)</f>
        <v>-972445.42921961262</v>
      </c>
      <c r="Z71" s="220">
        <v>6235.7186310509896</v>
      </c>
      <c r="AC71" s="227">
        <f t="shared" si="0"/>
        <v>1926.3161250000003</v>
      </c>
      <c r="AE71" s="47">
        <f t="shared" si="1"/>
        <v>152965.8069975001</v>
      </c>
      <c r="AF71" s="47">
        <f t="shared" si="2"/>
        <v>895480.94668961258</v>
      </c>
    </row>
    <row r="72" spans="3:32">
      <c r="C72" s="38">
        <v>13</v>
      </c>
      <c r="D72" s="37">
        <f t="shared" si="3"/>
        <v>-3852.6322500000006</v>
      </c>
      <c r="E72" s="220">
        <v>0</v>
      </c>
      <c r="F72" s="38">
        <v>0</v>
      </c>
      <c r="G72" s="39">
        <f t="shared" si="6"/>
        <v>-1926.3161250000003</v>
      </c>
      <c r="H72" s="38">
        <f>SUM(G72:$G$105)</f>
        <v>-152965.8069975001</v>
      </c>
      <c r="I72" s="38">
        <f t="shared" si="5"/>
        <v>-76001.324467500046</v>
      </c>
      <c r="J72" s="38">
        <f>SUM(I72:$I$110)</f>
        <v>-895480.94668961258</v>
      </c>
      <c r="Z72" s="220">
        <v>6127.64724980145</v>
      </c>
      <c r="AC72" s="227">
        <f t="shared" si="0"/>
        <v>1926.3161250000003</v>
      </c>
      <c r="AE72" s="47">
        <f t="shared" si="1"/>
        <v>151039.49087250009</v>
      </c>
      <c r="AF72" s="47">
        <f t="shared" si="2"/>
        <v>819479.62222211261</v>
      </c>
    </row>
    <row r="73" spans="3:32">
      <c r="C73" s="38">
        <v>13.5</v>
      </c>
      <c r="D73" s="37">
        <f t="shared" si="3"/>
        <v>-3852.6322500000006</v>
      </c>
      <c r="E73" s="220">
        <v>0</v>
      </c>
      <c r="F73" s="38">
        <v>0</v>
      </c>
      <c r="G73" s="39">
        <f t="shared" si="6"/>
        <v>-1926.3161250000003</v>
      </c>
      <c r="H73" s="38">
        <f>SUM(G73:$G$105)</f>
        <v>-151039.49087250009</v>
      </c>
      <c r="I73" s="38">
        <f t="shared" si="5"/>
        <v>-75038.16640500004</v>
      </c>
      <c r="J73" s="38">
        <f>SUM(I73:$I$110)</f>
        <v>-819479.62222211261</v>
      </c>
      <c r="Z73" s="220">
        <v>6019.5758685519104</v>
      </c>
      <c r="AC73" s="227">
        <f t="shared" si="0"/>
        <v>1926.3161250000003</v>
      </c>
      <c r="AE73" s="47">
        <f t="shared" si="1"/>
        <v>149113.17474750007</v>
      </c>
      <c r="AF73" s="47">
        <f t="shared" si="2"/>
        <v>744441.45581711247</v>
      </c>
    </row>
    <row r="74" spans="3:32">
      <c r="C74" s="38">
        <v>14</v>
      </c>
      <c r="D74" s="37">
        <f t="shared" si="3"/>
        <v>-3852.6322500000006</v>
      </c>
      <c r="E74" s="220">
        <v>0</v>
      </c>
      <c r="F74" s="38">
        <v>0</v>
      </c>
      <c r="G74" s="39">
        <f t="shared" si="6"/>
        <v>-1926.3161250000003</v>
      </c>
      <c r="H74" s="38">
        <f>SUM(G74:$G$105)</f>
        <v>-149113.17474750007</v>
      </c>
      <c r="I74" s="38">
        <f t="shared" si="5"/>
        <v>-74075.008342500034</v>
      </c>
      <c r="J74" s="38">
        <f>SUM(I74:$I$110)</f>
        <v>-744441.45581711247</v>
      </c>
      <c r="Z74" s="220">
        <v>5911.5044873023699</v>
      </c>
      <c r="AC74" s="227">
        <f t="shared" si="0"/>
        <v>1926.3161250000003</v>
      </c>
      <c r="AE74" s="47">
        <f t="shared" si="1"/>
        <v>147186.85862250006</v>
      </c>
      <c r="AF74" s="47">
        <f t="shared" si="2"/>
        <v>670366.44747461251</v>
      </c>
    </row>
    <row r="75" spans="3:32">
      <c r="C75" s="38">
        <v>14.5</v>
      </c>
      <c r="D75" s="37">
        <f t="shared" si="3"/>
        <v>-3852.6322500000006</v>
      </c>
      <c r="E75" s="220">
        <v>0</v>
      </c>
      <c r="F75" s="38">
        <v>0</v>
      </c>
      <c r="G75" s="39">
        <f t="shared" si="6"/>
        <v>-1926.3161250000003</v>
      </c>
      <c r="H75" s="38">
        <f>SUM(G75:$G$105)</f>
        <v>-147186.85862250006</v>
      </c>
      <c r="I75" s="38">
        <f t="shared" si="5"/>
        <v>-73111.850280000028</v>
      </c>
      <c r="J75" s="38">
        <f>SUM(I75:$I$110)</f>
        <v>-670366.44747461251</v>
      </c>
      <c r="Z75" s="220">
        <v>5803.4331060528302</v>
      </c>
      <c r="AC75" s="227">
        <f t="shared" si="0"/>
        <v>1926.3161250000003</v>
      </c>
      <c r="AE75" s="47">
        <f t="shared" si="1"/>
        <v>145260.54249750005</v>
      </c>
      <c r="AF75" s="47">
        <f t="shared" si="2"/>
        <v>597254.59719461238</v>
      </c>
    </row>
    <row r="76" spans="3:32">
      <c r="C76" s="38">
        <v>15</v>
      </c>
      <c r="D76" s="37">
        <f t="shared" si="3"/>
        <v>-3852.6322500000006</v>
      </c>
      <c r="E76" s="220">
        <v>0</v>
      </c>
      <c r="F76" s="38">
        <v>0</v>
      </c>
      <c r="G76" s="39">
        <f t="shared" si="6"/>
        <v>-1926.3161250000003</v>
      </c>
      <c r="H76" s="38">
        <f>SUM(G76:$G$105)</f>
        <v>-145260.54249750005</v>
      </c>
      <c r="I76" s="38">
        <f t="shared" si="5"/>
        <v>-72148.692217500022</v>
      </c>
      <c r="J76" s="38">
        <f>SUM(I76:$I$110)</f>
        <v>-597254.59719461238</v>
      </c>
      <c r="Z76" s="220">
        <v>5695.3617248032897</v>
      </c>
      <c r="AC76" s="227">
        <f t="shared" si="0"/>
        <v>1926.3161250000003</v>
      </c>
      <c r="AE76" s="47">
        <f t="shared" si="1"/>
        <v>143334.22637250004</v>
      </c>
      <c r="AF76" s="47">
        <f t="shared" si="2"/>
        <v>525105.90497711254</v>
      </c>
    </row>
    <row r="77" spans="3:32">
      <c r="C77" s="38">
        <v>15.5</v>
      </c>
      <c r="D77" s="37">
        <f t="shared" si="3"/>
        <v>-3852.6322500000006</v>
      </c>
      <c r="E77" s="220">
        <v>0</v>
      </c>
      <c r="F77" s="38">
        <v>0</v>
      </c>
      <c r="G77" s="39">
        <f t="shared" si="6"/>
        <v>-1926.3161250000003</v>
      </c>
      <c r="H77" s="38">
        <f>SUM(G77:$G$105)</f>
        <v>-143334.22637250004</v>
      </c>
      <c r="I77" s="38">
        <f t="shared" si="5"/>
        <v>-71185.534155000001</v>
      </c>
      <c r="J77" s="38">
        <f>SUM(I77:$I$110)</f>
        <v>-525105.90497711254</v>
      </c>
      <c r="Z77" s="220">
        <v>5587.2903435537501</v>
      </c>
      <c r="AC77" s="227">
        <f t="shared" si="0"/>
        <v>1926.3161250000003</v>
      </c>
      <c r="AE77" s="47">
        <f t="shared" si="1"/>
        <v>141407.9102475</v>
      </c>
      <c r="AF77" s="47">
        <f t="shared" si="2"/>
        <v>453920.37082211243</v>
      </c>
    </row>
    <row r="78" spans="3:32">
      <c r="C78" s="38">
        <v>16</v>
      </c>
      <c r="D78" s="37">
        <f t="shared" si="3"/>
        <v>-3852.6322500000006</v>
      </c>
      <c r="E78" s="220">
        <v>0</v>
      </c>
      <c r="F78" s="38">
        <v>0</v>
      </c>
      <c r="G78" s="39">
        <f t="shared" si="6"/>
        <v>-1926.3161250000003</v>
      </c>
      <c r="H78" s="38">
        <f>SUM(G78:$G$105)</f>
        <v>-141407.9102475</v>
      </c>
      <c r="I78" s="38">
        <f t="shared" si="5"/>
        <v>-70222.376092499995</v>
      </c>
      <c r="J78" s="38">
        <f>SUM(I78:$I$110)</f>
        <v>-453920.37082211243</v>
      </c>
      <c r="Z78" s="220">
        <v>5479.2189623042104</v>
      </c>
      <c r="AC78" s="227">
        <f t="shared" si="0"/>
        <v>1926.3161250000003</v>
      </c>
      <c r="AE78" s="47">
        <f t="shared" si="1"/>
        <v>139481.59412249998</v>
      </c>
      <c r="AF78" s="47">
        <f t="shared" si="2"/>
        <v>383697.99472961249</v>
      </c>
    </row>
    <row r="79" spans="3:32">
      <c r="C79" s="38">
        <v>16.5</v>
      </c>
      <c r="D79" s="37">
        <f t="shared" si="3"/>
        <v>-3852.6322500000006</v>
      </c>
      <c r="E79" s="220">
        <v>0</v>
      </c>
      <c r="F79" s="38">
        <v>0</v>
      </c>
      <c r="G79" s="39">
        <f t="shared" si="6"/>
        <v>-1926.3161250000003</v>
      </c>
      <c r="H79" s="38">
        <f>SUM(G79:$G$105)</f>
        <v>-139481.59412249998</v>
      </c>
      <c r="I79" s="38">
        <f t="shared" si="5"/>
        <v>-69259.218029999989</v>
      </c>
      <c r="J79" s="38">
        <f>SUM(I79:$I$110)</f>
        <v>-383697.99472961249</v>
      </c>
      <c r="Z79" s="220">
        <v>5371.1475810546699</v>
      </c>
      <c r="AC79" s="227">
        <f t="shared" si="0"/>
        <v>92055.691124999998</v>
      </c>
      <c r="AE79" s="47">
        <f t="shared" si="1"/>
        <v>137555.27799749997</v>
      </c>
      <c r="AF79" s="47">
        <f t="shared" si="2"/>
        <v>314438.77669961244</v>
      </c>
    </row>
    <row r="80" spans="3:32">
      <c r="C80" s="38">
        <v>17</v>
      </c>
      <c r="D80" s="37">
        <f t="shared" si="3"/>
        <v>-3852.6322500000006</v>
      </c>
      <c r="E80" s="220">
        <v>0</v>
      </c>
      <c r="F80" s="38">
        <f>I32*I29</f>
        <v>-90129.375</v>
      </c>
      <c r="G80" s="39">
        <f t="shared" si="6"/>
        <v>-92055.691124999998</v>
      </c>
      <c r="H80" s="38">
        <f>SUM(G80:$G$105)</f>
        <v>-137555.27799749997</v>
      </c>
      <c r="I80" s="38">
        <f t="shared" si="5"/>
        <v>-45763.71621749999</v>
      </c>
      <c r="J80" s="38">
        <f>SUM(I80:$I$110)</f>
        <v>-314438.77669961244</v>
      </c>
      <c r="Z80" s="220">
        <v>5263.0761998051303</v>
      </c>
      <c r="AC80" s="227">
        <f t="shared" si="0"/>
        <v>1926.3161250000003</v>
      </c>
      <c r="AE80" s="47">
        <f t="shared" si="1"/>
        <v>45499.586872499996</v>
      </c>
      <c r="AF80" s="47">
        <f t="shared" si="2"/>
        <v>268675.06048211246</v>
      </c>
    </row>
    <row r="81" spans="3:32">
      <c r="C81" s="38">
        <v>17.5</v>
      </c>
      <c r="D81" s="37">
        <f t="shared" si="3"/>
        <v>-3852.6322500000006</v>
      </c>
      <c r="E81" s="220">
        <v>0</v>
      </c>
      <c r="F81" s="38">
        <v>0</v>
      </c>
      <c r="G81" s="39">
        <f t="shared" si="6"/>
        <v>-1926.3161250000003</v>
      </c>
      <c r="H81" s="38">
        <f>SUM(G81:$G$105)</f>
        <v>-45499.586872499996</v>
      </c>
      <c r="I81" s="38">
        <f t="shared" si="5"/>
        <v>-22268.214404999999</v>
      </c>
      <c r="J81" s="38">
        <f>SUM(I81:$I$110)</f>
        <v>-268675.06048211246</v>
      </c>
      <c r="Z81" s="220">
        <v>5155.0048185555897</v>
      </c>
      <c r="AC81" s="227">
        <f t="shared" si="0"/>
        <v>1926.3161250000003</v>
      </c>
      <c r="AE81" s="47">
        <f t="shared" si="1"/>
        <v>43573.270747499999</v>
      </c>
      <c r="AF81" s="47">
        <f t="shared" si="2"/>
        <v>246406.84607711251</v>
      </c>
    </row>
    <row r="82" spans="3:32">
      <c r="C82" s="38">
        <v>18</v>
      </c>
      <c r="D82" s="37">
        <f t="shared" si="3"/>
        <v>-3852.6322500000006</v>
      </c>
      <c r="E82" s="220">
        <v>0</v>
      </c>
      <c r="F82" s="38">
        <v>0</v>
      </c>
      <c r="G82" s="39">
        <f t="shared" si="6"/>
        <v>-1926.3161250000003</v>
      </c>
      <c r="H82" s="38">
        <f>SUM(G82:$G$105)</f>
        <v>-43573.270747499999</v>
      </c>
      <c r="I82" s="38">
        <f t="shared" si="5"/>
        <v>-21305.0563425</v>
      </c>
      <c r="J82" s="38">
        <f>SUM(I82:$I$110)</f>
        <v>-246406.84607711251</v>
      </c>
      <c r="Z82" s="220">
        <v>5046.9334373060501</v>
      </c>
      <c r="AC82" s="227">
        <f t="shared" si="0"/>
        <v>1926.3161250000003</v>
      </c>
      <c r="AE82" s="47">
        <f t="shared" si="1"/>
        <v>41646.954622500001</v>
      </c>
      <c r="AF82" s="47">
        <f t="shared" si="2"/>
        <v>225101.78973461254</v>
      </c>
    </row>
    <row r="83" spans="3:32">
      <c r="C83" s="38">
        <v>18.5</v>
      </c>
      <c r="D83" s="37">
        <f t="shared" si="3"/>
        <v>-3852.6322500000006</v>
      </c>
      <c r="E83" s="220">
        <v>0</v>
      </c>
      <c r="F83" s="38">
        <v>0</v>
      </c>
      <c r="G83" s="39">
        <f t="shared" si="6"/>
        <v>-1926.3161250000003</v>
      </c>
      <c r="H83" s="38">
        <f>SUM(G83:$G$105)</f>
        <v>-41646.954622500001</v>
      </c>
      <c r="I83" s="38">
        <f t="shared" si="5"/>
        <v>-20341.898280000001</v>
      </c>
      <c r="J83" s="38">
        <f>SUM(I83:$I$110)</f>
        <v>-225101.78973461254</v>
      </c>
      <c r="Z83" s="220">
        <v>4938.8620560565096</v>
      </c>
      <c r="AC83" s="227">
        <f t="shared" si="0"/>
        <v>1926.3161250000003</v>
      </c>
      <c r="AE83" s="47">
        <f t="shared" si="1"/>
        <v>39720.638497500004</v>
      </c>
      <c r="AF83" s="47">
        <f t="shared" si="2"/>
        <v>204759.89145461252</v>
      </c>
    </row>
    <row r="84" spans="3:32">
      <c r="C84" s="38">
        <v>19</v>
      </c>
      <c r="D84" s="37">
        <f t="shared" si="3"/>
        <v>-3852.6322500000006</v>
      </c>
      <c r="E84" s="220">
        <v>0</v>
      </c>
      <c r="F84" s="38">
        <v>0</v>
      </c>
      <c r="G84" s="39">
        <f t="shared" si="6"/>
        <v>-1926.3161250000003</v>
      </c>
      <c r="H84" s="38">
        <f>SUM(G84:$G$105)</f>
        <v>-39720.638497500004</v>
      </c>
      <c r="I84" s="38">
        <f t="shared" si="5"/>
        <v>-19378.740217500002</v>
      </c>
      <c r="J84" s="38">
        <f>SUM(I84:$I$110)</f>
        <v>-204759.89145461252</v>
      </c>
      <c r="Z84" s="220">
        <v>4830.7906748069699</v>
      </c>
      <c r="AC84" s="227">
        <f t="shared" si="0"/>
        <v>1926.3161250000003</v>
      </c>
      <c r="AE84" s="47">
        <f t="shared" si="1"/>
        <v>37794.322372500006</v>
      </c>
      <c r="AF84" s="47">
        <f t="shared" si="2"/>
        <v>185381.15123711253</v>
      </c>
    </row>
    <row r="85" spans="3:32">
      <c r="C85" s="38">
        <v>19.5</v>
      </c>
      <c r="D85" s="37">
        <f t="shared" si="3"/>
        <v>-3852.6322500000006</v>
      </c>
      <c r="E85" s="220">
        <v>0</v>
      </c>
      <c r="F85" s="38">
        <v>0</v>
      </c>
      <c r="G85" s="39">
        <f t="shared" si="6"/>
        <v>-1926.3161250000003</v>
      </c>
      <c r="H85" s="38">
        <f>SUM(G85:$G$105)</f>
        <v>-37794.322372500006</v>
      </c>
      <c r="I85" s="38">
        <f t="shared" si="5"/>
        <v>-18415.582155000004</v>
      </c>
      <c r="J85" s="38">
        <f>SUM(I85:$I$110)</f>
        <v>-185381.15123711253</v>
      </c>
      <c r="Z85" s="220">
        <v>4722.7193138748498</v>
      </c>
      <c r="AC85" s="227">
        <f t="shared" si="0"/>
        <v>1926.3161250000003</v>
      </c>
      <c r="AE85" s="47">
        <f t="shared" si="1"/>
        <v>35868.006247500009</v>
      </c>
      <c r="AF85" s="47">
        <f t="shared" si="2"/>
        <v>166965.56908211252</v>
      </c>
    </row>
    <row r="86" spans="3:32">
      <c r="C86" s="38">
        <v>20</v>
      </c>
      <c r="D86" s="37">
        <f t="shared" si="3"/>
        <v>-3852.6322500000006</v>
      </c>
      <c r="E86" s="220">
        <v>0</v>
      </c>
      <c r="F86" s="38">
        <v>0</v>
      </c>
      <c r="G86" s="39">
        <f t="shared" si="6"/>
        <v>-1926.3161250000003</v>
      </c>
      <c r="H86" s="38">
        <f>SUM(G86:$G$105)</f>
        <v>-35868.006247500009</v>
      </c>
      <c r="I86" s="38">
        <f t="shared" si="5"/>
        <v>-17452.424092500005</v>
      </c>
      <c r="J86" s="38">
        <f>SUM(I86:$I$110)</f>
        <v>-166965.56908211252</v>
      </c>
      <c r="Z86" s="220">
        <v>4614.6479326253102</v>
      </c>
      <c r="AC86" s="227">
        <f t="shared" si="0"/>
        <v>1926.3161250000003</v>
      </c>
      <c r="AE86" s="47">
        <f t="shared" si="1"/>
        <v>33941.690122500011</v>
      </c>
      <c r="AF86" s="47">
        <f t="shared" si="2"/>
        <v>149513.14498961251</v>
      </c>
    </row>
    <row r="87" spans="3:32">
      <c r="C87" s="38">
        <v>20.5</v>
      </c>
      <c r="D87" s="37">
        <f t="shared" si="3"/>
        <v>-3852.6322500000006</v>
      </c>
      <c r="E87" s="220">
        <v>0</v>
      </c>
      <c r="F87" s="38">
        <v>0</v>
      </c>
      <c r="G87" s="39">
        <f t="shared" si="6"/>
        <v>-1926.3161250000003</v>
      </c>
      <c r="H87" s="38">
        <f>SUM(G87:$G$105)</f>
        <v>-33941.690122500011</v>
      </c>
      <c r="I87" s="38">
        <f t="shared" si="5"/>
        <v>-16489.266030000006</v>
      </c>
      <c r="J87" s="38">
        <f>SUM(I87:$I$110)</f>
        <v>-149513.14498961251</v>
      </c>
      <c r="Z87" s="220">
        <v>4506.5765513757697</v>
      </c>
      <c r="AC87" s="227">
        <f t="shared" si="0"/>
        <v>1926.3161250000003</v>
      </c>
      <c r="AE87" s="47">
        <f t="shared" si="1"/>
        <v>32015.37399750001</v>
      </c>
      <c r="AF87" s="47">
        <f t="shared" si="2"/>
        <v>133023.87895961254</v>
      </c>
    </row>
    <row r="88" spans="3:32">
      <c r="C88" s="38">
        <v>21</v>
      </c>
      <c r="D88" s="37">
        <f t="shared" si="3"/>
        <v>-3852.6322500000006</v>
      </c>
      <c r="E88" s="220">
        <v>0</v>
      </c>
      <c r="F88" s="38">
        <v>0</v>
      </c>
      <c r="G88" s="39">
        <f t="shared" si="6"/>
        <v>-1926.3161250000003</v>
      </c>
      <c r="H88" s="38">
        <f>SUM(G88:$G$105)</f>
        <v>-32015.37399750001</v>
      </c>
      <c r="I88" s="38">
        <f t="shared" si="5"/>
        <v>-15526.107967500004</v>
      </c>
      <c r="J88" s="38">
        <f>SUM(I88:$I$110)</f>
        <v>-133023.87895961254</v>
      </c>
      <c r="Z88" s="220">
        <v>4398.50517012623</v>
      </c>
      <c r="AC88" s="227">
        <f t="shared" si="0"/>
        <v>1926.3161250000003</v>
      </c>
      <c r="AE88" s="47">
        <f t="shared" si="1"/>
        <v>30089.057872500009</v>
      </c>
      <c r="AF88" s="47">
        <f t="shared" si="2"/>
        <v>117497.77099211251</v>
      </c>
    </row>
    <row r="89" spans="3:32">
      <c r="C89" s="38">
        <v>21.5</v>
      </c>
      <c r="D89" s="37">
        <f t="shared" si="3"/>
        <v>-3852.6322500000006</v>
      </c>
      <c r="E89" s="220">
        <v>0</v>
      </c>
      <c r="F89" s="38">
        <v>0</v>
      </c>
      <c r="G89" s="39">
        <f t="shared" si="6"/>
        <v>-1926.3161250000003</v>
      </c>
      <c r="H89" s="38">
        <f>SUM(G89:$G$105)</f>
        <v>-30089.057872500009</v>
      </c>
      <c r="I89" s="38">
        <f t="shared" si="5"/>
        <v>-14562.949905000005</v>
      </c>
      <c r="J89" s="38">
        <f>SUM(I89:$I$110)</f>
        <v>-117497.77099211251</v>
      </c>
      <c r="Z89" s="220">
        <v>4290.4337888766904</v>
      </c>
      <c r="AC89" s="227">
        <f t="shared" si="0"/>
        <v>1926.3161250000003</v>
      </c>
      <c r="AE89" s="47">
        <f t="shared" si="1"/>
        <v>28162.741747500007</v>
      </c>
      <c r="AF89" s="47">
        <f t="shared" si="2"/>
        <v>102934.82108711252</v>
      </c>
    </row>
    <row r="90" spans="3:32">
      <c r="C90" s="38">
        <v>22</v>
      </c>
      <c r="D90" s="37">
        <f t="shared" si="3"/>
        <v>-3852.6322500000006</v>
      </c>
      <c r="E90" s="220">
        <v>0</v>
      </c>
      <c r="F90" s="38">
        <v>0</v>
      </c>
      <c r="G90" s="39">
        <f t="shared" si="6"/>
        <v>-1926.3161250000003</v>
      </c>
      <c r="H90" s="38">
        <f>SUM(G90:$G$105)</f>
        <v>-28162.741747500007</v>
      </c>
      <c r="I90" s="38">
        <f t="shared" si="5"/>
        <v>-13599.791842500003</v>
      </c>
      <c r="J90" s="38">
        <f>SUM(I90:$I$110)</f>
        <v>-102934.82108711252</v>
      </c>
      <c r="Z90" s="220">
        <v>4182.3624076271499</v>
      </c>
      <c r="AC90" s="227">
        <f t="shared" si="0"/>
        <v>1926.3161250000003</v>
      </c>
      <c r="AE90" s="47">
        <f t="shared" si="1"/>
        <v>26236.425622500006</v>
      </c>
      <c r="AF90" s="47">
        <f t="shared" si="2"/>
        <v>89335.02924461251</v>
      </c>
    </row>
    <row r="91" spans="3:32">
      <c r="C91" s="38">
        <v>22.5</v>
      </c>
      <c r="D91" s="37">
        <f t="shared" si="3"/>
        <v>-3852.6322500000006</v>
      </c>
      <c r="E91" s="220">
        <v>0</v>
      </c>
      <c r="F91" s="38">
        <v>0</v>
      </c>
      <c r="G91" s="39">
        <f t="shared" si="6"/>
        <v>-1926.3161250000003</v>
      </c>
      <c r="H91" s="38">
        <f>SUM(G91:$G$105)</f>
        <v>-26236.425622500006</v>
      </c>
      <c r="I91" s="38">
        <f t="shared" si="5"/>
        <v>-12636.633780000004</v>
      </c>
      <c r="J91" s="38">
        <f>SUM(I91:$I$110)</f>
        <v>-89335.02924461251</v>
      </c>
      <c r="Z91" s="220">
        <v>4074.2910263776098</v>
      </c>
      <c r="AC91" s="227">
        <f t="shared" si="0"/>
        <v>1926.3161250000003</v>
      </c>
      <c r="AE91" s="47">
        <f t="shared" si="1"/>
        <v>24310.109497500005</v>
      </c>
      <c r="AF91" s="47">
        <f t="shared" si="2"/>
        <v>76698.395464612491</v>
      </c>
    </row>
    <row r="92" spans="3:32">
      <c r="C92" s="38">
        <v>23</v>
      </c>
      <c r="D92" s="37">
        <f t="shared" si="3"/>
        <v>-3852.6322500000006</v>
      </c>
      <c r="E92" s="220">
        <v>0</v>
      </c>
      <c r="F92" s="38">
        <v>0</v>
      </c>
      <c r="G92" s="39">
        <f t="shared" si="6"/>
        <v>-1926.3161250000003</v>
      </c>
      <c r="H92" s="38">
        <f>SUM(G92:$G$105)</f>
        <v>-24310.109497500005</v>
      </c>
      <c r="I92" s="38">
        <f t="shared" si="5"/>
        <v>-11673.475717500001</v>
      </c>
      <c r="J92" s="38">
        <f>SUM(I92:$I$110)</f>
        <v>-76698.395464612491</v>
      </c>
      <c r="Z92" s="220">
        <v>3966.2196451280602</v>
      </c>
      <c r="AC92" s="227">
        <f t="shared" si="0"/>
        <v>1926.3161250000003</v>
      </c>
      <c r="AE92" s="47">
        <f t="shared" si="1"/>
        <v>22383.793372500004</v>
      </c>
      <c r="AF92" s="47">
        <f t="shared" si="2"/>
        <v>65024.919747112486</v>
      </c>
    </row>
    <row r="93" spans="3:32">
      <c r="C93" s="38">
        <v>23.5</v>
      </c>
      <c r="D93" s="37">
        <f t="shared" si="3"/>
        <v>-3852.6322500000006</v>
      </c>
      <c r="E93" s="220">
        <v>0</v>
      </c>
      <c r="F93" s="38">
        <v>0</v>
      </c>
      <c r="G93" s="39">
        <f t="shared" si="6"/>
        <v>-1926.3161250000003</v>
      </c>
      <c r="H93" s="38">
        <f>SUM(G93:$G$105)</f>
        <v>-22383.793372500004</v>
      </c>
      <c r="I93" s="38">
        <f t="shared" si="5"/>
        <v>-10710.317655000003</v>
      </c>
      <c r="J93" s="38">
        <f>SUM(I93:$I$110)</f>
        <v>-65024.919747112486</v>
      </c>
      <c r="Z93" s="220">
        <v>3858.1482638785201</v>
      </c>
      <c r="AC93" s="227">
        <f t="shared" si="0"/>
        <v>1926.3161250000003</v>
      </c>
      <c r="AE93" s="47">
        <f t="shared" si="1"/>
        <v>20457.477247500003</v>
      </c>
      <c r="AF93" s="47">
        <f t="shared" si="2"/>
        <v>54314.60209211248</v>
      </c>
    </row>
    <row r="94" spans="3:32">
      <c r="C94" s="38">
        <v>24</v>
      </c>
      <c r="D94" s="37">
        <f t="shared" si="3"/>
        <v>-3852.6322500000006</v>
      </c>
      <c r="E94" s="220">
        <v>0</v>
      </c>
      <c r="F94" s="38">
        <v>0</v>
      </c>
      <c r="G94" s="39">
        <f t="shared" si="6"/>
        <v>-1926.3161250000003</v>
      </c>
      <c r="H94" s="38">
        <f>SUM(G94:$G$105)</f>
        <v>-20457.477247500003</v>
      </c>
      <c r="I94" s="38">
        <f t="shared" si="5"/>
        <v>-9747.1595925000001</v>
      </c>
      <c r="J94" s="38">
        <f>SUM(I94:$I$110)</f>
        <v>-54314.60209211248</v>
      </c>
      <c r="Z94" s="220">
        <v>3750.07688262898</v>
      </c>
      <c r="AC94" s="227">
        <f t="shared" si="0"/>
        <v>1926.3161250000003</v>
      </c>
      <c r="AE94" s="47">
        <f t="shared" si="1"/>
        <v>18531.161122500002</v>
      </c>
      <c r="AF94" s="47">
        <f t="shared" si="2"/>
        <v>44567.44249961248</v>
      </c>
    </row>
    <row r="95" spans="3:32">
      <c r="C95" s="38">
        <v>24.5</v>
      </c>
      <c r="D95" s="37">
        <f t="shared" si="3"/>
        <v>-3852.6322500000006</v>
      </c>
      <c r="E95" s="220">
        <v>0</v>
      </c>
      <c r="F95" s="38">
        <v>0</v>
      </c>
      <c r="G95" s="39">
        <f t="shared" si="6"/>
        <v>-1926.3161250000003</v>
      </c>
      <c r="H95" s="38">
        <f>SUM(G95:$G$105)</f>
        <v>-18531.161122500002</v>
      </c>
      <c r="I95" s="38">
        <f t="shared" si="5"/>
        <v>-8784.0015300000014</v>
      </c>
      <c r="J95" s="38">
        <f>SUM(I95:$I$110)</f>
        <v>-44567.44249961248</v>
      </c>
      <c r="Z95" s="220">
        <v>3642.0055013794399</v>
      </c>
      <c r="AC95" s="227">
        <f t="shared" si="0"/>
        <v>1926.3161250000003</v>
      </c>
      <c r="AE95" s="47">
        <f t="shared" si="1"/>
        <v>16604.8449975</v>
      </c>
      <c r="AF95" s="47">
        <f t="shared" si="2"/>
        <v>35783.440969612479</v>
      </c>
    </row>
    <row r="96" spans="3:32">
      <c r="C96" s="38">
        <v>25</v>
      </c>
      <c r="D96" s="37">
        <f t="shared" si="3"/>
        <v>-3852.6322500000006</v>
      </c>
      <c r="E96" s="220">
        <v>0</v>
      </c>
      <c r="F96" s="38">
        <v>0</v>
      </c>
      <c r="G96" s="39">
        <f t="shared" si="6"/>
        <v>-1926.3161250000003</v>
      </c>
      <c r="H96" s="38">
        <f>SUM(G96:$G$105)</f>
        <v>-16604.8449975</v>
      </c>
      <c r="I96" s="38">
        <f t="shared" si="5"/>
        <v>-7820.8434674999999</v>
      </c>
      <c r="J96" s="38">
        <f>SUM(I96:$I$110)</f>
        <v>-35783.440969612479</v>
      </c>
      <c r="Z96" s="220">
        <v>3533.9341201298998</v>
      </c>
      <c r="AC96" s="227">
        <f t="shared" si="0"/>
        <v>1926.3161250000003</v>
      </c>
      <c r="AE96" s="47">
        <f t="shared" si="1"/>
        <v>14678.528872499999</v>
      </c>
      <c r="AF96" s="47">
        <f t="shared" si="2"/>
        <v>27962.597502112487</v>
      </c>
    </row>
    <row r="97" spans="3:32">
      <c r="C97" s="38">
        <v>25.5</v>
      </c>
      <c r="D97" s="37">
        <f t="shared" si="3"/>
        <v>-3852.6322500000006</v>
      </c>
      <c r="E97" s="220">
        <v>0</v>
      </c>
      <c r="F97" s="38">
        <v>0</v>
      </c>
      <c r="G97" s="39">
        <f t="shared" si="6"/>
        <v>-1926.3161250000003</v>
      </c>
      <c r="H97" s="38">
        <f>SUM(G97:$G$105)</f>
        <v>-14678.528872499999</v>
      </c>
      <c r="I97" s="38">
        <f t="shared" si="5"/>
        <v>-6857.6854049999993</v>
      </c>
      <c r="J97" s="38">
        <f>SUM(I97:$I$110)</f>
        <v>-27962.597502112487</v>
      </c>
      <c r="Z97" s="220">
        <v>3425.8627388803602</v>
      </c>
      <c r="AC97" s="227">
        <f t="shared" si="0"/>
        <v>1926.3161250000003</v>
      </c>
      <c r="AE97" s="47">
        <f t="shared" si="1"/>
        <v>12752.212747499998</v>
      </c>
      <c r="AF97" s="47">
        <f t="shared" si="2"/>
        <v>21104.912097112487</v>
      </c>
    </row>
    <row r="98" spans="3:32">
      <c r="C98" s="38">
        <v>26</v>
      </c>
      <c r="D98" s="37">
        <f t="shared" si="3"/>
        <v>-3852.6322500000006</v>
      </c>
      <c r="E98" s="220">
        <v>0</v>
      </c>
      <c r="F98" s="38">
        <v>0</v>
      </c>
      <c r="G98" s="39">
        <f t="shared" si="6"/>
        <v>-1926.3161250000003</v>
      </c>
      <c r="H98" s="38">
        <f>SUM(G98:$G$105)</f>
        <v>-12752.212747499998</v>
      </c>
      <c r="I98" s="38">
        <f t="shared" si="5"/>
        <v>-5894.5273424999987</v>
      </c>
      <c r="J98" s="38">
        <f>SUM(I98:$I$110)</f>
        <v>-21104.912097112487</v>
      </c>
      <c r="Z98" s="220">
        <v>3317.7913576308201</v>
      </c>
      <c r="AC98" s="227">
        <f t="shared" si="0"/>
        <v>1926.3161250000003</v>
      </c>
      <c r="AE98" s="47">
        <f t="shared" si="1"/>
        <v>10825.896622499997</v>
      </c>
      <c r="AF98" s="47">
        <f t="shared" si="2"/>
        <v>15210.384754612487</v>
      </c>
    </row>
    <row r="99" spans="3:32">
      <c r="C99" s="38">
        <v>26.5</v>
      </c>
      <c r="D99" s="37">
        <f t="shared" si="3"/>
        <v>-3852.6322500000006</v>
      </c>
      <c r="E99" s="220">
        <v>0</v>
      </c>
      <c r="F99" s="38">
        <v>0</v>
      </c>
      <c r="G99" s="39">
        <f t="shared" si="6"/>
        <v>-1926.3161250000003</v>
      </c>
      <c r="H99" s="38">
        <f>SUM(G99:$G$105)</f>
        <v>-10825.896622499997</v>
      </c>
      <c r="I99" s="38">
        <f t="shared" si="5"/>
        <v>-4931.3692799999981</v>
      </c>
      <c r="J99" s="38">
        <f>SUM(I99:$I$110)</f>
        <v>-15210.384754612487</v>
      </c>
      <c r="Z99" s="220">
        <v>3209.71997638128</v>
      </c>
      <c r="AC99" s="227">
        <f t="shared" si="0"/>
        <v>1926.3161250000003</v>
      </c>
      <c r="AE99" s="47">
        <f t="shared" si="1"/>
        <v>8899.5804974999955</v>
      </c>
      <c r="AF99" s="47">
        <f t="shared" si="2"/>
        <v>10279.01547461249</v>
      </c>
    </row>
    <row r="100" spans="3:32">
      <c r="C100" s="38">
        <v>27</v>
      </c>
      <c r="D100" s="37">
        <f t="shared" si="3"/>
        <v>-3852.6322500000006</v>
      </c>
      <c r="E100" s="220">
        <v>0</v>
      </c>
      <c r="F100" s="38">
        <v>0</v>
      </c>
      <c r="G100" s="39">
        <f t="shared" si="6"/>
        <v>-1926.3161250000003</v>
      </c>
      <c r="H100" s="38">
        <f>SUM(G100:$G$105)</f>
        <v>-8899.5804974999955</v>
      </c>
      <c r="I100" s="38">
        <f t="shared" si="5"/>
        <v>-3968.2112174999979</v>
      </c>
      <c r="J100" s="38">
        <f>SUM(I100:$I$110)</f>
        <v>-10279.01547461249</v>
      </c>
      <c r="Z100" s="220">
        <v>3101.64859513174</v>
      </c>
      <c r="AC100" s="227">
        <f t="shared" si="0"/>
        <v>1926.3161250000003</v>
      </c>
      <c r="AE100" s="47">
        <f t="shared" si="1"/>
        <v>6973.2643724999962</v>
      </c>
      <c r="AF100" s="47">
        <f t="shared" si="2"/>
        <v>6310.8042571124915</v>
      </c>
    </row>
    <row r="101" spans="3:32">
      <c r="C101" s="38">
        <v>27.5</v>
      </c>
      <c r="D101" s="37">
        <f t="shared" si="3"/>
        <v>-3852.6322500000006</v>
      </c>
      <c r="E101" s="220">
        <v>0</v>
      </c>
      <c r="F101" s="38">
        <v>0</v>
      </c>
      <c r="G101" s="39">
        <f t="shared" si="6"/>
        <v>-1926.3161250000003</v>
      </c>
      <c r="H101" s="38">
        <f>SUM(G101:$G$105)</f>
        <v>-6973.2643724999962</v>
      </c>
      <c r="I101" s="38">
        <f t="shared" si="5"/>
        <v>-3005.0531549999978</v>
      </c>
      <c r="J101" s="38">
        <f>SUM(I101:$I$110)</f>
        <v>-6310.8042571124915</v>
      </c>
      <c r="Z101" s="38">
        <v>0</v>
      </c>
      <c r="AC101" s="227">
        <f t="shared" si="0"/>
        <v>1926.3161250000003</v>
      </c>
      <c r="AE101" s="47">
        <f t="shared" si="1"/>
        <v>5046.9482474999959</v>
      </c>
      <c r="AF101" s="47">
        <f t="shared" si="2"/>
        <v>3305.7511021124942</v>
      </c>
    </row>
    <row r="102" spans="3:32">
      <c r="C102" s="38">
        <v>28</v>
      </c>
      <c r="D102" s="37">
        <f t="shared" si="3"/>
        <v>-3852.6322500000006</v>
      </c>
      <c r="E102" s="220">
        <v>0</v>
      </c>
      <c r="F102" s="38">
        <v>0</v>
      </c>
      <c r="G102" s="39">
        <f t="shared" si="6"/>
        <v>-1926.3161250000003</v>
      </c>
      <c r="H102" s="38">
        <f>SUM(G102:$G$105)</f>
        <v>-5046.9482474999959</v>
      </c>
      <c r="I102" s="38">
        <f t="shared" si="5"/>
        <v>-2041.8950924999979</v>
      </c>
      <c r="J102" s="38">
        <f>SUM(I102:$I$110)</f>
        <v>-3305.7511021124942</v>
      </c>
      <c r="Z102" s="38">
        <v>0</v>
      </c>
      <c r="AC102" s="227">
        <f t="shared" si="0"/>
        <v>1926.3161250000003</v>
      </c>
      <c r="AE102" s="47">
        <f t="shared" si="1"/>
        <v>3120.6321224999956</v>
      </c>
      <c r="AF102" s="47">
        <f t="shared" si="2"/>
        <v>1263.8560096124963</v>
      </c>
    </row>
    <row r="103" spans="3:32">
      <c r="C103" s="38">
        <v>28.5</v>
      </c>
      <c r="D103" s="37">
        <f t="shared" si="3"/>
        <v>-3852.6322500000006</v>
      </c>
      <c r="E103" s="220">
        <v>0</v>
      </c>
      <c r="F103" s="38">
        <v>0</v>
      </c>
      <c r="G103" s="39">
        <f t="shared" si="6"/>
        <v>-1926.3161250000003</v>
      </c>
      <c r="H103" s="38">
        <f>SUM(G103:$G$105)</f>
        <v>-3120.6321224999956</v>
      </c>
      <c r="I103" s="38">
        <f t="shared" si="5"/>
        <v>-1078.7370299999977</v>
      </c>
      <c r="J103" s="38">
        <f>SUM(I103:$I$110)</f>
        <v>-1263.8560096124963</v>
      </c>
      <c r="Z103" s="38">
        <v>0</v>
      </c>
      <c r="AC103" s="227">
        <f t="shared" si="0"/>
        <v>1194.3159974999953</v>
      </c>
      <c r="AE103" s="47">
        <f t="shared" si="1"/>
        <v>1194.3159974999953</v>
      </c>
      <c r="AF103" s="47">
        <f t="shared" si="2"/>
        <v>185.11897961249852</v>
      </c>
    </row>
    <row r="104" spans="3:32">
      <c r="C104" s="38">
        <v>29</v>
      </c>
      <c r="D104" s="37">
        <f t="shared" si="3"/>
        <v>-3852.6322500000006</v>
      </c>
      <c r="E104" s="220">
        <v>0</v>
      </c>
      <c r="F104" s="38">
        <v>0</v>
      </c>
      <c r="G104" s="39">
        <f t="shared" si="6"/>
        <v>-1194.3159974999953</v>
      </c>
      <c r="H104" s="38">
        <f>SUM(G104:$G$105)</f>
        <v>-1194.3159974999953</v>
      </c>
      <c r="I104" s="38">
        <f t="shared" si="5"/>
        <v>-185.11897961249852</v>
      </c>
      <c r="J104" s="38">
        <f>SUM(I104:$I$110)</f>
        <v>-185.11897961249852</v>
      </c>
      <c r="Z104" s="38">
        <v>0</v>
      </c>
      <c r="AC104" s="227">
        <f t="shared" si="0"/>
        <v>0</v>
      </c>
      <c r="AE104" s="47">
        <f t="shared" si="1"/>
        <v>0</v>
      </c>
      <c r="AF104" s="47">
        <f t="shared" si="2"/>
        <v>0</v>
      </c>
    </row>
    <row r="105" spans="3:32">
      <c r="C105" s="38">
        <v>29.31</v>
      </c>
      <c r="D105" s="37">
        <f t="shared" si="3"/>
        <v>-3852.6322500000006</v>
      </c>
      <c r="E105" s="220">
        <v>0</v>
      </c>
      <c r="F105" s="38">
        <v>0</v>
      </c>
      <c r="G105" s="39">
        <v>0</v>
      </c>
      <c r="H105" s="38">
        <f>SUM(G105:$G$105)</f>
        <v>0</v>
      </c>
      <c r="I105" s="38">
        <f t="shared" si="5"/>
        <v>0</v>
      </c>
      <c r="J105" s="38">
        <f>SUM(I105:$I$110)</f>
        <v>0</v>
      </c>
    </row>
    <row r="107" spans="3:32">
      <c r="F107" s="35" t="s">
        <v>96</v>
      </c>
      <c r="G107" s="40">
        <f>SUM(G46:G105)</f>
        <v>-442134.36124750093</v>
      </c>
    </row>
    <row r="110" spans="3:32">
      <c r="E110" s="32">
        <f>SUM(E46:E105)</f>
        <v>0</v>
      </c>
    </row>
  </sheetData>
  <mergeCells count="10">
    <mergeCell ref="A44:A53"/>
    <mergeCell ref="B1:E1"/>
    <mergeCell ref="F1:G1"/>
    <mergeCell ref="H1:Z1"/>
    <mergeCell ref="C43:J43"/>
    <mergeCell ref="I31:J31"/>
    <mergeCell ref="H27:J27"/>
    <mergeCell ref="C27:E27"/>
    <mergeCell ref="A4:A8"/>
    <mergeCell ref="A28:A35"/>
  </mergeCells>
  <phoneticPr fontId="3" type="noConversion"/>
  <dataValidations count="1">
    <dataValidation type="list" allowBlank="1" showInputMessage="1" showErrorMessage="1" sqref="I31:J31" xr:uid="{6D013B94-712B-1C41-866F-813209308E08}">
      <formula1>$C$35:$C$37</formula1>
    </dataValidation>
  </dataValidations>
  <hyperlinks>
    <hyperlink ref="F36" r:id="rId1" xr:uid="{2609B229-E2FC-4257-9D28-A102A88311E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09-AE2E-41C3-A85B-DC4B9BC2AAD4}">
  <dimension ref="A1:Z175"/>
  <sheetViews>
    <sheetView tabSelected="1" zoomScale="53" zoomScaleNormal="130" workbookViewId="0">
      <pane xSplit="1" ySplit="1" topLeftCell="B100" activePane="bottomRight" state="frozen"/>
      <selection activeCell="E46" sqref="E46"/>
      <selection pane="topRight" activeCell="E46" sqref="E46"/>
      <selection pane="bottomLeft" activeCell="E46" sqref="E46"/>
      <selection pane="bottomRight" activeCell="E116" sqref="E116:E175"/>
    </sheetView>
  </sheetViews>
  <sheetFormatPr defaultColWidth="8.83203125" defaultRowHeight="18.5"/>
  <cols>
    <col min="1" max="1" width="25.6640625" style="29" customWidth="1"/>
    <col min="2" max="2" width="8.83203125" style="32"/>
    <col min="3" max="3" width="20.83203125" style="32" bestFit="1" customWidth="1"/>
    <col min="4" max="4" width="9.6640625" style="32" bestFit="1" customWidth="1"/>
    <col min="5" max="5" width="11.5" style="32" bestFit="1" customWidth="1"/>
    <col min="6" max="6" width="9.6640625" style="32" bestFit="1" customWidth="1"/>
    <col min="7" max="7" width="8.83203125" style="32"/>
    <col min="8" max="8" width="12.6640625" style="32" bestFit="1" customWidth="1"/>
    <col min="9" max="9" width="11.25" style="32" bestFit="1" customWidth="1"/>
    <col min="10" max="10" width="8.83203125" style="32"/>
    <col min="11" max="11" width="10.33203125" style="32" bestFit="1" customWidth="1"/>
    <col min="12" max="12" width="10.6640625" style="32" bestFit="1" customWidth="1"/>
    <col min="13" max="16" width="8.83203125" style="32"/>
    <col min="17" max="17" width="13.6640625" style="32" customWidth="1"/>
    <col min="18" max="19" width="8.83203125" style="32"/>
    <col min="20" max="20" width="10.1640625" style="32" customWidth="1"/>
    <col min="21" max="23" width="8.83203125" style="32"/>
    <col min="24" max="24" width="16.4140625" style="32" bestFit="1" customWidth="1"/>
    <col min="25" max="16384" width="8.83203125" style="32"/>
  </cols>
  <sheetData>
    <row r="1" spans="1:26" s="45" customFormat="1" ht="39" customHeight="1" thickBot="1">
      <c r="A1" s="201"/>
      <c r="B1" s="273" t="s">
        <v>97</v>
      </c>
      <c r="C1" s="279"/>
      <c r="D1" s="279"/>
      <c r="E1" s="280"/>
      <c r="F1" s="273" t="s">
        <v>9</v>
      </c>
      <c r="G1" s="273"/>
      <c r="H1" s="274" t="s">
        <v>98</v>
      </c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</row>
    <row r="3" spans="1:26" ht="18.75" customHeight="1">
      <c r="A3" s="154" t="s">
        <v>225</v>
      </c>
    </row>
    <row r="4" spans="1:26" ht="18.75" customHeight="1">
      <c r="A4" s="251" t="s">
        <v>99</v>
      </c>
    </row>
    <row r="5" spans="1:26" ht="18.75" customHeight="1">
      <c r="A5" s="282"/>
    </row>
    <row r="6" spans="1:26" ht="18.75" customHeight="1">
      <c r="A6" s="282"/>
    </row>
    <row r="7" spans="1:26" ht="14.5">
      <c r="A7" s="282"/>
    </row>
    <row r="8" spans="1:26" ht="14.5">
      <c r="A8" s="282"/>
    </row>
    <row r="9" spans="1:26" ht="14.5">
      <c r="A9" s="282"/>
    </row>
    <row r="10" spans="1:26" ht="14.5">
      <c r="A10" s="282"/>
    </row>
    <row r="11" spans="1:26" ht="14.5">
      <c r="A11" s="282"/>
    </row>
    <row r="12" spans="1:26" ht="14.5">
      <c r="A12" s="282"/>
    </row>
    <row r="13" spans="1:26" ht="14.5">
      <c r="A13" s="282"/>
    </row>
    <row r="14" spans="1:26" ht="14.5">
      <c r="A14" s="282"/>
    </row>
    <row r="15" spans="1:26" ht="14.5">
      <c r="A15" s="282"/>
    </row>
    <row r="16" spans="1:26" ht="14.5">
      <c r="A16" s="282"/>
      <c r="W16" s="47"/>
    </row>
    <row r="17" spans="1:23" ht="14.5">
      <c r="A17" s="282"/>
      <c r="W17" s="47"/>
    </row>
    <row r="18" spans="1:23" ht="14.5">
      <c r="A18" s="282"/>
      <c r="W18" s="47"/>
    </row>
    <row r="19" spans="1:23" ht="14.5">
      <c r="A19" s="282"/>
      <c r="W19" s="47"/>
    </row>
    <row r="20" spans="1:23" ht="14.5">
      <c r="A20" s="282"/>
      <c r="W20" s="47"/>
    </row>
    <row r="21" spans="1:23" ht="14.5">
      <c r="A21" s="282"/>
      <c r="W21" s="47"/>
    </row>
    <row r="22" spans="1:23" ht="14.5">
      <c r="A22" s="282"/>
      <c r="W22" s="47"/>
    </row>
    <row r="23" spans="1:23" ht="14.5">
      <c r="A23" s="282"/>
      <c r="W23" s="47"/>
    </row>
    <row r="24" spans="1:23" ht="14.5">
      <c r="A24" s="282"/>
      <c r="W24" s="47"/>
    </row>
    <row r="25" spans="1:23" s="34" customFormat="1" ht="15" thickBot="1">
      <c r="A25" s="283"/>
      <c r="W25" s="48"/>
    </row>
    <row r="26" spans="1:23">
      <c r="W26" s="47"/>
    </row>
    <row r="27" spans="1:23" ht="18.75" customHeight="1">
      <c r="A27" s="155" t="s">
        <v>234</v>
      </c>
      <c r="C27" s="284" t="s">
        <v>101</v>
      </c>
      <c r="D27" s="284"/>
      <c r="E27" s="284"/>
      <c r="H27" s="284" t="s">
        <v>102</v>
      </c>
      <c r="I27" s="284"/>
      <c r="J27" s="284"/>
      <c r="N27" s="275"/>
      <c r="O27" s="275"/>
      <c r="P27" s="275"/>
      <c r="Q27" s="275"/>
      <c r="R27" s="285" t="s">
        <v>103</v>
      </c>
      <c r="S27" s="285"/>
      <c r="T27" s="285"/>
      <c r="W27" s="47"/>
    </row>
    <row r="28" spans="1:23" ht="18.75" customHeight="1">
      <c r="A28" s="251" t="s">
        <v>100</v>
      </c>
      <c r="C28" s="284"/>
      <c r="D28" s="284"/>
      <c r="E28" s="284"/>
      <c r="H28" s="284"/>
      <c r="I28" s="284"/>
      <c r="J28" s="284"/>
      <c r="N28" s="275"/>
      <c r="O28" s="275"/>
      <c r="P28" s="275"/>
      <c r="Q28" s="275"/>
      <c r="R28" s="285"/>
      <c r="S28" s="285"/>
      <c r="T28" s="285"/>
      <c r="W28" s="47"/>
    </row>
    <row r="29" spans="1:23" ht="18.75" customHeight="1">
      <c r="A29" s="286"/>
      <c r="C29" s="35" t="s">
        <v>70</v>
      </c>
      <c r="D29" s="35">
        <f>'Wing inertia load'!D28</f>
        <v>65</v>
      </c>
      <c r="E29" s="35" t="s">
        <v>1</v>
      </c>
      <c r="H29" s="35" t="s">
        <v>32</v>
      </c>
      <c r="I29" s="35">
        <f>' n-V diagram'!G8</f>
        <v>429900</v>
      </c>
      <c r="J29" s="35" t="s">
        <v>3</v>
      </c>
      <c r="N29" s="275"/>
      <c r="O29" s="275"/>
      <c r="P29" s="275"/>
      <c r="Q29" s="275"/>
      <c r="R29" s="284" t="s">
        <v>104</v>
      </c>
      <c r="S29" s="284"/>
      <c r="T29" s="284"/>
      <c r="W29" s="47"/>
    </row>
    <row r="30" spans="1:23" ht="18.75" customHeight="1">
      <c r="A30" s="286"/>
      <c r="C30" s="35" t="s">
        <v>71</v>
      </c>
      <c r="D30" s="35">
        <f>'Wing inertia load'!D29</f>
        <v>6.38</v>
      </c>
      <c r="E30" s="35" t="s">
        <v>1</v>
      </c>
      <c r="H30" s="35" t="s">
        <v>72</v>
      </c>
      <c r="I30" s="49">
        <f>'Wing inertia load'!I29</f>
        <v>-1.5</v>
      </c>
      <c r="J30" s="35"/>
      <c r="N30" s="275"/>
      <c r="O30" s="275"/>
      <c r="P30" s="275"/>
      <c r="Q30" s="275"/>
      <c r="R30" s="284"/>
      <c r="S30" s="284"/>
      <c r="T30" s="284"/>
      <c r="W30" s="47"/>
    </row>
    <row r="31" spans="1:23" ht="18.75" customHeight="1">
      <c r="A31" s="286"/>
      <c r="C31" s="35" t="s">
        <v>0</v>
      </c>
      <c r="D31" s="36">
        <f>(D29-D30)/2</f>
        <v>29.31</v>
      </c>
      <c r="E31" s="35" t="s">
        <v>1</v>
      </c>
      <c r="H31" s="35" t="s">
        <v>73</v>
      </c>
      <c r="I31" s="46">
        <f>I29*I30*9.81</f>
        <v>-6325978.5</v>
      </c>
      <c r="J31" s="35" t="s">
        <v>74</v>
      </c>
      <c r="K31" s="35" t="s">
        <v>105</v>
      </c>
      <c r="L31" s="36">
        <f>F106*2</f>
        <v>-4722370.7288071085</v>
      </c>
      <c r="N31" s="275"/>
      <c r="O31" s="275"/>
      <c r="P31" s="275"/>
      <c r="Q31" s="275"/>
      <c r="R31" s="284"/>
      <c r="S31" s="284"/>
      <c r="T31" s="284"/>
      <c r="W31" s="47"/>
    </row>
    <row r="32" spans="1:23" ht="14.5">
      <c r="A32" s="286"/>
      <c r="C32" s="35" t="s">
        <v>2</v>
      </c>
      <c r="D32" s="35">
        <f>'Wing inertia load'!D31</f>
        <v>15709</v>
      </c>
      <c r="E32" s="35" t="s">
        <v>3</v>
      </c>
      <c r="H32" s="35" t="s">
        <v>106</v>
      </c>
      <c r="I32" s="35">
        <f>2*I31/(PI()*I33)</f>
        <v>-137401.67153436417</v>
      </c>
      <c r="J32" s="35" t="s">
        <v>95</v>
      </c>
      <c r="K32" s="35" t="s">
        <v>107</v>
      </c>
      <c r="L32" s="36">
        <f>F106</f>
        <v>-2361185.3644035542</v>
      </c>
      <c r="W32" s="47"/>
    </row>
    <row r="33" spans="1:26" ht="14.5">
      <c r="A33" s="286"/>
      <c r="C33" s="35" t="s">
        <v>4</v>
      </c>
      <c r="D33" s="36">
        <f>'Wing inertia load'!D32</f>
        <v>27.5</v>
      </c>
      <c r="E33" s="35" t="s">
        <v>1</v>
      </c>
      <c r="H33" s="35" t="s">
        <v>108</v>
      </c>
      <c r="I33" s="36">
        <f>D31</f>
        <v>29.31</v>
      </c>
      <c r="J33" s="35" t="s">
        <v>1</v>
      </c>
      <c r="W33" s="47"/>
    </row>
    <row r="34" spans="1:26" ht="14.5">
      <c r="A34" s="286"/>
      <c r="C34" s="35" t="s">
        <v>5</v>
      </c>
      <c r="D34" s="35">
        <f>'Wing inertia load'!D33</f>
        <v>43100</v>
      </c>
      <c r="E34" s="35" t="s">
        <v>6</v>
      </c>
      <c r="W34" s="47"/>
    </row>
    <row r="35" spans="1:26">
      <c r="C35" s="35" t="s">
        <v>7</v>
      </c>
      <c r="D35" s="35">
        <f>'Wing inertia load'!D34</f>
        <v>5.59</v>
      </c>
      <c r="E35" s="35" t="s">
        <v>1</v>
      </c>
      <c r="W35" s="47"/>
    </row>
    <row r="36" spans="1:26">
      <c r="C36" s="35" t="s">
        <v>77</v>
      </c>
      <c r="D36" s="35">
        <f>'Wing inertia load'!D36</f>
        <v>6125</v>
      </c>
      <c r="E36" s="35" t="s">
        <v>3</v>
      </c>
      <c r="W36" s="47"/>
    </row>
    <row r="37" spans="1:26">
      <c r="C37" s="35" t="s">
        <v>109</v>
      </c>
      <c r="D37" s="35">
        <f>'Wing inertia load'!D37</f>
        <v>150</v>
      </c>
      <c r="E37" s="35" t="s">
        <v>6</v>
      </c>
      <c r="W37" s="47"/>
    </row>
    <row r="38" spans="1:26">
      <c r="C38" s="5" t="s">
        <v>320</v>
      </c>
      <c r="D38" s="35">
        <f>'Wing inertia load'!D38</f>
        <v>813</v>
      </c>
      <c r="E38" s="35" t="s">
        <v>85</v>
      </c>
      <c r="W38" s="47"/>
    </row>
    <row r="39" spans="1:26" s="34" customFormat="1" ht="19" thickBot="1">
      <c r="A39" s="200"/>
      <c r="W39" s="48"/>
    </row>
    <row r="40" spans="1:26">
      <c r="W40" s="47"/>
    </row>
    <row r="41" spans="1:26" ht="18.75" customHeight="1">
      <c r="A41" s="154" t="s">
        <v>269</v>
      </c>
      <c r="C41" s="275" t="s">
        <v>87</v>
      </c>
      <c r="D41" s="275"/>
      <c r="E41" s="275"/>
      <c r="F41" s="275"/>
      <c r="G41" s="275"/>
      <c r="H41" s="275"/>
      <c r="W41" s="47"/>
    </row>
    <row r="42" spans="1:26" ht="18.75" customHeight="1">
      <c r="A42" s="251" t="s">
        <v>110</v>
      </c>
      <c r="C42" s="35" t="s">
        <v>88</v>
      </c>
      <c r="D42" s="35" t="s">
        <v>111</v>
      </c>
      <c r="E42" s="35" t="s">
        <v>112</v>
      </c>
      <c r="F42" s="35" t="s">
        <v>92</v>
      </c>
      <c r="G42" s="35" t="s">
        <v>93</v>
      </c>
      <c r="H42" s="35" t="s">
        <v>94</v>
      </c>
      <c r="W42" s="47"/>
    </row>
    <row r="43" spans="1:26" ht="18.75" customHeight="1">
      <c r="A43" s="269"/>
      <c r="C43" s="35" t="s">
        <v>1</v>
      </c>
      <c r="D43" s="35" t="s">
        <v>95</v>
      </c>
      <c r="E43" s="35" t="s">
        <v>74</v>
      </c>
      <c r="F43" s="35" t="s">
        <v>74</v>
      </c>
      <c r="G43" s="35" t="s">
        <v>61</v>
      </c>
      <c r="H43" s="35" t="s">
        <v>61</v>
      </c>
      <c r="W43" s="47"/>
    </row>
    <row r="44" spans="1:26" ht="18.75" customHeight="1">
      <c r="A44" s="269"/>
      <c r="C44" s="38">
        <v>0</v>
      </c>
      <c r="D44" s="38">
        <f>$I$32*SQRT(1-(C44/$I$33)^2)</f>
        <v>-137401.67153436417</v>
      </c>
      <c r="E44" s="38">
        <f>(D45+D44)*(C45-C44)/2</f>
        <v>-68695.837240664958</v>
      </c>
      <c r="F44" s="38">
        <f>SUM(E44:$E$103)</f>
        <v>-3161205.4010093315</v>
      </c>
      <c r="G44" s="38">
        <f>(F45+F44)*(C45-C44)/2</f>
        <v>-1563428.7411944994</v>
      </c>
      <c r="H44" s="38">
        <f>SUM(G44:$G$103)</f>
        <v>-39299274.806276791</v>
      </c>
      <c r="W44" s="47"/>
    </row>
    <row r="45" spans="1:26" ht="18.75" customHeight="1">
      <c r="A45" s="269"/>
      <c r="C45" s="38">
        <v>0.5</v>
      </c>
      <c r="D45" s="38">
        <f t="shared" ref="D45:D102" si="0">$I$32*SQRT(1-(C45/$I$33)^2)</f>
        <v>-137381.67742829563</v>
      </c>
      <c r="E45" s="38">
        <f t="shared" ref="E45:E103" si="1">(D46+D45)*(C46-C45)/2</f>
        <v>-68675.83876786867</v>
      </c>
      <c r="F45" s="38">
        <f>SUM(E45:$E$103)</f>
        <v>-3092509.5637686662</v>
      </c>
      <c r="G45" s="38">
        <f t="shared" ref="G45:G103" si="2">(F46+F45)*(C46-C45)/2</f>
        <v>-1529085.8221923658</v>
      </c>
      <c r="H45" s="38">
        <f>SUM(G45:$G$103)</f>
        <v>-37735846.065082289</v>
      </c>
      <c r="W45" s="47"/>
      <c r="X45" s="229">
        <f>D44-'Wing inertia load'!G46</f>
        <v>-114196.07540936412</v>
      </c>
      <c r="Z45" s="38">
        <f t="shared" ref="Z45:Z102" si="3">(Y46+Y45)*(X46-X45)/2</f>
        <v>0</v>
      </c>
    </row>
    <row r="46" spans="1:26" ht="18.75" customHeight="1">
      <c r="A46" s="269"/>
      <c r="C46" s="38">
        <v>1</v>
      </c>
      <c r="D46" s="38">
        <f t="shared" si="0"/>
        <v>-137321.67764317905</v>
      </c>
      <c r="E46" s="38">
        <f t="shared" si="1"/>
        <v>-68635.824336268997</v>
      </c>
      <c r="F46" s="38">
        <f>SUM(E46:$E$103)</f>
        <v>-3023833.7250007973</v>
      </c>
      <c r="G46" s="38">
        <f t="shared" si="2"/>
        <v>-1494757.9064163314</v>
      </c>
      <c r="H46" s="38">
        <f>SUM(G46:$G$103)</f>
        <v>-36206760.242889926</v>
      </c>
      <c r="W46" s="47"/>
      <c r="X46" s="229">
        <f>D45-'Wing inertia load'!G47</f>
        <v>-114176.08130329558</v>
      </c>
      <c r="Z46" s="38">
        <f t="shared" si="3"/>
        <v>0</v>
      </c>
    </row>
    <row r="47" spans="1:26" ht="18.75" customHeight="1">
      <c r="A47" s="269"/>
      <c r="C47" s="38">
        <v>1.5</v>
      </c>
      <c r="D47" s="38">
        <f t="shared" si="0"/>
        <v>-137221.61970189697</v>
      </c>
      <c r="E47" s="38">
        <f t="shared" si="1"/>
        <v>-68575.758897271822</v>
      </c>
      <c r="F47" s="38">
        <f>SUM(E47:$E$103)</f>
        <v>-2955197.9006645284</v>
      </c>
      <c r="G47" s="38">
        <f t="shared" si="2"/>
        <v>-1460455.0106079462</v>
      </c>
      <c r="H47" s="38">
        <f>SUM(G47:$G$103)</f>
        <v>-34712002.336473584</v>
      </c>
      <c r="W47" s="47"/>
      <c r="X47" s="229">
        <f>D46-'Wing inertia load'!G48</f>
        <v>-114116.08151817899</v>
      </c>
      <c r="Z47" s="38">
        <f t="shared" si="3"/>
        <v>0</v>
      </c>
    </row>
    <row r="48" spans="1:26" ht="14.5">
      <c r="A48" s="269"/>
      <c r="C48" s="38">
        <v>2</v>
      </c>
      <c r="D48" s="38">
        <f t="shared" si="0"/>
        <v>-137081.41588719032</v>
      </c>
      <c r="E48" s="38">
        <f t="shared" si="1"/>
        <v>-68495.589685751736</v>
      </c>
      <c r="F48" s="38">
        <f>SUM(E48:$E$103)</f>
        <v>-2886622.1417672564</v>
      </c>
      <c r="G48" s="38">
        <f t="shared" si="2"/>
        <v>-1426187.1734621904</v>
      </c>
      <c r="H48" s="38">
        <f>SUM(G48:$G$103)</f>
        <v>-33251547.32586566</v>
      </c>
      <c r="W48" s="47"/>
      <c r="X48" s="229">
        <f>D47-'Wing inertia load'!G49</f>
        <v>-114016.02357689691</v>
      </c>
      <c r="Z48" s="38">
        <f t="shared" si="3"/>
        <v>0</v>
      </c>
    </row>
    <row r="49" spans="1:26" ht="14.5">
      <c r="A49" s="269"/>
      <c r="C49" s="38">
        <v>2.5</v>
      </c>
      <c r="D49" s="38">
        <f t="shared" si="0"/>
        <v>-136900.94285581663</v>
      </c>
      <c r="E49" s="38">
        <f t="shared" si="1"/>
        <v>-68395.245987160335</v>
      </c>
      <c r="F49" s="38">
        <f>SUM(E49:$E$103)</f>
        <v>-2818126.5520815053</v>
      </c>
      <c r="G49" s="38">
        <f t="shared" si="2"/>
        <v>-1391964.4645439626</v>
      </c>
      <c r="H49" s="38">
        <f>SUM(G49:$G$103)</f>
        <v>-31825360.15240347</v>
      </c>
      <c r="W49" s="47"/>
      <c r="X49" s="229">
        <f>D48-'Wing inertia load'!G50</f>
        <v>-113875.81976219027</v>
      </c>
      <c r="Z49" s="38">
        <f t="shared" si="3"/>
        <v>0</v>
      </c>
    </row>
    <row r="50" spans="1:26">
      <c r="C50" s="38">
        <v>3</v>
      </c>
      <c r="D50" s="38">
        <f t="shared" si="0"/>
        <v>-136680.04109282469</v>
      </c>
      <c r="E50" s="38">
        <f t="shared" si="1"/>
        <v>-68274.638823275134</v>
      </c>
      <c r="F50" s="38">
        <f>SUM(E50:$E$103)</f>
        <v>-2749731.3060943452</v>
      </c>
      <c r="G50" s="38">
        <f t="shared" si="2"/>
        <v>-1357796.9933413537</v>
      </c>
      <c r="H50" s="38">
        <f>SUM(G50:$G$103)</f>
        <v>-30433395.687859509</v>
      </c>
      <c r="W50" s="47"/>
      <c r="X50" s="229">
        <f>D49-'Wing inertia load'!G51</f>
        <v>-113695.34673081657</v>
      </c>
      <c r="Z50" s="38">
        <f t="shared" si="3"/>
        <v>0</v>
      </c>
    </row>
    <row r="51" spans="1:26">
      <c r="C51" s="38">
        <v>3.5</v>
      </c>
      <c r="D51" s="38">
        <f t="shared" si="0"/>
        <v>-136418.51420027582</v>
      </c>
      <c r="E51" s="38">
        <f t="shared" si="1"/>
        <v>-68133.660553304275</v>
      </c>
      <c r="F51" s="38">
        <f>SUM(E51:$E$103)</f>
        <v>-2681456.6672710702</v>
      </c>
      <c r="G51" s="38">
        <f t="shared" si="2"/>
        <v>-1323694.918497209</v>
      </c>
      <c r="H51" s="38">
        <f>SUM(G51:$G$103)</f>
        <v>-29075598.694518153</v>
      </c>
      <c r="W51" s="47"/>
      <c r="X51" s="229">
        <f>D50-'Wing inertia load'!G52</f>
        <v>-113474.44496782463</v>
      </c>
      <c r="Z51" s="38">
        <f t="shared" si="3"/>
        <v>0</v>
      </c>
    </row>
    <row r="52" spans="1:26">
      <c r="C52" s="38">
        <v>4</v>
      </c>
      <c r="D52" s="38">
        <f t="shared" si="0"/>
        <v>-136116.12801294128</v>
      </c>
      <c r="E52" s="38">
        <f t="shared" si="1"/>
        <v>-67972.184386125737</v>
      </c>
      <c r="F52" s="38">
        <f>SUM(E52:$E$103)</f>
        <v>-2613323.0067177657</v>
      </c>
      <c r="G52" s="38">
        <f t="shared" si="2"/>
        <v>-1289668.4572623516</v>
      </c>
      <c r="H52" s="38">
        <f>SUM(G52:$G$103)</f>
        <v>-27751903.776020944</v>
      </c>
      <c r="W52" s="47"/>
      <c r="X52" s="229">
        <f>D51-'Wing inertia load'!G53</f>
        <v>-134492.19807527581</v>
      </c>
      <c r="Z52" s="38">
        <f t="shared" si="3"/>
        <v>0</v>
      </c>
    </row>
    <row r="53" spans="1:26">
      <c r="C53" s="38">
        <v>4.5</v>
      </c>
      <c r="D53" s="38">
        <f t="shared" si="0"/>
        <v>-135772.6095315617</v>
      </c>
      <c r="E53" s="38">
        <f t="shared" si="1"/>
        <v>-67790.063798422823</v>
      </c>
      <c r="F53" s="38">
        <f>SUM(E53:$E$103)</f>
        <v>-2545350.8223316404</v>
      </c>
      <c r="G53" s="38">
        <f t="shared" si="2"/>
        <v>-1255727.8952162145</v>
      </c>
      <c r="H53" s="38">
        <f>SUM(G53:$G$103)</f>
        <v>-26462235.318758592</v>
      </c>
      <c r="W53" s="47"/>
      <c r="X53" s="229">
        <f>D52-'Wing inertia load'!G54</f>
        <v>-134189.81188794127</v>
      </c>
      <c r="Z53" s="38">
        <f t="shared" si="3"/>
        <v>0</v>
      </c>
    </row>
    <row r="54" spans="1:26">
      <c r="C54" s="38">
        <v>5</v>
      </c>
      <c r="D54" s="38">
        <f t="shared" si="0"/>
        <v>-135387.64566212959</v>
      </c>
      <c r="E54" s="38">
        <f t="shared" si="1"/>
        <v>-67587.131852357445</v>
      </c>
      <c r="F54" s="38">
        <f>SUM(E54:$E$103)</f>
        <v>-2477560.7585332175</v>
      </c>
      <c r="G54" s="38">
        <f t="shared" si="2"/>
        <v>-1221883.5963035193</v>
      </c>
      <c r="H54" s="38">
        <f>SUM(G54:$G$103)</f>
        <v>-25206507.423542373</v>
      </c>
      <c r="W54" s="47"/>
      <c r="X54" s="229">
        <f>D53-'Wing inertia load'!G55</f>
        <v>-133846.29340656169</v>
      </c>
      <c r="Z54" s="38">
        <f t="shared" si="3"/>
        <v>0</v>
      </c>
    </row>
    <row r="55" spans="1:26">
      <c r="C55" s="38">
        <v>5.5</v>
      </c>
      <c r="D55" s="38">
        <f t="shared" si="0"/>
        <v>-134960.88174730018</v>
      </c>
      <c r="E55" s="38">
        <f t="shared" si="1"/>
        <v>-67363.20040517507</v>
      </c>
      <c r="F55" s="38">
        <f>SUM(E55:$E$103)</f>
        <v>-2409973.6266808603</v>
      </c>
      <c r="G55" s="38">
        <f t="shared" si="2"/>
        <v>-1188146.0132391364</v>
      </c>
      <c r="H55" s="38">
        <f>SUM(G55:$G$103)</f>
        <v>-23984623.827238854</v>
      </c>
      <c r="W55" s="47"/>
      <c r="X55" s="229">
        <f>D54-'Wing inertia load'!G56</f>
        <v>-133461.32953712958</v>
      </c>
      <c r="Z55" s="38">
        <f t="shared" si="3"/>
        <v>0</v>
      </c>
    </row>
    <row r="56" spans="1:26">
      <c r="C56" s="38">
        <v>6</v>
      </c>
      <c r="D56" s="38">
        <f t="shared" si="0"/>
        <v>-134491.91987340007</v>
      </c>
      <c r="E56" s="38">
        <f t="shared" si="1"/>
        <v>-67118.059201730823</v>
      </c>
      <c r="F56" s="38">
        <f>SUM(E56:$E$103)</f>
        <v>-2342610.4262756854</v>
      </c>
      <c r="G56" s="38">
        <f t="shared" si="2"/>
        <v>-1154525.6983374101</v>
      </c>
      <c r="H56" s="38">
        <f>SUM(G56:$G$103)</f>
        <v>-22796477.81399972</v>
      </c>
      <c r="W56" s="47"/>
      <c r="X56" s="229">
        <f>D55-'Wing inertia load'!G57</f>
        <v>-42905.190622300186</v>
      </c>
      <c r="Z56" s="38">
        <f t="shared" si="3"/>
        <v>0</v>
      </c>
    </row>
    <row r="57" spans="1:26">
      <c r="C57" s="38">
        <v>6.5</v>
      </c>
      <c r="D57" s="38">
        <f t="shared" si="0"/>
        <v>-133980.31693352322</v>
      </c>
      <c r="E57" s="38">
        <f t="shared" si="1"/>
        <v>-66851.474839332019</v>
      </c>
      <c r="F57" s="38">
        <f>SUM(E57:$E$103)</f>
        <v>-2275492.3670739545</v>
      </c>
      <c r="G57" s="38">
        <f t="shared" si="2"/>
        <v>-1121033.3148271441</v>
      </c>
      <c r="H57" s="38">
        <f>SUM(G57:$G$103)</f>
        <v>-21641952.11566231</v>
      </c>
      <c r="W57" s="47"/>
      <c r="X57" s="229">
        <f>D56-'Wing inertia load'!G58</f>
        <v>-132565.60374840006</v>
      </c>
      <c r="Z57" s="38">
        <f t="shared" si="3"/>
        <v>0</v>
      </c>
    </row>
    <row r="58" spans="1:26">
      <c r="C58" s="38">
        <v>7</v>
      </c>
      <c r="D58" s="38">
        <f t="shared" si="0"/>
        <v>-133425.58242380482</v>
      </c>
      <c r="E58" s="38">
        <f t="shared" si="1"/>
        <v>-66563.189592466311</v>
      </c>
      <c r="F58" s="38">
        <f>SUM(E58:$E$103)</f>
        <v>-2208640.8922346225</v>
      </c>
      <c r="G58" s="38">
        <f t="shared" si="2"/>
        <v>-1087679.6487191946</v>
      </c>
      <c r="H58" s="38">
        <f>SUM(G58:$G$103)</f>
        <v>-20520918.80083517</v>
      </c>
      <c r="W58" s="47"/>
      <c r="X58" s="229">
        <f>D57-'Wing inertia load'!G59</f>
        <v>-132054.00080852321</v>
      </c>
      <c r="Z58" s="38">
        <f t="shared" si="3"/>
        <v>0</v>
      </c>
    </row>
    <row r="59" spans="1:26">
      <c r="C59" s="38">
        <v>7.5</v>
      </c>
      <c r="D59" s="38">
        <f t="shared" si="0"/>
        <v>-132827.17594606039</v>
      </c>
      <c r="E59" s="38">
        <f t="shared" si="1"/>
        <v>-66252.92008288017</v>
      </c>
      <c r="F59" s="38">
        <f>SUM(E59:$E$103)</f>
        <v>-2142077.7026421558</v>
      </c>
      <c r="G59" s="38">
        <f t="shared" si="2"/>
        <v>-1054475.6213003579</v>
      </c>
      <c r="H59" s="38">
        <f>SUM(G59:$G$103)</f>
        <v>-19433239.152115971</v>
      </c>
      <c r="X59" s="229">
        <f>D58-'Wing inertia load'!G60</f>
        <v>-131499.26629880481</v>
      </c>
      <c r="Z59" s="38">
        <f t="shared" si="3"/>
        <v>0</v>
      </c>
    </row>
    <row r="60" spans="1:26">
      <c r="C60" s="38">
        <v>8</v>
      </c>
      <c r="D60" s="38">
        <f t="shared" si="0"/>
        <v>-132184.50438546028</v>
      </c>
      <c r="E60" s="38">
        <f t="shared" si="1"/>
        <v>-65920.355778028141</v>
      </c>
      <c r="F60" s="38">
        <f>SUM(E60:$E$103)</f>
        <v>-2075824.7825592761</v>
      </c>
      <c r="G60" s="38">
        <f t="shared" si="2"/>
        <v>-1021432.3023351311</v>
      </c>
      <c r="H60" s="38">
        <f>SUM(G60:$G$103)</f>
        <v>-18378763.530815616</v>
      </c>
      <c r="X60" s="229">
        <f>D59-'Wing inertia load'!G61</f>
        <v>-130900.8598210604</v>
      </c>
      <c r="Z60" s="38">
        <f t="shared" si="3"/>
        <v>0</v>
      </c>
    </row>
    <row r="61" spans="1:26">
      <c r="C61" s="38">
        <v>8.5</v>
      </c>
      <c r="D61" s="38">
        <f t="shared" si="0"/>
        <v>-131496.91872665228</v>
      </c>
      <c r="E61" s="38">
        <f t="shared" si="1"/>
        <v>-65565.157298059727</v>
      </c>
      <c r="F61" s="38">
        <f>SUM(E61:$E$103)</f>
        <v>-2009904.4267812483</v>
      </c>
      <c r="G61" s="38">
        <f t="shared" si="2"/>
        <v>-988560.92406610912</v>
      </c>
      <c r="H61" s="38">
        <f>SUM(G61:$G$103)</f>
        <v>-17357331.228480488</v>
      </c>
      <c r="X61" s="229">
        <f>D60-'Wing inertia load'!G62</f>
        <v>-130258.18826046029</v>
      </c>
      <c r="Z61" s="38">
        <f t="shared" si="3"/>
        <v>0</v>
      </c>
    </row>
    <row r="62" spans="1:26">
      <c r="C62" s="38">
        <v>9</v>
      </c>
      <c r="D62" s="38">
        <f t="shared" si="0"/>
        <v>-130763.71046558661</v>
      </c>
      <c r="E62" s="38">
        <f t="shared" si="1"/>
        <v>-65186.954508158437</v>
      </c>
      <c r="F62" s="38">
        <f>SUM(E62:$E$103)</f>
        <v>-1944339.2694831882</v>
      </c>
      <c r="G62" s="38">
        <f t="shared" si="2"/>
        <v>-955872.89611455449</v>
      </c>
      <c r="H62" s="38">
        <f>SUM(G62:$G$103)</f>
        <v>-16368770.304414369</v>
      </c>
      <c r="X62" s="229">
        <f>D61-'Wing inertia load'!G63</f>
        <v>-129570.60260165228</v>
      </c>
      <c r="Z62" s="38">
        <f t="shared" si="3"/>
        <v>0</v>
      </c>
    </row>
    <row r="63" spans="1:26">
      <c r="C63" s="38">
        <v>9.5</v>
      </c>
      <c r="D63" s="38">
        <f t="shared" si="0"/>
        <v>-129984.10756704712</v>
      </c>
      <c r="E63" s="38">
        <f t="shared" si="1"/>
        <v>-64785.344369088481</v>
      </c>
      <c r="F63" s="38">
        <f>SUM(E63:$E$103)</f>
        <v>-1879152.3149750298</v>
      </c>
      <c r="G63" s="38">
        <f t="shared" si="2"/>
        <v>-923379.82139524282</v>
      </c>
      <c r="H63" s="38">
        <f>SUM(G63:$G$103)</f>
        <v>-15412897.408299815</v>
      </c>
      <c r="X63" s="229">
        <f>D62-'Wing inertia load'!G64</f>
        <v>-128837.39434058662</v>
      </c>
      <c r="Z63" s="38">
        <f t="shared" si="3"/>
        <v>0</v>
      </c>
    </row>
    <row r="64" spans="1:26">
      <c r="C64" s="38">
        <v>10</v>
      </c>
      <c r="D64" s="38">
        <f t="shared" si="0"/>
        <v>-129157.26990930681</v>
      </c>
      <c r="E64" s="38">
        <f t="shared" si="1"/>
        <v>-64359.888514103666</v>
      </c>
      <c r="F64" s="38">
        <f>SUM(E64:$E$103)</f>
        <v>-1814366.9706059415</v>
      </c>
      <c r="G64" s="38">
        <f t="shared" si="2"/>
        <v>-891093.51317444479</v>
      </c>
      <c r="H64" s="38">
        <f>SUM(G64:$G$103)</f>
        <v>-14489517.586904574</v>
      </c>
      <c r="X64" s="229">
        <f>D63-'Wing inertia load'!G65</f>
        <v>-128057.79144204712</v>
      </c>
      <c r="Z64" s="38">
        <f t="shared" si="3"/>
        <v>0</v>
      </c>
    </row>
    <row r="65" spans="3:26">
      <c r="C65" s="38">
        <v>10.5</v>
      </c>
      <c r="D65" s="38">
        <f t="shared" si="0"/>
        <v>-128282.28414710786</v>
      </c>
      <c r="E65" s="38">
        <f t="shared" si="1"/>
        <v>-63910.11051476236</v>
      </c>
      <c r="F65" s="38">
        <f>SUM(E65:$E$103)</f>
        <v>-1750007.0820918377</v>
      </c>
      <c r="G65" s="38">
        <f t="shared" si="2"/>
        <v>-859026.01341722824</v>
      </c>
      <c r="H65" s="38">
        <f>SUM(G65:$G$103)</f>
        <v>-13598424.073730126</v>
      </c>
      <c r="X65" s="229">
        <f>D64-'Wing inertia load'!G66</f>
        <v>-127230.95378430681</v>
      </c>
      <c r="Z65" s="38">
        <f t="shared" si="3"/>
        <v>0</v>
      </c>
    </row>
    <row r="66" spans="3:26">
      <c r="C66" s="38">
        <v>11</v>
      </c>
      <c r="D66" s="38">
        <f t="shared" si="0"/>
        <v>-127358.1579119416</v>
      </c>
      <c r="E66" s="38">
        <f t="shared" si="1"/>
        <v>-63435.492791460463</v>
      </c>
      <c r="F66" s="38">
        <f>SUM(E66:$E$103)</f>
        <v>-1686096.9715770753</v>
      </c>
      <c r="G66" s="38">
        <f t="shared" si="2"/>
        <v>-827189.61259067245</v>
      </c>
      <c r="H66" s="38">
        <f>SUM(G66:$G$103)</f>
        <v>-12739398.060312901</v>
      </c>
      <c r="X66" s="229">
        <f>D65-'Wing inertia load'!G67</f>
        <v>-126355.96802210786</v>
      </c>
      <c r="Z66" s="38">
        <f t="shared" si="3"/>
        <v>0</v>
      </c>
    </row>
    <row r="67" spans="3:26">
      <c r="C67" s="38">
        <v>11.5</v>
      </c>
      <c r="D67" s="38">
        <f t="shared" si="0"/>
        <v>-126383.81325390024</v>
      </c>
      <c r="E67" s="38">
        <f t="shared" si="1"/>
        <v>-62935.473116373629</v>
      </c>
      <c r="F67" s="38">
        <f>SUM(E67:$E$103)</f>
        <v>-1622661.4787856145</v>
      </c>
      <c r="G67" s="38">
        <f t="shared" si="2"/>
        <v>-795596.87111371395</v>
      </c>
      <c r="H67" s="38">
        <f>SUM(G67:$G$103)</f>
        <v>-11912208.447722226</v>
      </c>
      <c r="X67" s="229">
        <f>D66-'Wing inertia load'!G68</f>
        <v>-125431.8417869416</v>
      </c>
      <c r="Z67" s="38">
        <f t="shared" si="3"/>
        <v>0</v>
      </c>
    </row>
    <row r="68" spans="3:26">
      <c r="C68" s="38">
        <v>12</v>
      </c>
      <c r="D68" s="38">
        <f t="shared" si="0"/>
        <v>-125358.07921159429</v>
      </c>
      <c r="E68" s="38">
        <f t="shared" si="1"/>
        <v>-62409.440646652249</v>
      </c>
      <c r="F68" s="38">
        <f>SUM(E68:$E$103)</f>
        <v>-1559726.0056692413</v>
      </c>
      <c r="G68" s="38">
        <f t="shared" si="2"/>
        <v>-764260.64267295762</v>
      </c>
      <c r="H68" s="38">
        <f>SUM(G68:$G$103)</f>
        <v>-11116611.576608513</v>
      </c>
      <c r="X68" s="229">
        <f>D67-'Wing inertia load'!G69</f>
        <v>-124457.49712890024</v>
      </c>
      <c r="Z68" s="38">
        <f t="shared" si="3"/>
        <v>0</v>
      </c>
    </row>
    <row r="69" spans="3:26">
      <c r="C69" s="38">
        <v>12.5</v>
      </c>
      <c r="D69" s="38">
        <f t="shared" si="0"/>
        <v>-124279.68337501471</v>
      </c>
      <c r="E69" s="38">
        <f t="shared" si="1"/>
        <v>-61856.731413701287</v>
      </c>
      <c r="F69" s="38">
        <f>SUM(E69:$E$103)</f>
        <v>-1497316.5650225892</v>
      </c>
      <c r="G69" s="38">
        <f t="shared" si="2"/>
        <v>-733194.0996578692</v>
      </c>
      <c r="H69" s="38">
        <f>SUM(G69:$G$103)</f>
        <v>-10352350.933935553</v>
      </c>
      <c r="X69" s="229">
        <f>D68-'Wing inertia load'!G70</f>
        <v>-123431.76308659429</v>
      </c>
      <c r="Z69" s="38">
        <f t="shared" si="3"/>
        <v>0</v>
      </c>
    </row>
    <row r="70" spans="3:26">
      <c r="C70" s="38">
        <v>13</v>
      </c>
      <c r="D70" s="38">
        <f t="shared" si="0"/>
        <v>-123147.24227979044</v>
      </c>
      <c r="E70" s="38">
        <f t="shared" si="1"/>
        <v>-61276.623179644448</v>
      </c>
      <c r="F70" s="38">
        <f>SUM(E70:$E$103)</f>
        <v>-1435459.8336088876</v>
      </c>
      <c r="G70" s="38">
        <f t="shared" si="2"/>
        <v>-702410.76100953261</v>
      </c>
      <c r="H70" s="38">
        <f>SUM(G70:$G$103)</f>
        <v>-9619156.8342776857</v>
      </c>
      <c r="X70" s="229">
        <f>D69-'Wing inertia load'!G71</f>
        <v>-122353.36725001471</v>
      </c>
      <c r="Z70" s="38">
        <f t="shared" si="3"/>
        <v>0</v>
      </c>
    </row>
    <row r="71" spans="3:26">
      <c r="C71" s="38">
        <v>13.5</v>
      </c>
      <c r="D71" s="38">
        <f t="shared" si="0"/>
        <v>-121959.25043878733</v>
      </c>
      <c r="E71" s="38">
        <f t="shared" si="1"/>
        <v>-60668.329553888922</v>
      </c>
      <c r="F71" s="38">
        <f>SUM(E71:$E$103)</f>
        <v>-1374183.2104292428</v>
      </c>
      <c r="G71" s="38">
        <f t="shared" si="2"/>
        <v>-671924.52282614924</v>
      </c>
      <c r="H71" s="38">
        <f>SUM(G71:$G$103)</f>
        <v>-8916746.0732681528</v>
      </c>
      <c r="X71" s="229">
        <f>D70-'Wing inertia load'!G72</f>
        <v>-121220.92615479045</v>
      </c>
      <c r="Z71" s="38">
        <f t="shared" si="3"/>
        <v>0</v>
      </c>
    </row>
    <row r="72" spans="3:26">
      <c r="C72" s="38">
        <v>14</v>
      </c>
      <c r="D72" s="38">
        <f t="shared" si="0"/>
        <v>-120714.06777676837</v>
      </c>
      <c r="E72" s="38">
        <f t="shared" si="1"/>
        <v>-60030.993240124764</v>
      </c>
      <c r="F72" s="38">
        <f>SUM(E72:$E$103)</f>
        <v>-1313514.8808753542</v>
      </c>
      <c r="G72" s="38">
        <f t="shared" si="2"/>
        <v>-641749.69212764583</v>
      </c>
      <c r="H72" s="38">
        <f>SUM(G72:$G$103)</f>
        <v>-8244821.5504420064</v>
      </c>
      <c r="X72" s="229">
        <f>D71-'Wing inertia load'!G73</f>
        <v>-120032.93431378734</v>
      </c>
      <c r="Z72" s="38">
        <f t="shared" si="3"/>
        <v>0</v>
      </c>
    </row>
    <row r="73" spans="3:26">
      <c r="C73" s="38">
        <v>14.5</v>
      </c>
      <c r="D73" s="38">
        <f t="shared" si="0"/>
        <v>-119409.90518373068</v>
      </c>
      <c r="E73" s="38">
        <f t="shared" si="1"/>
        <v>-59363.678255856736</v>
      </c>
      <c r="F73" s="38">
        <f>SUM(E73:$E$103)</f>
        <v>-1253483.8876352292</v>
      </c>
      <c r="G73" s="38">
        <f t="shared" si="2"/>
        <v>-611901.02425365045</v>
      </c>
      <c r="H73" s="38">
        <f>SUM(G73:$G$103)</f>
        <v>-7603071.8583143596</v>
      </c>
      <c r="X73" s="229">
        <f>D72-'Wing inertia load'!G74</f>
        <v>-118787.75165176837</v>
      </c>
      <c r="Z73" s="38">
        <f t="shared" si="3"/>
        <v>0</v>
      </c>
    </row>
    <row r="74" spans="3:26">
      <c r="C74" s="38">
        <v>15</v>
      </c>
      <c r="D74" s="38">
        <f t="shared" si="0"/>
        <v>-118044.80783969627</v>
      </c>
      <c r="E74" s="38">
        <f t="shared" si="1"/>
        <v>-58665.360931012583</v>
      </c>
      <c r="F74" s="38">
        <f>SUM(E74:$E$103)</f>
        <v>-1194120.2093793727</v>
      </c>
      <c r="G74" s="38">
        <f t="shared" si="2"/>
        <v>-582393.76445693313</v>
      </c>
      <c r="H74" s="38">
        <f>SUM(G74:$G$103)</f>
        <v>-6991170.8340607099</v>
      </c>
      <c r="X74" s="229">
        <f>D73-'Wing inertia load'!G75</f>
        <v>-117483.58905873068</v>
      </c>
      <c r="Z74" s="38">
        <f t="shared" si="3"/>
        <v>0</v>
      </c>
    </row>
    <row r="75" spans="3:26">
      <c r="C75" s="38">
        <v>15.5</v>
      </c>
      <c r="D75" s="38">
        <f t="shared" si="0"/>
        <v>-116616.63588435407</v>
      </c>
      <c r="E75" s="38">
        <f t="shared" si="1"/>
        <v>-57934.91944706357</v>
      </c>
      <c r="F75" s="38">
        <f>SUM(E75:$E$103)</f>
        <v>-1135454.8484483599</v>
      </c>
      <c r="G75" s="38">
        <f t="shared" si="2"/>
        <v>-553243.69436241407</v>
      </c>
      <c r="H75" s="38">
        <f>SUM(G75:$G$103)</f>
        <v>-6408777.0696037766</v>
      </c>
      <c r="X75" s="229">
        <f>D74-'Wing inertia load'!G76</f>
        <v>-116118.49171469627</v>
      </c>
      <c r="Z75" s="38">
        <f t="shared" si="3"/>
        <v>0</v>
      </c>
    </row>
    <row r="76" spans="3:26">
      <c r="C76" s="38">
        <v>16</v>
      </c>
      <c r="D76" s="38">
        <f t="shared" si="0"/>
        <v>-115123.04190390022</v>
      </c>
      <c r="E76" s="38">
        <f t="shared" si="1"/>
        <v>-57171.121620406906</v>
      </c>
      <c r="F76" s="38">
        <f>SUM(E76:$E$103)</f>
        <v>-1077519.9290012964</v>
      </c>
      <c r="G76" s="38">
        <f t="shared" si="2"/>
        <v>-524467.18409554637</v>
      </c>
      <c r="H76" s="38">
        <f>SUM(G76:$G$103)</f>
        <v>-5855533.3752413625</v>
      </c>
      <c r="X76" s="229">
        <f>D75-'Wing inertia load'!G77</f>
        <v>-114690.31975935407</v>
      </c>
      <c r="Z76" s="38">
        <f t="shared" si="3"/>
        <v>0</v>
      </c>
    </row>
    <row r="77" spans="3:26">
      <c r="C77" s="38">
        <v>16.5</v>
      </c>
      <c r="D77" s="38">
        <f t="shared" si="0"/>
        <v>-113561.44457772739</v>
      </c>
      <c r="E77" s="38">
        <f t="shared" si="1"/>
        <v>-56372.610559354784</v>
      </c>
      <c r="F77" s="38">
        <f>SUM(E77:$E$103)</f>
        <v>-1020348.8073808893</v>
      </c>
      <c r="G77" s="38">
        <f t="shared" si="2"/>
        <v>-496081.25105060596</v>
      </c>
      <c r="H77" s="38">
        <f>SUM(G77:$G$103)</f>
        <v>-5331066.1911458159</v>
      </c>
      <c r="X77" s="229">
        <f>D76-'Wing inertia load'!G78</f>
        <v>-113196.72577890022</v>
      </c>
      <c r="Z77" s="38">
        <f t="shared" si="3"/>
        <v>0</v>
      </c>
    </row>
    <row r="78" spans="3:26">
      <c r="C78" s="38">
        <v>17</v>
      </c>
      <c r="D78" s="38">
        <f t="shared" si="0"/>
        <v>-111928.99765969174</v>
      </c>
      <c r="E78" s="38">
        <f t="shared" si="1"/>
        <v>-55537.887727226931</v>
      </c>
      <c r="F78" s="38">
        <f>SUM(E78:$E$103)</f>
        <v>-963976.19682153454</v>
      </c>
      <c r="G78" s="38">
        <f t="shared" si="2"/>
        <v>-468103.62647896056</v>
      </c>
      <c r="H78" s="38">
        <f>SUM(G78:$G$103)</f>
        <v>-4834984.9400952104</v>
      </c>
      <c r="X78" s="229">
        <f>D77-'Wing inertia load'!G79</f>
        <v>-111635.1284527274</v>
      </c>
      <c r="Z78" s="38">
        <f t="shared" si="3"/>
        <v>0</v>
      </c>
    </row>
    <row r="79" spans="3:26">
      <c r="C79" s="38">
        <v>17.5</v>
      </c>
      <c r="D79" s="38">
        <f t="shared" si="0"/>
        <v>-110222.55324921597</v>
      </c>
      <c r="E79" s="38">
        <f t="shared" si="1"/>
        <v>-54665.292816741101</v>
      </c>
      <c r="F79" s="38">
        <f>SUM(E79:$E$103)</f>
        <v>-908438.30909430771</v>
      </c>
      <c r="G79" s="38">
        <f t="shared" si="2"/>
        <v>-440552.83134296857</v>
      </c>
      <c r="H79" s="38">
        <f>SUM(G79:$G$103)</f>
        <v>-4366881.3136162488</v>
      </c>
      <c r="X79" s="229">
        <f>D78-'Wing inertia load'!G80</f>
        <v>-19873.306534691743</v>
      </c>
      <c r="Z79" s="38">
        <f t="shared" si="3"/>
        <v>0</v>
      </c>
    </row>
    <row r="80" spans="3:26">
      <c r="C80" s="38">
        <v>18</v>
      </c>
      <c r="D80" s="38">
        <f t="shared" si="0"/>
        <v>-108438.61801774845</v>
      </c>
      <c r="E80" s="38">
        <f t="shared" si="1"/>
        <v>-53752.979671789086</v>
      </c>
      <c r="F80" s="38">
        <f>SUM(E80:$E$103)</f>
        <v>-853773.01627756655</v>
      </c>
      <c r="G80" s="38">
        <f t="shared" si="2"/>
        <v>-413448.26322083606</v>
      </c>
      <c r="H80" s="38">
        <f>SUM(G80:$G$103)</f>
        <v>-3926328.4822732802</v>
      </c>
      <c r="X80" s="229">
        <f>D79-'Wing inertia load'!G81</f>
        <v>-108296.23712421597</v>
      </c>
      <c r="Z80" s="38">
        <f t="shared" si="3"/>
        <v>0</v>
      </c>
    </row>
    <row r="81" spans="1:26">
      <c r="C81" s="38">
        <v>18.5</v>
      </c>
      <c r="D81" s="38">
        <f t="shared" si="0"/>
        <v>-106573.30066940788</v>
      </c>
      <c r="E81" s="38">
        <f t="shared" si="1"/>
        <v>-52798.887265468409</v>
      </c>
      <c r="F81" s="38">
        <f>SUM(E81:$E$103)</f>
        <v>-800020.03660577757</v>
      </c>
      <c r="G81" s="38">
        <f t="shared" si="2"/>
        <v>-386810.29648652166</v>
      </c>
      <c r="H81" s="38">
        <f>SUM(G81:$G$103)</f>
        <v>-3512880.2190524437</v>
      </c>
      <c r="X81" s="229">
        <f>D80-'Wing inertia load'!G82</f>
        <v>-106512.30189274845</v>
      </c>
      <c r="Z81" s="38">
        <f t="shared" si="3"/>
        <v>0</v>
      </c>
    </row>
    <row r="82" spans="1:26">
      <c r="C82" s="38">
        <v>19</v>
      </c>
      <c r="D82" s="38">
        <f t="shared" si="0"/>
        <v>-104622.24839246576</v>
      </c>
      <c r="E82" s="38">
        <f t="shared" si="1"/>
        <v>-51800.704434150975</v>
      </c>
      <c r="F82" s="38">
        <f>SUM(E82:$E$103)</f>
        <v>-747221.14934030909</v>
      </c>
      <c r="G82" s="38">
        <f t="shared" si="2"/>
        <v>-360660.39856161684</v>
      </c>
      <c r="H82" s="38">
        <f>SUM(G82:$G$103)</f>
        <v>-3126069.9225659226</v>
      </c>
      <c r="X82" s="229">
        <f>D81-'Wing inertia load'!G83</f>
        <v>-104646.98454440788</v>
      </c>
      <c r="Z82" s="38">
        <f t="shared" si="3"/>
        <v>0</v>
      </c>
    </row>
    <row r="83" spans="1:26">
      <c r="C83" s="38">
        <v>19.5</v>
      </c>
      <c r="D83" s="38">
        <f t="shared" si="0"/>
        <v>-102580.56934413814</v>
      </c>
      <c r="E83" s="38">
        <f t="shared" si="1"/>
        <v>-50755.826641214036</v>
      </c>
      <c r="F83" s="38">
        <f>SUM(E83:$E$103)</f>
        <v>-695420.44490615826</v>
      </c>
      <c r="G83" s="38">
        <f t="shared" si="2"/>
        <v>-335021.26579277561</v>
      </c>
      <c r="H83" s="38">
        <f>SUM(G83:$G$103)</f>
        <v>-2765409.5240043057</v>
      </c>
      <c r="X83" s="229">
        <f>D82-'Wing inertia load'!G84</f>
        <v>-102695.93226746576</v>
      </c>
      <c r="Z83" s="38">
        <f t="shared" si="3"/>
        <v>0</v>
      </c>
    </row>
    <row r="84" spans="1:26">
      <c r="C84" s="38">
        <v>20</v>
      </c>
      <c r="D84" s="38">
        <f t="shared" si="0"/>
        <v>-100442.73722071802</v>
      </c>
      <c r="E84" s="38">
        <f t="shared" si="1"/>
        <v>-49661.302447808353</v>
      </c>
      <c r="F84" s="38">
        <f>SUM(E84:$E$103)</f>
        <v>-644664.61826494418</v>
      </c>
      <c r="G84" s="38">
        <f t="shared" si="2"/>
        <v>-309916.98352052004</v>
      </c>
      <c r="H84" s="38">
        <f>SUM(G84:$G$103)</f>
        <v>-2430388.2582115298</v>
      </c>
      <c r="X84" s="229">
        <f>D83-'Wing inertia load'!G85</f>
        <v>-100654.25321913815</v>
      </c>
      <c r="Z84" s="38">
        <f t="shared" si="3"/>
        <v>0</v>
      </c>
    </row>
    <row r="85" spans="1:26">
      <c r="C85" s="38">
        <v>20.5</v>
      </c>
      <c r="D85" s="38">
        <f t="shared" si="0"/>
        <v>-98202.472570515383</v>
      </c>
      <c r="E85" s="38">
        <f t="shared" si="1"/>
        <v>-48513.766520248944</v>
      </c>
      <c r="F85" s="38">
        <f>SUM(E85:$E$103)</f>
        <v>-595003.31581713585</v>
      </c>
      <c r="G85" s="38">
        <f t="shared" si="2"/>
        <v>-285373.21627850569</v>
      </c>
      <c r="H85" s="38">
        <f>SUM(G85:$G$103)</f>
        <v>-2120471.2746910104</v>
      </c>
      <c r="X85" s="229">
        <f>D84-'Wing inertia load'!G86</f>
        <v>-98516.421095718018</v>
      </c>
      <c r="Z85" s="38">
        <f t="shared" si="3"/>
        <v>0</v>
      </c>
    </row>
    <row r="86" spans="1:26">
      <c r="C86" s="38">
        <v>21</v>
      </c>
      <c r="D86" s="38">
        <f t="shared" si="0"/>
        <v>-95852.593510480394</v>
      </c>
      <c r="E86" s="38">
        <f t="shared" si="1"/>
        <v>-47309.354776569962</v>
      </c>
      <c r="F86" s="38">
        <f>SUM(E86:$E$103)</f>
        <v>-546489.54929688689</v>
      </c>
      <c r="G86" s="38">
        <f t="shared" si="2"/>
        <v>-261417.43595430092</v>
      </c>
      <c r="H86" s="38">
        <f>SUM(G86:$G$103)</f>
        <v>-1835098.0584125044</v>
      </c>
      <c r="X86" s="229">
        <f>D85-'Wing inertia load'!G87</f>
        <v>-96276.156445515386</v>
      </c>
      <c r="Z86" s="38">
        <f t="shared" si="3"/>
        <v>0</v>
      </c>
    </row>
    <row r="87" spans="1:26">
      <c r="C87" s="38">
        <v>21.5</v>
      </c>
      <c r="D87" s="38">
        <f t="shared" si="0"/>
        <v>-93384.82559579947</v>
      </c>
      <c r="E87" s="38">
        <f t="shared" si="1"/>
        <v>-46043.595463526653</v>
      </c>
      <c r="F87" s="38">
        <f>SUM(E87:$E$103)</f>
        <v>-499180.19452031684</v>
      </c>
      <c r="G87" s="38">
        <f t="shared" si="2"/>
        <v>-238079.19839427675</v>
      </c>
      <c r="H87" s="38">
        <f>SUM(G87:$G$103)</f>
        <v>-1573680.6224582037</v>
      </c>
      <c r="X87" s="229">
        <f>D86-'Wing inertia load'!G88</f>
        <v>-93926.277385480396</v>
      </c>
      <c r="Z87" s="38">
        <f t="shared" si="3"/>
        <v>0</v>
      </c>
    </row>
    <row r="88" spans="1:26">
      <c r="C88" s="38">
        <v>22</v>
      </c>
      <c r="D88" s="38">
        <f t="shared" si="0"/>
        <v>-90789.556258307159</v>
      </c>
      <c r="E88" s="38">
        <f t="shared" si="1"/>
        <v>-44711.267222389972</v>
      </c>
      <c r="F88" s="38">
        <f>SUM(E88:$E$103)</f>
        <v>-453136.59905679018</v>
      </c>
      <c r="G88" s="38">
        <f t="shared" si="2"/>
        <v>-215390.48272279761</v>
      </c>
      <c r="H88" s="38">
        <f>SUM(G88:$G$103)</f>
        <v>-1335601.4240639268</v>
      </c>
      <c r="X88" s="229">
        <f>D87-'Wing inertia load'!G89</f>
        <v>-91458.509470799472</v>
      </c>
      <c r="Z88" s="38">
        <f t="shared" si="3"/>
        <v>0</v>
      </c>
    </row>
    <row r="89" spans="1:26" s="34" customFormat="1" ht="19" thickBot="1">
      <c r="A89" s="29"/>
      <c r="C89" s="38">
        <v>22.5</v>
      </c>
      <c r="D89" s="38">
        <f t="shared" si="0"/>
        <v>-88055.512631252714</v>
      </c>
      <c r="E89" s="38">
        <f t="shared" si="1"/>
        <v>-43306.210975454109</v>
      </c>
      <c r="F89" s="38">
        <f>SUM(E89:$E$103)</f>
        <v>-408425.33183440025</v>
      </c>
      <c r="G89" s="38">
        <f t="shared" si="2"/>
        <v>-193386.11317333661</v>
      </c>
      <c r="H89" s="38">
        <f>SUM(G89:$G$103)</f>
        <v>-1120210.9413411289</v>
      </c>
      <c r="X89" s="229">
        <f>D88-'Wing inertia load'!G90</f>
        <v>-88863.240133307161</v>
      </c>
      <c r="Z89" s="38">
        <f t="shared" si="3"/>
        <v>0</v>
      </c>
    </row>
    <row r="90" spans="1:26">
      <c r="C90" s="38">
        <v>23</v>
      </c>
      <c r="D90" s="38">
        <f t="shared" si="0"/>
        <v>-85169.331270563722</v>
      </c>
      <c r="E90" s="38">
        <f t="shared" si="1"/>
        <v>-41821.075744552109</v>
      </c>
      <c r="F90" s="38">
        <f>SUM(E90:$E$103)</f>
        <v>-365119.12085894612</v>
      </c>
      <c r="G90" s="38">
        <f t="shared" si="2"/>
        <v>-172104.29149333504</v>
      </c>
      <c r="H90" s="38">
        <f>SUM(G90:$G$103)</f>
        <v>-926824.82816779241</v>
      </c>
      <c r="X90" s="229">
        <f>D89-'Wing inertia load'!G91</f>
        <v>-86129.196506252716</v>
      </c>
      <c r="Z90" s="38">
        <f t="shared" si="3"/>
        <v>0</v>
      </c>
    </row>
    <row r="91" spans="1:26" ht="18.75" customHeight="1">
      <c r="C91" s="38">
        <v>23.5</v>
      </c>
      <c r="D91" s="38">
        <f t="shared" si="0"/>
        <v>-82114.971707644712</v>
      </c>
      <c r="E91" s="38">
        <f t="shared" si="1"/>
        <v>-40246.967481193264</v>
      </c>
      <c r="F91" s="38">
        <f>SUM(E91:$E$103)</f>
        <v>-323298.04511439399</v>
      </c>
      <c r="G91" s="38">
        <f t="shared" si="2"/>
        <v>-151587.28068689868</v>
      </c>
      <c r="H91" s="38">
        <f>SUM(G91:$G$103)</f>
        <v>-754720.53667445737</v>
      </c>
      <c r="X91" s="229">
        <f>D90-'Wing inertia load'!G92</f>
        <v>-83243.015145563724</v>
      </c>
      <c r="Z91" s="38">
        <f t="shared" si="3"/>
        <v>0</v>
      </c>
    </row>
    <row r="92" spans="1:26" ht="18.75" customHeight="1">
      <c r="C92" s="38">
        <v>24</v>
      </c>
      <c r="D92" s="38">
        <f t="shared" si="0"/>
        <v>-78872.898217128357</v>
      </c>
      <c r="E92" s="38">
        <f t="shared" si="1"/>
        <v>-38572.951204617078</v>
      </c>
      <c r="F92" s="38">
        <f>SUM(E92:$E$103)</f>
        <v>-283051.07763320074</v>
      </c>
      <c r="G92" s="38">
        <f t="shared" si="2"/>
        <v>-131882.30101544614</v>
      </c>
      <c r="H92" s="38">
        <f>SUM(G92:$G$103)</f>
        <v>-603133.25598755875</v>
      </c>
      <c r="X92" s="229">
        <f>D91-'Wing inertia load'!G93</f>
        <v>-80188.655582644715</v>
      </c>
      <c r="Z92" s="38">
        <f t="shared" si="3"/>
        <v>0</v>
      </c>
    </row>
    <row r="93" spans="1:26" ht="18.75" customHeight="1">
      <c r="C93" s="38">
        <v>24.5</v>
      </c>
      <c r="D93" s="38">
        <f t="shared" si="0"/>
        <v>-75418.906601339957</v>
      </c>
      <c r="E93" s="38">
        <f t="shared" si="1"/>
        <v>-36785.323367022436</v>
      </c>
      <c r="F93" s="38">
        <f>SUM(E93:$E$103)</f>
        <v>-244478.12642858375</v>
      </c>
      <c r="G93" s="38">
        <f t="shared" si="2"/>
        <v>-113042.73237253627</v>
      </c>
      <c r="H93" s="38">
        <f>SUM(G93:$G$103)</f>
        <v>-471250.95497211261</v>
      </c>
      <c r="X93" s="229">
        <f>D92-'Wing inertia load'!G94</f>
        <v>-76946.582092128359</v>
      </c>
      <c r="Z93" s="38">
        <f t="shared" si="3"/>
        <v>0</v>
      </c>
    </row>
    <row r="94" spans="1:26" ht="18.75" customHeight="1">
      <c r="C94" s="38">
        <v>25</v>
      </c>
      <c r="D94" s="38">
        <f t="shared" si="0"/>
        <v>-71722.386866749788</v>
      </c>
      <c r="E94" s="38">
        <f t="shared" si="1"/>
        <v>-34866.508981634513</v>
      </c>
      <c r="F94" s="38">
        <f>SUM(E94:$E$103)</f>
        <v>-207692.80306156131</v>
      </c>
      <c r="G94" s="38">
        <f t="shared" si="2"/>
        <v>-95129.774285372026</v>
      </c>
      <c r="H94" s="38">
        <f>SUM(G94:$G$103)</f>
        <v>-358208.22259957634</v>
      </c>
      <c r="X94" s="229">
        <f>D93-'Wing inertia load'!G95</f>
        <v>-73492.590476339959</v>
      </c>
      <c r="Z94" s="38">
        <f t="shared" si="3"/>
        <v>0</v>
      </c>
    </row>
    <row r="95" spans="1:26" ht="18.75" customHeight="1">
      <c r="C95" s="38">
        <v>25.5</v>
      </c>
      <c r="D95" s="38">
        <f t="shared" si="0"/>
        <v>-67743.649059788266</v>
      </c>
      <c r="E95" s="38">
        <f t="shared" si="1"/>
        <v>-32793.314131184728</v>
      </c>
      <c r="F95" s="38">
        <f>SUM(E95:$E$103)</f>
        <v>-172826.29407992677</v>
      </c>
      <c r="G95" s="38">
        <f t="shared" si="2"/>
        <v>-78214.818507167205</v>
      </c>
      <c r="H95" s="38">
        <f>SUM(G95:$G$103)</f>
        <v>-263078.44831420435</v>
      </c>
      <c r="X95" s="229">
        <f>D94-'Wing inertia load'!G96</f>
        <v>-69796.070741749791</v>
      </c>
      <c r="Z95" s="38">
        <f t="shared" si="3"/>
        <v>0</v>
      </c>
    </row>
    <row r="96" spans="1:26" ht="18.75" customHeight="1">
      <c r="C96" s="38">
        <v>26</v>
      </c>
      <c r="D96" s="38">
        <f t="shared" si="0"/>
        <v>-63429.607464950634</v>
      </c>
      <c r="E96" s="38">
        <f t="shared" si="1"/>
        <v>-30533.999146281894</v>
      </c>
      <c r="F96" s="38">
        <f>SUM(E96:$E$103)</f>
        <v>-140032.97994874205</v>
      </c>
      <c r="G96" s="38">
        <f t="shared" si="2"/>
        <v>-62382.990187800548</v>
      </c>
      <c r="H96" s="38">
        <f>SUM(G96:$G$103)</f>
        <v>-184863.62980703713</v>
      </c>
      <c r="X96" s="229">
        <f>D95-'Wing inertia load'!G97</f>
        <v>-65817.332934788268</v>
      </c>
      <c r="Z96" s="38">
        <f t="shared" si="3"/>
        <v>0</v>
      </c>
    </row>
    <row r="97" spans="3:26" ht="18.75" customHeight="1">
      <c r="C97" s="38">
        <v>26.5</v>
      </c>
      <c r="D97" s="38">
        <f t="shared" si="0"/>
        <v>-58706.389120176944</v>
      </c>
      <c r="E97" s="38">
        <f t="shared" si="1"/>
        <v>-28043.012864101082</v>
      </c>
      <c r="F97" s="38">
        <f>SUM(E97:$E$103)</f>
        <v>-109498.98080246012</v>
      </c>
      <c r="G97" s="38">
        <f t="shared" si="2"/>
        <v>-47738.737185204795</v>
      </c>
      <c r="H97" s="38">
        <f>SUM(G97:$G$103)</f>
        <v>-122480.63961923658</v>
      </c>
      <c r="X97" s="229">
        <f>D96-'Wing inertia load'!G98</f>
        <v>-61503.291339950636</v>
      </c>
      <c r="Z97" s="38">
        <f t="shared" si="3"/>
        <v>0</v>
      </c>
    </row>
    <row r="98" spans="3:26" ht="18.75" customHeight="1">
      <c r="C98" s="38">
        <v>27</v>
      </c>
      <c r="D98" s="38">
        <f t="shared" si="0"/>
        <v>-53465.662336227382</v>
      </c>
      <c r="E98" s="38">
        <f t="shared" si="1"/>
        <v>-25250.559115784512</v>
      </c>
      <c r="F98" s="38">
        <f>SUM(E98:$E$103)</f>
        <v>-81455.967938359041</v>
      </c>
      <c r="G98" s="38">
        <f t="shared" si="2"/>
        <v>-34415.344190233387</v>
      </c>
      <c r="H98" s="38">
        <f>SUM(G98:$G$103)</f>
        <v>-74741.902434031785</v>
      </c>
      <c r="X98" s="229">
        <f>D97-'Wing inertia load'!G99</f>
        <v>-56780.072995176946</v>
      </c>
      <c r="Z98" s="38">
        <f t="shared" si="3"/>
        <v>0</v>
      </c>
    </row>
    <row r="99" spans="3:26">
      <c r="C99" s="38">
        <v>27.5</v>
      </c>
      <c r="D99" s="38">
        <f t="shared" si="0"/>
        <v>-47536.574126910673</v>
      </c>
      <c r="E99" s="38">
        <f t="shared" si="1"/>
        <v>-22038.842614987741</v>
      </c>
      <c r="F99" s="38">
        <f>SUM(E99:$E$103)</f>
        <v>-56205.408822574522</v>
      </c>
      <c r="G99" s="38">
        <f t="shared" si="2"/>
        <v>-22592.993757540327</v>
      </c>
      <c r="H99" s="38">
        <f>SUM(G99:$G$103)</f>
        <v>-40326.55824379839</v>
      </c>
      <c r="X99" s="229">
        <f>D98-'Wing inertia load'!G100</f>
        <v>-51539.346211227385</v>
      </c>
      <c r="Z99" s="38">
        <f t="shared" si="3"/>
        <v>0</v>
      </c>
    </row>
    <row r="100" spans="3:26">
      <c r="C100" s="38">
        <v>28</v>
      </c>
      <c r="D100" s="38">
        <f t="shared" si="0"/>
        <v>-40618.7963330403</v>
      </c>
      <c r="E100" s="38">
        <f t="shared" si="1"/>
        <v>-18174.43745382383</v>
      </c>
      <c r="F100" s="38">
        <f>SUM(E100:$E$103)</f>
        <v>-34166.566207586788</v>
      </c>
      <c r="G100" s="38">
        <f t="shared" si="2"/>
        <v>-12539.673740337437</v>
      </c>
      <c r="H100" s="38">
        <f>SUM(G100:$G$103)</f>
        <v>-17733.564486258059</v>
      </c>
      <c r="X100" s="229">
        <f>D99-'Wing inertia load'!G101</f>
        <v>-45610.258001910675</v>
      </c>
      <c r="Z100" s="38">
        <f t="shared" si="3"/>
        <v>0</v>
      </c>
    </row>
    <row r="101" spans="3:26">
      <c r="C101" s="38">
        <v>28.5</v>
      </c>
      <c r="D101" s="38">
        <f t="shared" si="0"/>
        <v>-32078.953482255023</v>
      </c>
      <c r="E101" s="38">
        <f t="shared" si="1"/>
        <v>-13002.482360063254</v>
      </c>
      <c r="F101" s="38">
        <f>SUM(E101:$E$103)</f>
        <v>-15992.12875376296</v>
      </c>
      <c r="G101" s="38">
        <f t="shared" si="2"/>
        <v>-4745.443786865666</v>
      </c>
      <c r="H101" s="38">
        <f>SUM(G101:$G$103)</f>
        <v>-5193.890745920623</v>
      </c>
      <c r="X101" s="229">
        <f>D100-'Wing inertia load'!G102</f>
        <v>-38692.480208040302</v>
      </c>
      <c r="Z101" s="38">
        <f t="shared" si="3"/>
        <v>0</v>
      </c>
    </row>
    <row r="102" spans="3:26">
      <c r="C102" s="38">
        <v>29</v>
      </c>
      <c r="D102" s="38">
        <f t="shared" si="0"/>
        <v>-19930.975957997991</v>
      </c>
      <c r="E102" s="38">
        <f t="shared" si="1"/>
        <v>-2989.6463936997056</v>
      </c>
      <c r="F102" s="38">
        <f>SUM(E102:$E$103)</f>
        <v>-2989.6463936997056</v>
      </c>
      <c r="G102" s="38">
        <f t="shared" si="2"/>
        <v>-448.44695905495689</v>
      </c>
      <c r="H102" s="38">
        <f>SUM(G102:$G$103)</f>
        <v>-448.44695905495689</v>
      </c>
      <c r="X102" s="229">
        <f>D101-'Wing inertia load'!G103</f>
        <v>-30152.637357255022</v>
      </c>
      <c r="Z102" s="38">
        <f t="shared" si="3"/>
        <v>0</v>
      </c>
    </row>
    <row r="103" spans="3:26">
      <c r="C103" s="38">
        <v>29.3</v>
      </c>
      <c r="D103" s="32">
        <v>0</v>
      </c>
      <c r="E103" s="38">
        <f t="shared" si="1"/>
        <v>0</v>
      </c>
      <c r="F103" s="38">
        <f>SUM(E103:$E$103)</f>
        <v>0</v>
      </c>
      <c r="G103" s="38">
        <f t="shared" si="2"/>
        <v>0</v>
      </c>
      <c r="H103" s="38">
        <f>SUM(G103:$G$103)</f>
        <v>0</v>
      </c>
      <c r="X103" s="229">
        <f>D102-'Wing inertia load'!G104</f>
        <v>-18736.659960497997</v>
      </c>
    </row>
    <row r="104" spans="3:26">
      <c r="X104" s="229">
        <f>D103-'Wing inertia load'!G105</f>
        <v>0</v>
      </c>
    </row>
    <row r="106" spans="3:26">
      <c r="E106" s="35" t="s">
        <v>96</v>
      </c>
      <c r="F106" s="40">
        <f>SUM(E44:E80)</f>
        <v>-2361185.3644035542</v>
      </c>
    </row>
    <row r="112" spans="3:26">
      <c r="Y112" s="32">
        <v>442134.36124750093</v>
      </c>
      <c r="Z112" s="32">
        <v>3988498.9490321171</v>
      </c>
    </row>
    <row r="113" spans="1:26">
      <c r="A113" s="154" t="s">
        <v>271</v>
      </c>
      <c r="C113" s="275" t="s">
        <v>114</v>
      </c>
      <c r="D113" s="275"/>
      <c r="E113" s="275"/>
      <c r="Y113" s="32">
        <v>418928.76512250089</v>
      </c>
      <c r="Z113" s="32">
        <v>3773233.1674396168</v>
      </c>
    </row>
    <row r="114" spans="1:26" ht="14.5">
      <c r="A114" s="251" t="s">
        <v>113</v>
      </c>
      <c r="C114" s="35" t="s">
        <v>88</v>
      </c>
      <c r="D114" s="35" t="s">
        <v>92</v>
      </c>
      <c r="E114" s="35" t="s">
        <v>94</v>
      </c>
      <c r="Y114" s="32">
        <v>395723.16899750079</v>
      </c>
      <c r="Z114" s="32">
        <v>3569570.183909616</v>
      </c>
    </row>
    <row r="115" spans="1:26" ht="14.5">
      <c r="A115" s="278"/>
      <c r="C115" s="35" t="s">
        <v>1</v>
      </c>
      <c r="D115" s="35" t="s">
        <v>74</v>
      </c>
      <c r="E115" s="35" t="s">
        <v>61</v>
      </c>
      <c r="Y115" s="32">
        <v>372517.57287250069</v>
      </c>
      <c r="Z115" s="32">
        <v>3377509.9984421157</v>
      </c>
    </row>
    <row r="116" spans="1:26" ht="14.5">
      <c r="A116" s="278"/>
      <c r="C116" s="38">
        <v>0</v>
      </c>
      <c r="D116" s="38">
        <f>'Wing aero load'!F44-'Wing inertia load'!H46</f>
        <v>-2719071.0397618306</v>
      </c>
      <c r="E116" s="38">
        <f>H44-'Wing inertia load'!J46</f>
        <v>-35310775.85724467</v>
      </c>
      <c r="Y116" s="32">
        <v>349311.97674750065</v>
      </c>
      <c r="Z116" s="32">
        <v>3197052.6110371156</v>
      </c>
    </row>
    <row r="117" spans="1:26" ht="14.5">
      <c r="A117" s="278"/>
      <c r="C117" s="38">
        <v>0.5</v>
      </c>
      <c r="D117" s="38">
        <f>'Wing aero load'!F45-'Wing inertia load'!H47</f>
        <v>-2673580.7986461655</v>
      </c>
      <c r="E117" s="38">
        <f>H45-'Wing inertia load'!J47</f>
        <v>-33962612.897642672</v>
      </c>
      <c r="Y117" s="32">
        <v>326106.38062250061</v>
      </c>
      <c r="Z117" s="32">
        <v>3028198.021694615</v>
      </c>
    </row>
    <row r="118" spans="1:26" ht="14.5">
      <c r="A118" s="278"/>
      <c r="C118" s="38">
        <v>1</v>
      </c>
      <c r="D118" s="38">
        <f>'Wing aero load'!F46-'Wing inertia load'!H48</f>
        <v>-2628110.5560032967</v>
      </c>
      <c r="E118" s="38">
        <f>H46-'Wing inertia load'!J48</f>
        <v>-32637190.058980308</v>
      </c>
      <c r="Y118" s="32">
        <v>302900.78449750051</v>
      </c>
      <c r="Z118" s="32">
        <v>2870946.2304146145</v>
      </c>
    </row>
    <row r="119" spans="1:26" ht="14.5">
      <c r="A119" s="278"/>
      <c r="C119" s="38">
        <v>1.5</v>
      </c>
      <c r="D119" s="38">
        <f>'Wing aero load'!F47-'Wing inertia load'!H49</f>
        <v>-2582680.3277920275</v>
      </c>
      <c r="E119" s="38">
        <f>H47-'Wing inertia load'!J49</f>
        <v>-31334492.338031467</v>
      </c>
      <c r="Y119" s="32">
        <v>279695.1883725003</v>
      </c>
      <c r="Z119" s="32">
        <v>2725297.2371971146</v>
      </c>
    </row>
    <row r="120" spans="1:26" ht="14.5">
      <c r="A120" s="278"/>
      <c r="C120" s="38">
        <v>2</v>
      </c>
      <c r="D120" s="38">
        <f>'Wing aero load'!F48-'Wing inertia load'!H50</f>
        <v>-2537310.1650197557</v>
      </c>
      <c r="E120" s="38">
        <f>H48-'Wing inertia load'!J50</f>
        <v>-30054494.714828543</v>
      </c>
      <c r="Y120" s="32">
        <v>277768.87224750029</v>
      </c>
      <c r="Z120" s="32">
        <v>2585931.2220421149</v>
      </c>
    </row>
    <row r="121" spans="1:26" ht="14.5">
      <c r="A121" s="278"/>
      <c r="C121" s="38">
        <v>2.5</v>
      </c>
      <c r="D121" s="38">
        <f>'Wing aero load'!F49-'Wing inertia load'!H51</f>
        <v>-2492020.1714590047</v>
      </c>
      <c r="E121" s="38">
        <f>H49-'Wing inertia load'!J51</f>
        <v>-28797162.130708855</v>
      </c>
      <c r="Y121" s="32">
        <v>275842.55612250022</v>
      </c>
      <c r="Z121" s="32">
        <v>2447528.3649496147</v>
      </c>
    </row>
    <row r="122" spans="1:26">
      <c r="C122" s="38">
        <v>3</v>
      </c>
      <c r="D122" s="38">
        <f>'Wing aero load'!F50-'Wing inertia load'!H52</f>
        <v>-2446830.5215968448</v>
      </c>
      <c r="E122" s="38">
        <f>H50-'Wing inertia load'!J52</f>
        <v>-27562449.457444895</v>
      </c>
      <c r="Y122" s="32">
        <v>273916.2399975002</v>
      </c>
      <c r="Z122" s="32">
        <v>2310088.6659196145</v>
      </c>
    </row>
    <row r="123" spans="1:26">
      <c r="C123" s="38">
        <v>3.5</v>
      </c>
      <c r="D123" s="38">
        <f>'Wing aero load'!F51-'Wing inertia load'!H53</f>
        <v>-2401761.4788985699</v>
      </c>
      <c r="E123" s="38">
        <f>H51-'Wing inertia load'!J53</f>
        <v>-26350301.457321037</v>
      </c>
      <c r="Y123" s="32">
        <v>271989.92387250019</v>
      </c>
      <c r="Z123" s="32">
        <v>2173612.1249521142</v>
      </c>
    </row>
    <row r="124" spans="1:26">
      <c r="C124" s="38">
        <v>4</v>
      </c>
      <c r="D124" s="38">
        <f>'Wing aero load'!F52-'Wing inertia load'!H54</f>
        <v>-2335554.1344702654</v>
      </c>
      <c r="E124" s="38">
        <f>H52-'Wing inertia load'!J54</f>
        <v>-25165972.553978831</v>
      </c>
      <c r="Y124" s="32">
        <v>179934.23274750027</v>
      </c>
      <c r="Z124" s="32">
        <v>2060631.0857971145</v>
      </c>
    </row>
    <row r="125" spans="1:26">
      <c r="C125" s="38">
        <v>4.5</v>
      </c>
      <c r="D125" s="38">
        <f>'Wing aero load'!F53-'Wing inertia load'!H55</f>
        <v>-2269508.2662091404</v>
      </c>
      <c r="E125" s="38">
        <f>H53-'Wing inertia load'!J55</f>
        <v>-24014706.953808978</v>
      </c>
      <c r="Y125" s="32">
        <v>178007.91662250028</v>
      </c>
      <c r="Z125" s="32">
        <v>1971145.5484546141</v>
      </c>
    </row>
    <row r="126" spans="1:26">
      <c r="C126" s="38">
        <v>5</v>
      </c>
      <c r="D126" s="38">
        <f>'Wing aero load'!F54-'Wing inertia load'!H56</f>
        <v>-2203644.5185357174</v>
      </c>
      <c r="E126" s="38">
        <f>H54-'Wing inertia load'!J56</f>
        <v>-22896418.75762276</v>
      </c>
      <c r="Y126" s="32">
        <v>176081.60049750027</v>
      </c>
      <c r="Z126" s="32">
        <v>1882623.1691746141</v>
      </c>
    </row>
    <row r="127" spans="1:26">
      <c r="C127" s="38">
        <v>5.5</v>
      </c>
      <c r="D127" s="38">
        <f>'Wing aero load'!F55-'Wing inertia load'!H57</f>
        <v>-2137983.7028083601</v>
      </c>
      <c r="E127" s="38">
        <f>H55-'Wing inertia load'!J57</f>
        <v>-21811011.702286739</v>
      </c>
      <c r="Y127" s="32">
        <v>174155.28437250026</v>
      </c>
      <c r="Z127" s="32">
        <v>1795063.9479571141</v>
      </c>
    </row>
    <row r="128" spans="1:26">
      <c r="C128" s="38">
        <v>6</v>
      </c>
      <c r="D128" s="38">
        <f>'Wing aero load'!F56-'Wing inertia load'!H58</f>
        <v>-2162676.1935281851</v>
      </c>
      <c r="E128" s="38">
        <f>H56-'Wing inertia load'!J58</f>
        <v>-20735846.728202604</v>
      </c>
      <c r="Y128" s="32">
        <v>172228.96824750025</v>
      </c>
      <c r="Z128" s="32">
        <v>1708467.884802114</v>
      </c>
    </row>
    <row r="129" spans="3:26">
      <c r="C129" s="38">
        <v>6.5</v>
      </c>
      <c r="D129" s="38">
        <f>'Wing aero load'!F57-'Wing inertia load'!H59</f>
        <v>-2097484.4504514541</v>
      </c>
      <c r="E129" s="38">
        <f>H57-'Wing inertia load'!J59</f>
        <v>-19670806.567207698</v>
      </c>
      <c r="Y129" s="32">
        <v>170302.65212250024</v>
      </c>
      <c r="Z129" s="32">
        <v>1622834.9797096138</v>
      </c>
    </row>
    <row r="130" spans="3:26">
      <c r="C130" s="38">
        <v>7</v>
      </c>
      <c r="D130" s="38">
        <f>'Wing aero load'!F58-'Wing inertia load'!H60</f>
        <v>-2032559.2917371222</v>
      </c>
      <c r="E130" s="38">
        <f>H58-'Wing inertia load'!J60</f>
        <v>-18638295.631660555</v>
      </c>
      <c r="Y130" s="32">
        <v>168376.33599750022</v>
      </c>
      <c r="Z130" s="32">
        <v>1538165.2326796136</v>
      </c>
    </row>
    <row r="131" spans="3:26">
      <c r="C131" s="38">
        <v>7.5</v>
      </c>
      <c r="D131" s="38">
        <f>'Wing aero load'!F59-'Wing inertia load'!H61</f>
        <v>-1967922.4182696557</v>
      </c>
      <c r="E131" s="38">
        <f>H59-'Wing inertia load'!J61</f>
        <v>-17638175.204158857</v>
      </c>
      <c r="Y131" s="32">
        <v>166450.01987250021</v>
      </c>
      <c r="Z131" s="32">
        <v>1454458.6437121134</v>
      </c>
    </row>
    <row r="132" spans="3:26">
      <c r="C132" s="38">
        <v>8</v>
      </c>
      <c r="D132" s="38">
        <f>'Wing aero load'!F60-'Wing inertia load'!H62</f>
        <v>-1903595.8143117758</v>
      </c>
      <c r="E132" s="38">
        <f>H60-'Wing inertia load'!J62</f>
        <v>-16670295.646013502</v>
      </c>
      <c r="Y132" s="32">
        <v>164523.7037475002</v>
      </c>
      <c r="Z132" s="32">
        <v>1371715.2128071131</v>
      </c>
    </row>
    <row r="133" spans="3:26">
      <c r="C133" s="38">
        <v>8.5</v>
      </c>
      <c r="D133" s="38">
        <f>'Wing aero load'!F61-'Wing inertia load'!H63</f>
        <v>-1839601.7746587479</v>
      </c>
      <c r="E133" s="38">
        <f>H61-'Wing inertia load'!J63</f>
        <v>-15734496.248770874</v>
      </c>
      <c r="Y133" s="32">
        <v>162597.38762250019</v>
      </c>
      <c r="Z133" s="32">
        <v>1289934.9399646132</v>
      </c>
    </row>
    <row r="134" spans="3:26">
      <c r="C134" s="38">
        <v>9</v>
      </c>
      <c r="D134" s="38">
        <f>'Wing aero load'!F62-'Wing inertia load'!H64</f>
        <v>-1775962.9334856879</v>
      </c>
      <c r="E134" s="38">
        <f>H62-'Wing inertia load'!J64</f>
        <v>-14830605.071734756</v>
      </c>
      <c r="Y134" s="32">
        <v>160671.07149750018</v>
      </c>
      <c r="Z134" s="32">
        <v>1209117.8251846132</v>
      </c>
    </row>
    <row r="135" spans="3:26">
      <c r="C135" s="38">
        <v>9.5</v>
      </c>
      <c r="D135" s="38">
        <f>'Wing aero load'!F63-'Wing inertia load'!H65</f>
        <v>-1712702.2951025297</v>
      </c>
      <c r="E135" s="38">
        <f>H63-'Wing inertia load'!J65</f>
        <v>-13958438.764587702</v>
      </c>
      <c r="Y135" s="32">
        <v>158744.75537250013</v>
      </c>
      <c r="Z135" s="32">
        <v>1129263.868467113</v>
      </c>
    </row>
    <row r="136" spans="3:26">
      <c r="C136" s="38">
        <v>10</v>
      </c>
      <c r="D136" s="38">
        <f>'Wing aero load'!F64-'Wing inertia load'!H66</f>
        <v>-1649843.2668584413</v>
      </c>
      <c r="E136" s="38">
        <f>H64-'Wing inertia load'!J66</f>
        <v>-13117802.374097461</v>
      </c>
      <c r="Y136" s="32">
        <v>156818.43924750012</v>
      </c>
      <c r="Z136" s="32">
        <v>1050373.0698121127</v>
      </c>
    </row>
    <row r="137" spans="3:26">
      <c r="C137" s="38">
        <v>10.5</v>
      </c>
      <c r="D137" s="38">
        <f>'Wing aero load'!F65-'Wing inertia load'!H67</f>
        <v>-1587409.6944693374</v>
      </c>
      <c r="E137" s="38">
        <f>H65-'Wing inertia load'!J67</f>
        <v>-12308489.133765513</v>
      </c>
      <c r="Y137" s="32">
        <v>154892.12312250011</v>
      </c>
      <c r="Z137" s="32">
        <v>972445.42921961262</v>
      </c>
    </row>
    <row r="138" spans="3:26">
      <c r="C138" s="38">
        <v>11</v>
      </c>
      <c r="D138" s="38">
        <f>'Wing aero load'!F66-'Wing inertia load'!H68</f>
        <v>-1525425.9000795751</v>
      </c>
      <c r="E138" s="38">
        <f>H66-'Wing inertia load'!J68</f>
        <v>-11530280.235128287</v>
      </c>
      <c r="Y138" s="32">
        <v>152965.8069975001</v>
      </c>
      <c r="Z138" s="32">
        <v>895480.94668961258</v>
      </c>
    </row>
    <row r="139" spans="3:26">
      <c r="C139" s="38">
        <v>11.5</v>
      </c>
      <c r="D139" s="38">
        <f>'Wing aero load'!F67-'Wing inertia load'!H69</f>
        <v>-1463916.7234131144</v>
      </c>
      <c r="E139" s="38">
        <f>H67-'Wing inertia load'!J69</f>
        <v>-10782944.579255113</v>
      </c>
      <c r="Y139" s="32">
        <v>151039.49087250009</v>
      </c>
      <c r="Z139" s="32">
        <v>819479.62222211261</v>
      </c>
    </row>
    <row r="140" spans="3:26">
      <c r="C140" s="38">
        <v>12</v>
      </c>
      <c r="D140" s="38">
        <f>'Wing aero load'!F68-'Wing inertia load'!H70</f>
        <v>-1402907.5664217412</v>
      </c>
      <c r="E140" s="38">
        <f>H68-'Wing inertia load'!J70</f>
        <v>-10066238.506796399</v>
      </c>
      <c r="Y140" s="32">
        <v>149113.17474750007</v>
      </c>
      <c r="Z140" s="32">
        <v>744441.45581711247</v>
      </c>
    </row>
    <row r="141" spans="3:26">
      <c r="C141" s="38">
        <v>12.5</v>
      </c>
      <c r="D141" s="38">
        <f>'Wing aero load'!F69-'Wing inertia load'!H71</f>
        <v>-1342424.4419000892</v>
      </c>
      <c r="E141" s="38">
        <f>H69-'Wing inertia load'!J71</f>
        <v>-9379905.50471594</v>
      </c>
      <c r="Y141" s="32">
        <v>147186.85862250006</v>
      </c>
      <c r="Z141" s="32">
        <v>670366.44747461251</v>
      </c>
    </row>
    <row r="142" spans="3:26">
      <c r="C142" s="38">
        <v>13</v>
      </c>
      <c r="D142" s="38">
        <f>'Wing aero load'!F70-'Wing inertia load'!H72</f>
        <v>-1282494.0266113875</v>
      </c>
      <c r="E142" s="38">
        <f>H70-'Wing inertia load'!J72</f>
        <v>-8723675.8875880726</v>
      </c>
      <c r="Y142" s="32">
        <v>145260.54249750005</v>
      </c>
      <c r="Z142" s="32">
        <v>597254.59719461238</v>
      </c>
    </row>
    <row r="143" spans="3:26">
      <c r="C143" s="38">
        <v>13.5</v>
      </c>
      <c r="D143" s="38">
        <f>'Wing aero load'!F71-'Wing inertia load'!H73</f>
        <v>-1223143.7195567428</v>
      </c>
      <c r="E143" s="38">
        <f>H71-'Wing inertia load'!J73</f>
        <v>-8097266.4510460403</v>
      </c>
      <c r="Y143" s="32">
        <v>143334.22637250004</v>
      </c>
      <c r="Z143" s="32">
        <v>525105.90497711254</v>
      </c>
    </row>
    <row r="144" spans="3:26">
      <c r="C144" s="38">
        <v>14</v>
      </c>
      <c r="D144" s="38">
        <f>'Wing aero load'!F72-'Wing inertia load'!H74</f>
        <v>-1164401.7061278541</v>
      </c>
      <c r="E144" s="38">
        <f>H72-'Wing inertia load'!J74</f>
        <v>-7500380.0946248937</v>
      </c>
      <c r="Y144" s="32">
        <v>141407.9102475</v>
      </c>
      <c r="Z144" s="32">
        <v>453920.37082211243</v>
      </c>
    </row>
    <row r="145" spans="3:26">
      <c r="C145" s="38">
        <v>14.5</v>
      </c>
      <c r="D145" s="38">
        <f>'Wing aero load'!F73-'Wing inertia load'!H75</f>
        <v>-1106297.0290127292</v>
      </c>
      <c r="E145" s="38">
        <f>H73-'Wing inertia load'!J75</f>
        <v>-6932705.4108397467</v>
      </c>
      <c r="Y145" s="32">
        <v>139481.59412249998</v>
      </c>
      <c r="Z145" s="32">
        <v>383697.99472961249</v>
      </c>
    </row>
    <row r="146" spans="3:26">
      <c r="C146" s="38">
        <v>15</v>
      </c>
      <c r="D146" s="38">
        <f>'Wing aero load'!F74-'Wing inertia load'!H76</f>
        <v>-1048859.6668818726</v>
      </c>
      <c r="E146" s="38">
        <f>H74-'Wing inertia load'!J76</f>
        <v>-6393916.2368660979</v>
      </c>
      <c r="Y146" s="32">
        <v>137555.27799749997</v>
      </c>
      <c r="Z146" s="32">
        <v>314438.77669961244</v>
      </c>
    </row>
    <row r="147" spans="3:26">
      <c r="C147" s="38">
        <v>15.5</v>
      </c>
      <c r="D147" s="38">
        <f>'Wing aero load'!F75-'Wing inertia load'!H77</f>
        <v>-992120.62207585981</v>
      </c>
      <c r="E147" s="38">
        <f>H75-'Wing inertia load'!J77</f>
        <v>-5883671.1646266636</v>
      </c>
      <c r="Y147" s="32">
        <v>45499.586872499996</v>
      </c>
      <c r="Z147" s="32">
        <v>268675.06048211246</v>
      </c>
    </row>
    <row r="148" spans="3:26">
      <c r="C148" s="38">
        <v>16</v>
      </c>
      <c r="D148" s="38">
        <f>'Wing aero load'!F76-'Wing inertia load'!H78</f>
        <v>-936112.01875379635</v>
      </c>
      <c r="E148" s="38">
        <f>H76-'Wing inertia load'!J78</f>
        <v>-5401613.0044192504</v>
      </c>
      <c r="Y148" s="32">
        <v>43573.270747499999</v>
      </c>
      <c r="Z148" s="32">
        <v>246406.84607711251</v>
      </c>
    </row>
    <row r="149" spans="3:26">
      <c r="C149" s="38">
        <v>16.5</v>
      </c>
      <c r="D149" s="38">
        <f>'Wing aero load'!F77-'Wing inertia load'!H79</f>
        <v>-880867.21325838938</v>
      </c>
      <c r="E149" s="38">
        <f>H77-'Wing inertia load'!J79</f>
        <v>-4947368.1964162029</v>
      </c>
      <c r="Y149" s="32">
        <v>41646.954622500001</v>
      </c>
      <c r="Z149" s="32">
        <v>225101.78973461254</v>
      </c>
    </row>
    <row r="150" spans="3:26">
      <c r="C150" s="38">
        <v>17</v>
      </c>
      <c r="D150" s="38">
        <f>'Wing aero load'!F78-'Wing inertia load'!H80</f>
        <v>-826420.91882403451</v>
      </c>
      <c r="E150" s="38">
        <f>H78-'Wing inertia load'!J80</f>
        <v>-4520546.1633955976</v>
      </c>
      <c r="Y150" s="32">
        <v>39720.638497500004</v>
      </c>
      <c r="Z150" s="32">
        <v>204759.89145461252</v>
      </c>
    </row>
    <row r="151" spans="3:26">
      <c r="C151" s="38">
        <v>17.5</v>
      </c>
      <c r="D151" s="38">
        <f>'Wing aero load'!F79-'Wing inertia load'!H81</f>
        <v>-862938.72222180769</v>
      </c>
      <c r="E151" s="38">
        <f>H79-'Wing inertia load'!J81</f>
        <v>-4098206.2531341361</v>
      </c>
      <c r="Y151" s="32">
        <v>37794.322372500006</v>
      </c>
      <c r="Z151" s="32">
        <v>185381.15123711253</v>
      </c>
    </row>
    <row r="152" spans="3:26">
      <c r="C152" s="38">
        <v>18</v>
      </c>
      <c r="D152" s="38">
        <f>'Wing aero load'!F80-'Wing inertia load'!H82</f>
        <v>-810199.74553006655</v>
      </c>
      <c r="E152" s="38">
        <f>H80-'Wing inertia load'!J82</f>
        <v>-3679921.6361961677</v>
      </c>
      <c r="Y152" s="32">
        <v>35868.006247500009</v>
      </c>
      <c r="Z152" s="32">
        <v>166965.56908211252</v>
      </c>
    </row>
    <row r="153" spans="3:26">
      <c r="C153" s="38">
        <v>18.5</v>
      </c>
      <c r="D153" s="38">
        <f>'Wing aero load'!F81-'Wing inertia load'!H83</f>
        <v>-758373.08198327757</v>
      </c>
      <c r="E153" s="38">
        <f>H81-'Wing inertia load'!J83</f>
        <v>-3287778.4293178311</v>
      </c>
      <c r="Y153" s="32">
        <v>33941.690122500011</v>
      </c>
      <c r="Z153" s="32">
        <v>149513.14498961251</v>
      </c>
    </row>
    <row r="154" spans="3:26">
      <c r="C154" s="38">
        <v>19</v>
      </c>
      <c r="D154" s="38">
        <f>'Wing aero load'!F82-'Wing inertia load'!H84</f>
        <v>-707500.5108428091</v>
      </c>
      <c r="E154" s="38">
        <f>H82-'Wing inertia load'!J84</f>
        <v>-2921310.0311113102</v>
      </c>
      <c r="Y154" s="32">
        <v>32015.37399750001</v>
      </c>
      <c r="Z154" s="32">
        <v>133023.87895961254</v>
      </c>
    </row>
    <row r="155" spans="3:26">
      <c r="C155" s="38">
        <v>19.5</v>
      </c>
      <c r="D155" s="38">
        <f>'Wing aero load'!F83-'Wing inertia load'!H85</f>
        <v>-657626.12253365829</v>
      </c>
      <c r="E155" s="38">
        <f>H83-'Wing inertia load'!J85</f>
        <v>-2580028.3727671932</v>
      </c>
      <c r="Y155" s="32">
        <v>30089.057872500009</v>
      </c>
      <c r="Z155" s="32">
        <v>117497.77099211251</v>
      </c>
    </row>
    <row r="156" spans="3:26">
      <c r="C156" s="38">
        <v>20</v>
      </c>
      <c r="D156" s="38">
        <f>'Wing aero load'!F84-'Wing inertia load'!H86</f>
        <v>-608796.61201744422</v>
      </c>
      <c r="E156" s="38">
        <f>H84-'Wing inertia load'!J86</f>
        <v>-2263422.6891294173</v>
      </c>
      <c r="Y156" s="32">
        <v>28162.741747500007</v>
      </c>
      <c r="Z156" s="32">
        <v>102934.82108711252</v>
      </c>
    </row>
    <row r="157" spans="3:26">
      <c r="C157" s="38">
        <v>20.5</v>
      </c>
      <c r="D157" s="38">
        <f>'Wing aero load'!F85-'Wing inertia load'!H87</f>
        <v>-561061.62569463579</v>
      </c>
      <c r="E157" s="38">
        <f>H85-'Wing inertia load'!J87</f>
        <v>-1970958.1297013978</v>
      </c>
      <c r="Y157" s="32">
        <v>26236.425622500006</v>
      </c>
      <c r="Z157" s="32">
        <v>89335.02924461251</v>
      </c>
    </row>
    <row r="158" spans="3:26">
      <c r="C158" s="38">
        <v>21</v>
      </c>
      <c r="D158" s="38">
        <f>'Wing aero load'!F86-'Wing inertia load'!H88</f>
        <v>-514474.1752993869</v>
      </c>
      <c r="E158" s="38">
        <f>H86-'Wing inertia load'!J88</f>
        <v>-1702074.1794528919</v>
      </c>
      <c r="Y158" s="32">
        <v>24310.109497500005</v>
      </c>
      <c r="Z158" s="32">
        <v>76698.395464612491</v>
      </c>
    </row>
    <row r="159" spans="3:26">
      <c r="C159" s="38">
        <v>21.5</v>
      </c>
      <c r="D159" s="38">
        <f>'Wing aero load'!F87-'Wing inertia load'!H89</f>
        <v>-469091.13664781686</v>
      </c>
      <c r="E159" s="38">
        <f>H87-'Wing inertia load'!J89</f>
        <v>-1456182.8514660911</v>
      </c>
      <c r="Y159" s="32">
        <v>22383.793372500004</v>
      </c>
      <c r="Z159" s="32">
        <v>65024.919747112486</v>
      </c>
    </row>
    <row r="160" spans="3:26">
      <c r="C160" s="38">
        <v>22</v>
      </c>
      <c r="D160" s="38">
        <f>'Wing aero load'!F88-'Wing inertia load'!H90</f>
        <v>-424973.85730929015</v>
      </c>
      <c r="E160" s="38">
        <f>H88-'Wing inertia load'!J90</f>
        <v>-1232666.6029768144</v>
      </c>
      <c r="Y160" s="32">
        <v>20457.477247500003</v>
      </c>
      <c r="Z160" s="32">
        <v>54314.60209211248</v>
      </c>
    </row>
    <row r="161" spans="3:26">
      <c r="C161" s="38">
        <v>22.5</v>
      </c>
      <c r="D161" s="38">
        <f>'Wing aero load'!F89-'Wing inertia load'!H91</f>
        <v>-382188.90621190023</v>
      </c>
      <c r="E161" s="38">
        <f>H89-'Wing inertia load'!J91</f>
        <v>-1030875.9120965163</v>
      </c>
      <c r="Y161" s="32">
        <v>18531.161122500002</v>
      </c>
      <c r="Z161" s="32">
        <v>44567.44249961248</v>
      </c>
    </row>
    <row r="162" spans="3:26">
      <c r="C162" s="38">
        <v>23</v>
      </c>
      <c r="D162" s="38">
        <f>'Wing aero load'!F90-'Wing inertia load'!H92</f>
        <v>-340809.01136144612</v>
      </c>
      <c r="E162" s="38">
        <f>H90-'Wing inertia load'!J92</f>
        <v>-850126.43270317989</v>
      </c>
      <c r="Y162" s="32">
        <v>16604.8449975</v>
      </c>
      <c r="Z162" s="32">
        <v>35783.440969612479</v>
      </c>
    </row>
    <row r="163" spans="3:26">
      <c r="C163" s="38">
        <v>23.5</v>
      </c>
      <c r="D163" s="38">
        <f>'Wing aero load'!F91-'Wing inertia load'!H93</f>
        <v>-300914.251741894</v>
      </c>
      <c r="E163" s="38">
        <f>H91-'Wing inertia load'!J93</f>
        <v>-689695.61692734493</v>
      </c>
      <c r="Y163" s="32">
        <v>14678.528872499999</v>
      </c>
      <c r="Z163" s="32">
        <v>27962.597502112487</v>
      </c>
    </row>
    <row r="164" spans="3:26">
      <c r="C164" s="38">
        <v>24</v>
      </c>
      <c r="D164" s="38">
        <f>'Wing aero load'!F92-'Wing inertia load'!H94</f>
        <v>-262593.60038570076</v>
      </c>
      <c r="E164" s="38">
        <f>H92-'Wing inertia load'!J94</f>
        <v>-548818.65389544622</v>
      </c>
      <c r="Y164" s="32">
        <v>12752.212747499998</v>
      </c>
      <c r="Z164" s="32">
        <v>21104.912097112487</v>
      </c>
    </row>
    <row r="165" spans="3:26">
      <c r="C165" s="38">
        <v>24.5</v>
      </c>
      <c r="D165" s="38">
        <f>'Wing aero load'!F93-'Wing inertia load'!H95</f>
        <v>-225946.96530608376</v>
      </c>
      <c r="E165" s="38">
        <f>H93-'Wing inertia load'!J95</f>
        <v>-426683.51247250015</v>
      </c>
      <c r="Y165" s="32">
        <v>10825.896622499997</v>
      </c>
      <c r="Z165" s="32">
        <v>15210.384754612487</v>
      </c>
    </row>
    <row r="166" spans="3:26">
      <c r="C166" s="38">
        <v>25</v>
      </c>
      <c r="D166" s="38">
        <f>'Wing aero load'!F94-'Wing inertia load'!H96</f>
        <v>-191087.9580640613</v>
      </c>
      <c r="E166" s="38">
        <f>H94-'Wing inertia load'!J96</f>
        <v>-322424.78162996389</v>
      </c>
      <c r="Y166" s="32">
        <v>8899.5804974999955</v>
      </c>
      <c r="Z166" s="32">
        <v>10279.01547461249</v>
      </c>
    </row>
    <row r="167" spans="3:26">
      <c r="C167" s="38">
        <v>25.5</v>
      </c>
      <c r="D167" s="38">
        <f>'Wing aero load'!F95-'Wing inertia load'!H97</f>
        <v>-158147.76520742677</v>
      </c>
      <c r="E167" s="38">
        <f>H95-'Wing inertia load'!J97</f>
        <v>-235115.85081209187</v>
      </c>
      <c r="Y167" s="32">
        <v>6973.2643724999962</v>
      </c>
      <c r="Z167" s="32">
        <v>6310.8042571124915</v>
      </c>
    </row>
    <row r="168" spans="3:26">
      <c r="C168" s="38">
        <v>26</v>
      </c>
      <c r="D168" s="38">
        <f>'Wing aero load'!F96-'Wing inertia load'!H98</f>
        <v>-127280.76720124205</v>
      </c>
      <c r="E168" s="38">
        <f>H96-'Wing inertia load'!J98</f>
        <v>-163758.71770992465</v>
      </c>
      <c r="Y168" s="32">
        <v>5046.9482474999959</v>
      </c>
      <c r="Z168" s="32">
        <v>3305.7511021124942</v>
      </c>
    </row>
    <row r="169" spans="3:26">
      <c r="C169" s="38">
        <v>26.5</v>
      </c>
      <c r="D169" s="38">
        <f>'Wing aero load'!F97-'Wing inertia load'!H99</f>
        <v>-98673.084179960133</v>
      </c>
      <c r="E169" s="38">
        <f>H97-'Wing inertia load'!J99</f>
        <v>-107270.25486462409</v>
      </c>
      <c r="Y169" s="32">
        <v>3120.6321224999956</v>
      </c>
      <c r="Z169" s="32">
        <v>1263.8560096124963</v>
      </c>
    </row>
    <row r="170" spans="3:26">
      <c r="C170" s="38">
        <v>27</v>
      </c>
      <c r="D170" s="38">
        <f>'Wing aero load'!F98-'Wing inertia load'!H100</f>
        <v>-72556.387440859049</v>
      </c>
      <c r="E170" s="38">
        <f>H98-'Wing inertia load'!J100</f>
        <v>-64462.886959419295</v>
      </c>
      <c r="Y170" s="32">
        <v>1194.3159974999953</v>
      </c>
      <c r="Z170" s="32">
        <v>185.11897961249852</v>
      </c>
    </row>
    <row r="171" spans="3:26">
      <c r="C171" s="38">
        <v>27.5</v>
      </c>
      <c r="D171" s="38">
        <f>'Wing aero load'!F99-'Wing inertia load'!H101</f>
        <v>-49232.144450074527</v>
      </c>
      <c r="E171" s="38">
        <f>H99-'Wing inertia load'!J101</f>
        <v>-34015.753986685901</v>
      </c>
      <c r="Y171" s="32">
        <v>0</v>
      </c>
      <c r="Z171" s="32">
        <v>0</v>
      </c>
    </row>
    <row r="172" spans="3:26">
      <c r="C172" s="38">
        <v>28</v>
      </c>
      <c r="D172" s="38">
        <f>'Wing aero load'!F100-'Wing inertia load'!H102</f>
        <v>-29119.617960086791</v>
      </c>
      <c r="E172" s="38">
        <f>H100-'Wing inertia load'!J102</f>
        <v>-14427.813384145566</v>
      </c>
    </row>
    <row r="173" spans="3:26">
      <c r="C173" s="38">
        <v>28.5</v>
      </c>
      <c r="D173" s="38">
        <f>'Wing aero load'!F101-'Wing inertia load'!H103</f>
        <v>-12871.496631262964</v>
      </c>
      <c r="E173" s="38">
        <f>H101-'Wing inertia load'!J103</f>
        <v>-3930.0347363081264</v>
      </c>
    </row>
    <row r="174" spans="3:26">
      <c r="C174" s="38">
        <v>29</v>
      </c>
      <c r="D174" s="38">
        <f>'Wing aero load'!F102-'Wing inertia load'!H104</f>
        <v>-1795.3303961997103</v>
      </c>
      <c r="E174" s="38">
        <f>H102-'Wing inertia load'!J104</f>
        <v>-263.3279794424584</v>
      </c>
    </row>
    <row r="175" spans="3:26">
      <c r="C175" s="38">
        <v>29.3</v>
      </c>
      <c r="D175" s="38">
        <f>'Wing aero load'!F103-'Wing inertia load'!H105</f>
        <v>0</v>
      </c>
      <c r="E175" s="38">
        <f>H103-'Wing inertia load'!J105</f>
        <v>0</v>
      </c>
    </row>
  </sheetData>
  <mergeCells count="14">
    <mergeCell ref="C41:H41"/>
    <mergeCell ref="A42:A49"/>
    <mergeCell ref="C113:E113"/>
    <mergeCell ref="A114:A121"/>
    <mergeCell ref="B1:E1"/>
    <mergeCell ref="F1:G1"/>
    <mergeCell ref="H1:Z1"/>
    <mergeCell ref="A4:A25"/>
    <mergeCell ref="C27:E28"/>
    <mergeCell ref="H27:J28"/>
    <mergeCell ref="N27:Q31"/>
    <mergeCell ref="R27:T28"/>
    <mergeCell ref="A28:A34"/>
    <mergeCell ref="R29:T31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B639-675D-4937-8F99-9D36CDB0906B}">
  <dimension ref="A1:AA110"/>
  <sheetViews>
    <sheetView zoomScale="70" zoomScaleNormal="70" workbookViewId="0">
      <pane xSplit="1" ySplit="1" topLeftCell="B38" activePane="bottomRight" state="frozen"/>
      <selection activeCell="F46" sqref="F46"/>
      <selection pane="topRight" activeCell="F46" sqref="F46"/>
      <selection pane="bottomLeft" activeCell="F46" sqref="F46"/>
      <selection pane="bottomRight" activeCell="F52" sqref="F52"/>
    </sheetView>
  </sheetViews>
  <sheetFormatPr defaultColWidth="8.83203125" defaultRowHeight="14.5"/>
  <cols>
    <col min="1" max="1" width="25.6640625" style="24" customWidth="1"/>
    <col min="2" max="2" width="8.83203125" style="32"/>
    <col min="3" max="3" width="20.83203125" style="32" bestFit="1" customWidth="1"/>
    <col min="4" max="5" width="8.83203125" style="32"/>
    <col min="6" max="6" width="9.6640625" style="32" bestFit="1" customWidth="1"/>
    <col min="7" max="7" width="10.6640625" style="32" bestFit="1" customWidth="1"/>
    <col min="8" max="8" width="14.33203125" style="32" bestFit="1" customWidth="1"/>
    <col min="9" max="10" width="9.6640625" style="32" bestFit="1" customWidth="1"/>
    <col min="11" max="16" width="8.83203125" style="32"/>
    <col min="17" max="17" width="15.1640625" style="32" bestFit="1" customWidth="1"/>
    <col min="18" max="18" width="10.6640625" style="32" customWidth="1"/>
    <col min="19" max="19" width="8.83203125" style="32"/>
    <col min="20" max="20" width="10.1640625" style="32" customWidth="1"/>
    <col min="21" max="21" width="10" style="32" bestFit="1" customWidth="1"/>
    <col min="22" max="23" width="8.83203125" style="32"/>
    <col min="24" max="24" width="10.6640625" style="32" customWidth="1"/>
    <col min="25" max="25" width="11" style="32" customWidth="1"/>
    <col min="26" max="16384" width="8.83203125" style="32"/>
  </cols>
  <sheetData>
    <row r="1" spans="1:27" s="31" customFormat="1" ht="39" customHeight="1" thickBot="1">
      <c r="A1" s="60"/>
      <c r="B1" s="270" t="s">
        <v>64</v>
      </c>
      <c r="C1" s="271"/>
      <c r="D1" s="271"/>
      <c r="E1" s="272"/>
      <c r="F1" s="273" t="s">
        <v>9</v>
      </c>
      <c r="G1" s="273"/>
      <c r="H1" s="274" t="s">
        <v>65</v>
      </c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</row>
    <row r="3" spans="1:27" ht="18.5">
      <c r="A3" s="155" t="s">
        <v>225</v>
      </c>
    </row>
    <row r="4" spans="1:27">
      <c r="A4" s="251" t="s">
        <v>66</v>
      </c>
    </row>
    <row r="5" spans="1:27" ht="15" customHeight="1">
      <c r="A5" s="269"/>
      <c r="Y5" s="33"/>
      <c r="Z5" s="33"/>
      <c r="AA5" s="33"/>
    </row>
    <row r="6" spans="1:27" ht="15" customHeight="1">
      <c r="A6" s="269"/>
      <c r="Y6" s="33"/>
      <c r="Z6" s="33"/>
      <c r="AA6" s="33"/>
    </row>
    <row r="7" spans="1:27">
      <c r="A7" s="269"/>
    </row>
    <row r="8" spans="1:27">
      <c r="A8" s="269"/>
    </row>
    <row r="25" spans="1:10" s="34" customFormat="1" ht="15" thickBot="1">
      <c r="A25" s="61"/>
    </row>
    <row r="27" spans="1:10" ht="18.5">
      <c r="A27" s="155" t="s">
        <v>234</v>
      </c>
      <c r="C27" s="275" t="s">
        <v>68</v>
      </c>
      <c r="D27" s="275"/>
      <c r="E27" s="275"/>
      <c r="H27" s="275" t="s">
        <v>69</v>
      </c>
      <c r="I27" s="275"/>
      <c r="J27" s="275"/>
    </row>
    <row r="28" spans="1:10">
      <c r="A28" s="251" t="s">
        <v>67</v>
      </c>
      <c r="C28" s="35" t="s">
        <v>70</v>
      </c>
      <c r="D28" s="35">
        <f>' n-V diagram'!G6</f>
        <v>65</v>
      </c>
      <c r="E28" s="35" t="s">
        <v>1</v>
      </c>
      <c r="H28" s="35" t="s">
        <v>32</v>
      </c>
      <c r="I28" s="35">
        <v>429900</v>
      </c>
      <c r="J28" s="35" t="s">
        <v>3</v>
      </c>
    </row>
    <row r="29" spans="1:10">
      <c r="A29" s="269"/>
      <c r="C29" s="35" t="s">
        <v>71</v>
      </c>
      <c r="D29" s="35">
        <v>6.38</v>
      </c>
      <c r="E29" s="35" t="s">
        <v>1</v>
      </c>
      <c r="H29" s="35" t="s">
        <v>72</v>
      </c>
      <c r="I29" s="222">
        <v>2.8199000000000001</v>
      </c>
      <c r="J29" s="35"/>
    </row>
    <row r="30" spans="1:10">
      <c r="A30" s="269"/>
      <c r="C30" s="35" t="s">
        <v>0</v>
      </c>
      <c r="D30" s="36">
        <f>(D28-D29)/2</f>
        <v>29.31</v>
      </c>
      <c r="E30" s="35" t="s">
        <v>1</v>
      </c>
      <c r="H30" s="35" t="s">
        <v>73</v>
      </c>
      <c r="I30" s="35">
        <f>I28*I29*9.81</f>
        <v>11892417.848100001</v>
      </c>
      <c r="J30" s="35" t="s">
        <v>74</v>
      </c>
    </row>
    <row r="31" spans="1:10">
      <c r="A31" s="269"/>
      <c r="C31" s="35" t="s">
        <v>2</v>
      </c>
      <c r="D31" s="35">
        <v>15709</v>
      </c>
      <c r="E31" s="35" t="s">
        <v>3</v>
      </c>
      <c r="F31" s="32" t="s">
        <v>75</v>
      </c>
      <c r="H31" s="35" t="s">
        <v>76</v>
      </c>
      <c r="I31" s="276" t="s">
        <v>321</v>
      </c>
      <c r="J31" s="277"/>
    </row>
    <row r="32" spans="1:10">
      <c r="A32" s="269"/>
      <c r="C32" s="35" t="s">
        <v>4</v>
      </c>
      <c r="D32" s="36">
        <v>27.5</v>
      </c>
      <c r="E32" s="35" t="s">
        <v>1</v>
      </c>
      <c r="H32" s="35" t="s">
        <v>78</v>
      </c>
      <c r="I32" s="36">
        <f>VLOOKUP(I31,C35:D37,2,FALSE)*9.81</f>
        <v>60086.25</v>
      </c>
      <c r="J32" s="35" t="s">
        <v>74</v>
      </c>
    </row>
    <row r="33" spans="1:26">
      <c r="A33" s="269"/>
      <c r="C33" s="35" t="s">
        <v>5</v>
      </c>
      <c r="D33" s="35">
        <v>43100</v>
      </c>
      <c r="E33" s="35" t="s">
        <v>6</v>
      </c>
      <c r="H33" s="35" t="s">
        <v>79</v>
      </c>
      <c r="I33" s="36">
        <f>D33*(D38/1000)*9.81</f>
        <v>343745.34299999999</v>
      </c>
      <c r="J33" s="35" t="s">
        <v>80</v>
      </c>
    </row>
    <row r="34" spans="1:26">
      <c r="A34" s="269"/>
      <c r="C34" s="35" t="s">
        <v>7</v>
      </c>
      <c r="D34" s="35">
        <v>5.59</v>
      </c>
      <c r="E34" s="35" t="s">
        <v>1</v>
      </c>
      <c r="H34" s="35" t="s">
        <v>81</v>
      </c>
      <c r="I34" s="35">
        <f>D31*9.81</f>
        <v>154105.29</v>
      </c>
      <c r="J34" s="35" t="s">
        <v>80</v>
      </c>
    </row>
    <row r="35" spans="1:26">
      <c r="A35" s="269"/>
      <c r="C35" s="35" t="s">
        <v>82</v>
      </c>
      <c r="D35" s="35">
        <v>0</v>
      </c>
      <c r="E35" s="62"/>
      <c r="H35" s="35" t="s">
        <v>83</v>
      </c>
      <c r="I35" s="37">
        <f>SUM(I32:I34)</f>
        <v>557936.88300000003</v>
      </c>
      <c r="J35" s="35" t="s">
        <v>80</v>
      </c>
    </row>
    <row r="36" spans="1:26">
      <c r="C36" s="5" t="s">
        <v>321</v>
      </c>
      <c r="D36" s="35">
        <v>6125</v>
      </c>
      <c r="E36" s="35" t="s">
        <v>3</v>
      </c>
      <c r="F36" s="1" t="s">
        <v>223</v>
      </c>
    </row>
    <row r="37" spans="1:26">
      <c r="C37" s="35" t="s">
        <v>84</v>
      </c>
      <c r="D37" s="35">
        <v>150</v>
      </c>
      <c r="E37" s="35" t="s">
        <v>6</v>
      </c>
    </row>
    <row r="38" spans="1:26">
      <c r="C38" s="5" t="s">
        <v>319</v>
      </c>
      <c r="D38" s="35">
        <v>813</v>
      </c>
      <c r="E38" s="35" t="s">
        <v>85</v>
      </c>
      <c r="F38" s="208" t="s">
        <v>295</v>
      </c>
    </row>
    <row r="39" spans="1:26">
      <c r="C39" s="35" t="s">
        <v>84</v>
      </c>
      <c r="D39" s="35">
        <f>D37*D38/1000</f>
        <v>121.95</v>
      </c>
      <c r="E39" s="35" t="s">
        <v>3</v>
      </c>
    </row>
    <row r="41" spans="1:26" s="34" customFormat="1" ht="15" thickBot="1">
      <c r="A41" s="61"/>
    </row>
    <row r="43" spans="1:26" ht="18.5">
      <c r="A43" s="154" t="s">
        <v>269</v>
      </c>
      <c r="C43" s="275" t="s">
        <v>87</v>
      </c>
      <c r="D43" s="275"/>
      <c r="E43" s="275"/>
      <c r="F43" s="275"/>
      <c r="G43" s="275"/>
      <c r="H43" s="275"/>
      <c r="I43" s="275"/>
      <c r="J43" s="275"/>
    </row>
    <row r="44" spans="1:26">
      <c r="A44" s="251" t="s">
        <v>86</v>
      </c>
      <c r="C44" s="35" t="s">
        <v>88</v>
      </c>
      <c r="D44" s="35" t="s">
        <v>89</v>
      </c>
      <c r="E44" s="35" t="s">
        <v>90</v>
      </c>
      <c r="F44" s="35" t="s">
        <v>76</v>
      </c>
      <c r="G44" s="35" t="s">
        <v>91</v>
      </c>
      <c r="H44" s="35" t="s">
        <v>92</v>
      </c>
      <c r="I44" s="35" t="s">
        <v>93</v>
      </c>
      <c r="J44" s="35" t="s">
        <v>94</v>
      </c>
    </row>
    <row r="45" spans="1:26" ht="18.75" customHeight="1">
      <c r="A45" s="269"/>
      <c r="C45" s="35" t="s">
        <v>1</v>
      </c>
      <c r="D45" s="35" t="s">
        <v>95</v>
      </c>
      <c r="E45" s="35" t="s">
        <v>95</v>
      </c>
      <c r="F45" s="35" t="s">
        <v>74</v>
      </c>
      <c r="G45" s="35" t="s">
        <v>80</v>
      </c>
      <c r="H45" s="35" t="s">
        <v>80</v>
      </c>
      <c r="I45" s="35" t="s">
        <v>61</v>
      </c>
      <c r="J45" s="35" t="s">
        <v>61</v>
      </c>
      <c r="X45" s="47">
        <f>-F46</f>
        <v>0</v>
      </c>
      <c r="Y45" s="227">
        <f>-G46</f>
        <v>-3621.3458939250004</v>
      </c>
      <c r="Z45" s="220">
        <v>9805.9767415753104</v>
      </c>
    </row>
    <row r="46" spans="1:26" ht="15" customHeight="1">
      <c r="A46" s="269"/>
      <c r="C46" s="38">
        <v>0</v>
      </c>
      <c r="D46" s="37">
        <f>$D$31/60*$I$29*9.81</f>
        <v>7242.6917878500008</v>
      </c>
      <c r="E46" s="220">
        <v>0</v>
      </c>
      <c r="F46" s="38">
        <v>0</v>
      </c>
      <c r="G46" s="39">
        <f>(D47+D46)*(C47-C46)/2+(E47+E46)*(C47-C46)/2+F46</f>
        <v>3621.3458939250004</v>
      </c>
      <c r="H46" s="38">
        <f>SUM(G46:$G$105)</f>
        <v>6497366.6531018866</v>
      </c>
      <c r="I46" s="38">
        <f>(H47+H46)*(C47-C46)/2</f>
        <v>3247777.990077462</v>
      </c>
      <c r="J46" s="38">
        <f>SUM(I46:$I$110)</f>
        <v>26333246.687091615</v>
      </c>
      <c r="X46" s="47">
        <f t="shared" ref="X46:X105" si="0">-F47</f>
        <v>0</v>
      </c>
      <c r="Y46" s="227">
        <f t="shared" ref="Y46:Y105" si="1">-G47</f>
        <v>-3621.3458939250004</v>
      </c>
      <c r="Z46" s="220">
        <v>9608.4462793990006</v>
      </c>
    </row>
    <row r="47" spans="1:26" ht="15" customHeight="1">
      <c r="A47" s="269"/>
      <c r="C47" s="38">
        <v>0.5</v>
      </c>
      <c r="D47" s="37">
        <f t="shared" ref="D47:D105" si="2">$D$31/60*$I$29*9.81</f>
        <v>7242.6917878500008</v>
      </c>
      <c r="E47" s="220">
        <v>0</v>
      </c>
      <c r="F47" s="38">
        <v>0</v>
      </c>
      <c r="G47" s="39">
        <f>(D48+D47)*(C48-C47)/2+(E48+E47)*(C48-C47)/2+F47</f>
        <v>3621.3458939250004</v>
      </c>
      <c r="H47" s="38">
        <f>SUM(G47:$G$105)</f>
        <v>6493745.3072079616</v>
      </c>
      <c r="I47" s="38">
        <f t="shared" ref="I47:I105" si="3">(H48+H47)*(C48-C47)/2</f>
        <v>3245967.3171304995</v>
      </c>
      <c r="J47" s="38">
        <f>SUM(I47:$I$110)</f>
        <v>23085468.697014149</v>
      </c>
      <c r="X47" s="47">
        <f t="shared" si="0"/>
        <v>0</v>
      </c>
      <c r="Y47" s="227">
        <f t="shared" si="1"/>
        <v>-3621.3458939250004</v>
      </c>
      <c r="Z47" s="220">
        <v>9410.9157969052703</v>
      </c>
    </row>
    <row r="48" spans="1:26" ht="15" customHeight="1">
      <c r="A48" s="269"/>
      <c r="C48" s="38">
        <v>1</v>
      </c>
      <c r="D48" s="37">
        <f t="shared" si="2"/>
        <v>7242.6917878500008</v>
      </c>
      <c r="E48" s="220">
        <v>0</v>
      </c>
      <c r="F48" s="38">
        <v>0</v>
      </c>
      <c r="G48" s="39">
        <f t="shared" ref="G48:G104" si="4">(D49+D48)*(C49-C48)/2+(E49+E48)*(C49-C48)/2+F48</f>
        <v>3621.3458939250004</v>
      </c>
      <c r="H48" s="38">
        <f>SUM(G48:$G$105)</f>
        <v>6490123.9613140365</v>
      </c>
      <c r="I48" s="38">
        <f t="shared" si="3"/>
        <v>3244156.644183537</v>
      </c>
      <c r="J48" s="38">
        <f>SUM(I48:$I$110)</f>
        <v>19839501.379883651</v>
      </c>
      <c r="X48" s="47">
        <f t="shared" si="0"/>
        <v>0</v>
      </c>
      <c r="Y48" s="227">
        <f t="shared" si="1"/>
        <v>-3621.3458939250004</v>
      </c>
      <c r="Z48" s="220">
        <v>9213.3853347289496</v>
      </c>
    </row>
    <row r="49" spans="1:26" ht="15" customHeight="1">
      <c r="A49" s="269"/>
      <c r="C49" s="38">
        <v>1.5</v>
      </c>
      <c r="D49" s="37">
        <f t="shared" si="2"/>
        <v>7242.6917878500008</v>
      </c>
      <c r="E49" s="220">
        <v>0</v>
      </c>
      <c r="F49" s="38">
        <v>0</v>
      </c>
      <c r="G49" s="39">
        <f t="shared" si="4"/>
        <v>3621.3458939250004</v>
      </c>
      <c r="H49" s="38">
        <f>SUM(G49:$G$105)</f>
        <v>6486502.6154201115</v>
      </c>
      <c r="I49" s="38">
        <f t="shared" si="3"/>
        <v>3242345.9712365745</v>
      </c>
      <c r="J49" s="38">
        <f>SUM(I49:$I$110)</f>
        <v>16595344.735700117</v>
      </c>
      <c r="X49" s="47">
        <f t="shared" si="0"/>
        <v>0</v>
      </c>
      <c r="Y49" s="227">
        <f t="shared" si="1"/>
        <v>-3621.3458939250004</v>
      </c>
      <c r="Z49" s="220">
        <v>9015.8548725526398</v>
      </c>
    </row>
    <row r="50" spans="1:26" ht="15" customHeight="1">
      <c r="A50" s="269"/>
      <c r="C50" s="38">
        <v>2</v>
      </c>
      <c r="D50" s="37">
        <f t="shared" si="2"/>
        <v>7242.6917878500008</v>
      </c>
      <c r="E50" s="220">
        <v>0</v>
      </c>
      <c r="F50" s="38">
        <v>0</v>
      </c>
      <c r="G50" s="39">
        <f t="shared" si="4"/>
        <v>3621.3458939250004</v>
      </c>
      <c r="H50" s="38">
        <f>SUM(G50:$G$105)</f>
        <v>6482881.2695261864</v>
      </c>
      <c r="I50" s="38">
        <f t="shared" si="3"/>
        <v>3240535.2982896119</v>
      </c>
      <c r="J50" s="38">
        <f>SUM(I50:$I$110)</f>
        <v>13352998.764463542</v>
      </c>
      <c r="X50" s="47">
        <f t="shared" si="0"/>
        <v>0</v>
      </c>
      <c r="Y50" s="227">
        <f t="shared" si="1"/>
        <v>-3621.3458939250004</v>
      </c>
      <c r="Z50" s="220">
        <v>8818.32441037633</v>
      </c>
    </row>
    <row r="51" spans="1:26" ht="15" customHeight="1">
      <c r="A51" s="269"/>
      <c r="C51" s="38">
        <v>2.5</v>
      </c>
      <c r="D51" s="37">
        <f t="shared" si="2"/>
        <v>7242.6917878500008</v>
      </c>
      <c r="E51" s="220">
        <v>0</v>
      </c>
      <c r="F51" s="38">
        <v>0</v>
      </c>
      <c r="G51" s="39">
        <f t="shared" si="4"/>
        <v>3621.3458939250004</v>
      </c>
      <c r="H51" s="38">
        <f>SUM(G51:$G$105)</f>
        <v>6479259.9236322613</v>
      </c>
      <c r="I51" s="38">
        <f t="shared" si="3"/>
        <v>3238724.6253426494</v>
      </c>
      <c r="J51" s="38">
        <f>SUM(I51:$I$110)</f>
        <v>10112463.466173928</v>
      </c>
      <c r="X51" s="47">
        <f>-F52</f>
        <v>-5946208.9240500005</v>
      </c>
      <c r="Y51" s="227">
        <f t="shared" si="1"/>
        <v>-5949830.2699439256</v>
      </c>
      <c r="Z51" s="220">
        <v>8620.7939482000202</v>
      </c>
    </row>
    <row r="52" spans="1:26">
      <c r="A52" s="269"/>
      <c r="C52" s="38">
        <v>3</v>
      </c>
      <c r="D52" s="37">
        <f>$D$31/60*$I$29*9.81</f>
        <v>7242.6917878500008</v>
      </c>
      <c r="E52" s="220">
        <v>0</v>
      </c>
      <c r="F52" s="38">
        <f>'Wing Ground load'!B4</f>
        <v>5946208.9240500005</v>
      </c>
      <c r="G52" s="39">
        <f t="shared" si="4"/>
        <v>5949830.2699439256</v>
      </c>
      <c r="H52" s="38">
        <f>SUM(G52:$G$105)</f>
        <v>6475638.5777383363</v>
      </c>
      <c r="I52" s="38">
        <f t="shared" si="3"/>
        <v>1750361.7213831861</v>
      </c>
      <c r="J52" s="38">
        <f>SUM(I52:$I$110)</f>
        <v>6873738.8408312714</v>
      </c>
      <c r="X52" s="47">
        <f t="shared" si="0"/>
        <v>0</v>
      </c>
      <c r="Y52" s="227">
        <f t="shared" si="1"/>
        <v>-3621.3458939250004</v>
      </c>
      <c r="Z52" s="220">
        <v>8423.2634657062899</v>
      </c>
    </row>
    <row r="53" spans="1:26">
      <c r="A53" s="269"/>
      <c r="C53" s="38">
        <v>3.5</v>
      </c>
      <c r="D53" s="37">
        <f t="shared" si="2"/>
        <v>7242.6917878500008</v>
      </c>
      <c r="E53" s="220">
        <v>0</v>
      </c>
      <c r="F53" s="38">
        <v>0</v>
      </c>
      <c r="G53" s="39">
        <f t="shared" si="4"/>
        <v>3621.3458939250004</v>
      </c>
      <c r="H53" s="38">
        <f>SUM(G53:$G$105)</f>
        <v>525808.30779440841</v>
      </c>
      <c r="I53" s="38">
        <f t="shared" si="3"/>
        <v>261998.81742372294</v>
      </c>
      <c r="J53" s="38">
        <f>SUM(I53:$I$110)</f>
        <v>5123377.1194480881</v>
      </c>
      <c r="X53" s="47">
        <f t="shared" si="0"/>
        <v>0</v>
      </c>
      <c r="Y53" s="227">
        <f t="shared" si="1"/>
        <v>-3621.3458939250004</v>
      </c>
      <c r="Z53" s="220">
        <v>8225.7330035299801</v>
      </c>
    </row>
    <row r="54" spans="1:26">
      <c r="C54" s="38">
        <v>4</v>
      </c>
      <c r="D54" s="37">
        <f t="shared" si="2"/>
        <v>7242.6917878500008</v>
      </c>
      <c r="E54" s="220">
        <v>0</v>
      </c>
      <c r="F54" s="38">
        <v>0</v>
      </c>
      <c r="G54" s="39">
        <f t="shared" si="4"/>
        <v>3621.3458939250004</v>
      </c>
      <c r="H54" s="38">
        <f>SUM(G54:$G$105)</f>
        <v>522186.96190048341</v>
      </c>
      <c r="I54" s="38">
        <f t="shared" si="3"/>
        <v>260188.14447676047</v>
      </c>
      <c r="J54" s="38">
        <f>SUM(I54:$I$110)</f>
        <v>4861378.3020243663</v>
      </c>
      <c r="X54" s="47">
        <f t="shared" si="0"/>
        <v>0</v>
      </c>
      <c r="Y54" s="227">
        <f t="shared" si="1"/>
        <v>-3621.3458939250004</v>
      </c>
      <c r="Z54" s="220">
        <v>8072.9320919757602</v>
      </c>
    </row>
    <row r="55" spans="1:26">
      <c r="C55" s="38">
        <v>4.5</v>
      </c>
      <c r="D55" s="37">
        <f t="shared" si="2"/>
        <v>7242.6917878500008</v>
      </c>
      <c r="E55" s="220">
        <v>0</v>
      </c>
      <c r="F55" s="38">
        <v>0</v>
      </c>
      <c r="G55" s="39">
        <f t="shared" si="4"/>
        <v>3621.3458939250004</v>
      </c>
      <c r="H55" s="38">
        <f>SUM(G55:$G$105)</f>
        <v>518565.61600655841</v>
      </c>
      <c r="I55" s="38">
        <f t="shared" si="3"/>
        <v>258377.47152979794</v>
      </c>
      <c r="J55" s="38">
        <f>SUM(I55:$I$110)</f>
        <v>4601190.1575476052</v>
      </c>
      <c r="X55" s="47">
        <f t="shared" si="0"/>
        <v>0</v>
      </c>
      <c r="Y55" s="227">
        <f t="shared" si="1"/>
        <v>-3621.3458939250004</v>
      </c>
      <c r="Z55" s="220">
        <v>7964.8607107262196</v>
      </c>
    </row>
    <row r="56" spans="1:26">
      <c r="C56" s="38">
        <v>5</v>
      </c>
      <c r="D56" s="37">
        <f t="shared" si="2"/>
        <v>7242.6917878500008</v>
      </c>
      <c r="E56" s="220">
        <v>0</v>
      </c>
      <c r="F56" s="38">
        <v>0</v>
      </c>
      <c r="G56" s="39">
        <f t="shared" si="4"/>
        <v>3621.3458939250004</v>
      </c>
      <c r="H56" s="38">
        <f>SUM(G56:$G$105)</f>
        <v>514944.27011263341</v>
      </c>
      <c r="I56" s="38">
        <f t="shared" si="3"/>
        <v>256566.79858283547</v>
      </c>
      <c r="J56" s="38">
        <f>SUM(I56:$I$110)</f>
        <v>4342812.6860178076</v>
      </c>
      <c r="X56" s="47">
        <f t="shared" si="0"/>
        <v>-169437.21637500002</v>
      </c>
      <c r="Y56" s="227">
        <f t="shared" si="1"/>
        <v>-173058.56226892502</v>
      </c>
      <c r="Z56" s="220">
        <v>7856.78932947668</v>
      </c>
    </row>
    <row r="57" spans="1:26">
      <c r="C57" s="38">
        <v>5.5</v>
      </c>
      <c r="D57" s="37">
        <f t="shared" si="2"/>
        <v>7242.6917878500008</v>
      </c>
      <c r="E57" s="220">
        <v>0</v>
      </c>
      <c r="F57" s="38">
        <f>I32*I29</f>
        <v>169437.21637500002</v>
      </c>
      <c r="G57" s="39">
        <f t="shared" si="4"/>
        <v>173058.56226892502</v>
      </c>
      <c r="H57" s="38">
        <f>SUM(G57:$G$105)</f>
        <v>511322.92421870842</v>
      </c>
      <c r="I57" s="38">
        <f t="shared" si="3"/>
        <v>212396.82154212298</v>
      </c>
      <c r="J57" s="38">
        <f>SUM(I57:$I$110)</f>
        <v>4086245.8874349743</v>
      </c>
      <c r="X57" s="47">
        <f t="shared" si="0"/>
        <v>0</v>
      </c>
      <c r="Y57" s="227">
        <f t="shared" si="1"/>
        <v>-3621.3458939250004</v>
      </c>
      <c r="Z57" s="220">
        <v>7748.7179482271404</v>
      </c>
    </row>
    <row r="58" spans="1:26">
      <c r="C58" s="38">
        <v>6</v>
      </c>
      <c r="D58" s="37">
        <f t="shared" si="2"/>
        <v>7242.6917878500008</v>
      </c>
      <c r="E58" s="220">
        <v>0</v>
      </c>
      <c r="F58" s="38">
        <v>0</v>
      </c>
      <c r="G58" s="39">
        <f t="shared" si="4"/>
        <v>3621.3458939250004</v>
      </c>
      <c r="H58" s="38">
        <f>SUM(G58:$G$105)</f>
        <v>338264.36194978346</v>
      </c>
      <c r="I58" s="38">
        <f t="shared" si="3"/>
        <v>168226.84450141049</v>
      </c>
      <c r="J58" s="38">
        <f>SUM(I58:$I$110)</f>
        <v>3873849.0658928519</v>
      </c>
      <c r="X58" s="47">
        <f t="shared" si="0"/>
        <v>0</v>
      </c>
      <c r="Y58" s="227">
        <f t="shared" si="1"/>
        <v>-3621.3458939250004</v>
      </c>
      <c r="Z58" s="220">
        <v>7640.6465669775998</v>
      </c>
    </row>
    <row r="59" spans="1:26">
      <c r="C59" s="38">
        <v>6.5</v>
      </c>
      <c r="D59" s="37">
        <f t="shared" si="2"/>
        <v>7242.6917878500008</v>
      </c>
      <c r="E59" s="220">
        <v>0</v>
      </c>
      <c r="F59" s="38">
        <v>0</v>
      </c>
      <c r="G59" s="39">
        <f t="shared" si="4"/>
        <v>3621.3458939250004</v>
      </c>
      <c r="H59" s="38">
        <f>SUM(G59:$G$105)</f>
        <v>334643.01605585846</v>
      </c>
      <c r="I59" s="38">
        <f t="shared" si="3"/>
        <v>166416.17155444797</v>
      </c>
      <c r="J59" s="38">
        <f>SUM(I59:$I$110)</f>
        <v>3705622.2213914413</v>
      </c>
      <c r="X59" s="47">
        <f t="shared" si="0"/>
        <v>0</v>
      </c>
      <c r="Y59" s="227">
        <f t="shared" si="1"/>
        <v>-3621.3458939250004</v>
      </c>
      <c r="Z59" s="220">
        <v>7532.5751857280602</v>
      </c>
    </row>
    <row r="60" spans="1:26">
      <c r="C60" s="38">
        <v>7</v>
      </c>
      <c r="D60" s="37">
        <f t="shared" si="2"/>
        <v>7242.6917878500008</v>
      </c>
      <c r="E60" s="220">
        <v>0</v>
      </c>
      <c r="F60" s="38">
        <v>0</v>
      </c>
      <c r="G60" s="39">
        <f t="shared" si="4"/>
        <v>3621.3458939250004</v>
      </c>
      <c r="H60" s="38">
        <f>SUM(G60:$G$105)</f>
        <v>331021.67016193346</v>
      </c>
      <c r="I60" s="38">
        <f t="shared" si="3"/>
        <v>164605.4986074855</v>
      </c>
      <c r="J60" s="38">
        <f>SUM(I60:$I$110)</f>
        <v>3539206.0498369923</v>
      </c>
      <c r="X60" s="47">
        <f t="shared" si="0"/>
        <v>0</v>
      </c>
      <c r="Y60" s="227">
        <f t="shared" si="1"/>
        <v>-3621.3458939250004</v>
      </c>
      <c r="Z60" s="220">
        <v>7424.5038044785197</v>
      </c>
    </row>
    <row r="61" spans="1:26">
      <c r="C61" s="38">
        <v>7.5</v>
      </c>
      <c r="D61" s="37">
        <f t="shared" si="2"/>
        <v>7242.6917878500008</v>
      </c>
      <c r="E61" s="220">
        <v>0</v>
      </c>
      <c r="F61" s="38">
        <v>0</v>
      </c>
      <c r="G61" s="39">
        <f t="shared" si="4"/>
        <v>3621.3458939250004</v>
      </c>
      <c r="H61" s="38">
        <f>SUM(G61:$G$105)</f>
        <v>327400.32426800847</v>
      </c>
      <c r="I61" s="38">
        <f t="shared" si="3"/>
        <v>162794.82566052297</v>
      </c>
      <c r="J61" s="38">
        <f>SUM(I61:$I$110)</f>
        <v>3374600.5512295067</v>
      </c>
      <c r="X61" s="47">
        <f t="shared" si="0"/>
        <v>0</v>
      </c>
      <c r="Y61" s="227">
        <f t="shared" si="1"/>
        <v>-3621.3458939250004</v>
      </c>
      <c r="Z61" s="220">
        <v>7316.43242322898</v>
      </c>
    </row>
    <row r="62" spans="1:26">
      <c r="C62" s="38">
        <v>8</v>
      </c>
      <c r="D62" s="37">
        <f t="shared" si="2"/>
        <v>7242.6917878500008</v>
      </c>
      <c r="E62" s="220">
        <v>0</v>
      </c>
      <c r="F62" s="38">
        <v>0</v>
      </c>
      <c r="G62" s="39">
        <f t="shared" si="4"/>
        <v>3621.3458939250004</v>
      </c>
      <c r="H62" s="38">
        <f>SUM(G62:$G$105)</f>
        <v>323778.97837408347</v>
      </c>
      <c r="I62" s="38">
        <f t="shared" si="3"/>
        <v>160984.1527135605</v>
      </c>
      <c r="J62" s="38">
        <f>SUM(I62:$I$110)</f>
        <v>3211805.7255689837</v>
      </c>
      <c r="X62" s="47">
        <f t="shared" si="0"/>
        <v>0</v>
      </c>
      <c r="Y62" s="227">
        <f t="shared" si="1"/>
        <v>-3621.3458939250004</v>
      </c>
      <c r="Z62" s="220">
        <v>7208.3610419794404</v>
      </c>
    </row>
    <row r="63" spans="1:26">
      <c r="C63" s="38">
        <v>8.5</v>
      </c>
      <c r="D63" s="37">
        <f t="shared" si="2"/>
        <v>7242.6917878500008</v>
      </c>
      <c r="E63" s="220">
        <v>0</v>
      </c>
      <c r="F63" s="38">
        <v>0</v>
      </c>
      <c r="G63" s="39">
        <f t="shared" si="4"/>
        <v>3621.3458939250004</v>
      </c>
      <c r="H63" s="38">
        <f>SUM(G63:$G$105)</f>
        <v>320157.63248015847</v>
      </c>
      <c r="I63" s="38">
        <f t="shared" si="3"/>
        <v>159173.47976659797</v>
      </c>
      <c r="J63" s="38">
        <f>SUM(I63:$I$110)</f>
        <v>3050821.5728554232</v>
      </c>
      <c r="X63" s="47">
        <f t="shared" si="0"/>
        <v>0</v>
      </c>
      <c r="Y63" s="227">
        <f t="shared" si="1"/>
        <v>-3621.3458939250004</v>
      </c>
      <c r="Z63" s="220">
        <v>7100.2896607298999</v>
      </c>
    </row>
    <row r="64" spans="1:26">
      <c r="C64" s="38">
        <v>9</v>
      </c>
      <c r="D64" s="37">
        <f t="shared" si="2"/>
        <v>7242.6917878500008</v>
      </c>
      <c r="E64" s="220">
        <v>0</v>
      </c>
      <c r="F64" s="38">
        <v>0</v>
      </c>
      <c r="G64" s="39">
        <f t="shared" si="4"/>
        <v>3621.3458939250004</v>
      </c>
      <c r="H64" s="38">
        <f>SUM(G64:$G$105)</f>
        <v>316536.28658623347</v>
      </c>
      <c r="I64" s="38">
        <f t="shared" si="3"/>
        <v>157362.8068196355</v>
      </c>
      <c r="J64" s="38">
        <f>SUM(I64:$I$110)</f>
        <v>2891648.0930888252</v>
      </c>
      <c r="X64" s="47">
        <f t="shared" si="0"/>
        <v>0</v>
      </c>
      <c r="Y64" s="227">
        <f t="shared" si="1"/>
        <v>-3621.3458939250004</v>
      </c>
      <c r="Z64" s="220">
        <v>6992.2182794803603</v>
      </c>
    </row>
    <row r="65" spans="3:26">
      <c r="C65" s="38">
        <v>9.5</v>
      </c>
      <c r="D65" s="37">
        <f t="shared" si="2"/>
        <v>7242.6917878500008</v>
      </c>
      <c r="E65" s="220">
        <v>0</v>
      </c>
      <c r="F65" s="38">
        <v>0</v>
      </c>
      <c r="G65" s="39">
        <f t="shared" si="4"/>
        <v>3621.3458939250004</v>
      </c>
      <c r="H65" s="38">
        <f>SUM(G65:$G$105)</f>
        <v>312914.94069230848</v>
      </c>
      <c r="I65" s="38">
        <f t="shared" si="3"/>
        <v>155552.13387267297</v>
      </c>
      <c r="J65" s="38">
        <f>SUM(I65:$I$110)</f>
        <v>2734285.2862691898</v>
      </c>
      <c r="X65" s="47">
        <f t="shared" si="0"/>
        <v>0</v>
      </c>
      <c r="Y65" s="227">
        <f t="shared" si="1"/>
        <v>-3621.3458939250004</v>
      </c>
      <c r="Z65" s="220">
        <v>6884.1468982308197</v>
      </c>
    </row>
    <row r="66" spans="3:26">
      <c r="C66" s="38">
        <v>10</v>
      </c>
      <c r="D66" s="37">
        <f t="shared" si="2"/>
        <v>7242.6917878500008</v>
      </c>
      <c r="E66" s="220">
        <v>0</v>
      </c>
      <c r="F66" s="38">
        <v>0</v>
      </c>
      <c r="G66" s="39">
        <f t="shared" si="4"/>
        <v>3621.3458939250004</v>
      </c>
      <c r="H66" s="38">
        <f>SUM(G66:$G$105)</f>
        <v>309293.59479838348</v>
      </c>
      <c r="I66" s="38">
        <f t="shared" si="3"/>
        <v>153741.4609257105</v>
      </c>
      <c r="J66" s="38">
        <f>SUM(I66:$I$110)</f>
        <v>2578733.1523965169</v>
      </c>
      <c r="X66" s="47">
        <f t="shared" si="0"/>
        <v>0</v>
      </c>
      <c r="Y66" s="227">
        <f t="shared" si="1"/>
        <v>-3621.3458939250004</v>
      </c>
      <c r="Z66" s="220">
        <v>6776.0755169812701</v>
      </c>
    </row>
    <row r="67" spans="3:26">
      <c r="C67" s="38">
        <v>10.5</v>
      </c>
      <c r="D67" s="37">
        <f t="shared" si="2"/>
        <v>7242.6917878500008</v>
      </c>
      <c r="E67" s="220">
        <v>0</v>
      </c>
      <c r="F67" s="38">
        <v>0</v>
      </c>
      <c r="G67" s="39">
        <f t="shared" si="4"/>
        <v>3621.3458939250004</v>
      </c>
      <c r="H67" s="38">
        <f>SUM(G67:$G$105)</f>
        <v>305672.24890445848</v>
      </c>
      <c r="I67" s="38">
        <f t="shared" si="3"/>
        <v>151930.78797874798</v>
      </c>
      <c r="J67" s="38">
        <f>SUM(I67:$I$110)</f>
        <v>2424991.6914708065</v>
      </c>
      <c r="X67" s="47">
        <f t="shared" si="0"/>
        <v>0</v>
      </c>
      <c r="Y67" s="227">
        <f t="shared" si="1"/>
        <v>-3621.3458939250004</v>
      </c>
      <c r="Z67" s="220">
        <v>6668.0041357317295</v>
      </c>
    </row>
    <row r="68" spans="3:26">
      <c r="C68" s="38">
        <v>11</v>
      </c>
      <c r="D68" s="37">
        <f t="shared" si="2"/>
        <v>7242.6917878500008</v>
      </c>
      <c r="E68" s="220">
        <v>0</v>
      </c>
      <c r="F68" s="38">
        <v>0</v>
      </c>
      <c r="G68" s="39">
        <f t="shared" si="4"/>
        <v>3621.3458939250004</v>
      </c>
      <c r="H68" s="38">
        <f>SUM(G68:$G$105)</f>
        <v>302050.90301053348</v>
      </c>
      <c r="I68" s="38">
        <f t="shared" si="3"/>
        <v>150120.11503178551</v>
      </c>
      <c r="J68" s="38">
        <f>SUM(I68:$I$110)</f>
        <v>2273060.9034920596</v>
      </c>
      <c r="X68" s="47">
        <f t="shared" si="0"/>
        <v>0</v>
      </c>
      <c r="Y68" s="227">
        <f t="shared" si="1"/>
        <v>-3621.3458939250004</v>
      </c>
      <c r="Z68" s="220">
        <v>6559.9327544821899</v>
      </c>
    </row>
    <row r="69" spans="3:26">
      <c r="C69" s="38">
        <v>11.5</v>
      </c>
      <c r="D69" s="37">
        <f t="shared" si="2"/>
        <v>7242.6917878500008</v>
      </c>
      <c r="E69" s="220">
        <v>0</v>
      </c>
      <c r="F69" s="38">
        <v>0</v>
      </c>
      <c r="G69" s="39">
        <f t="shared" si="4"/>
        <v>3621.3458939250004</v>
      </c>
      <c r="H69" s="38">
        <f>SUM(G69:$G$105)</f>
        <v>298429.55711660848</v>
      </c>
      <c r="I69" s="38">
        <f t="shared" si="3"/>
        <v>148309.44208482298</v>
      </c>
      <c r="J69" s="38">
        <f>SUM(I69:$I$110)</f>
        <v>2122940.7884602733</v>
      </c>
      <c r="X69" s="47">
        <f t="shared" si="0"/>
        <v>0</v>
      </c>
      <c r="Y69" s="227">
        <f t="shared" si="1"/>
        <v>-3621.3458939250004</v>
      </c>
      <c r="Z69" s="220">
        <v>6451.8613732326503</v>
      </c>
    </row>
    <row r="70" spans="3:26">
      <c r="C70" s="38">
        <v>12</v>
      </c>
      <c r="D70" s="37">
        <f t="shared" si="2"/>
        <v>7242.6917878500008</v>
      </c>
      <c r="E70" s="220">
        <v>0</v>
      </c>
      <c r="F70" s="38">
        <v>0</v>
      </c>
      <c r="G70" s="39">
        <f t="shared" si="4"/>
        <v>3621.3458939250004</v>
      </c>
      <c r="H70" s="38">
        <f>SUM(G70:$G$105)</f>
        <v>294808.21122268349</v>
      </c>
      <c r="I70" s="38">
        <f t="shared" si="3"/>
        <v>146498.76913786051</v>
      </c>
      <c r="J70" s="38">
        <f>SUM(I70:$I$110)</f>
        <v>1974631.3463754503</v>
      </c>
      <c r="X70" s="47">
        <f t="shared" si="0"/>
        <v>0</v>
      </c>
      <c r="Y70" s="227">
        <f t="shared" si="1"/>
        <v>-3621.3458939250004</v>
      </c>
      <c r="Z70" s="220">
        <v>6343.7900123005302</v>
      </c>
    </row>
    <row r="71" spans="3:26">
      <c r="C71" s="38">
        <v>12.5</v>
      </c>
      <c r="D71" s="37">
        <f t="shared" si="2"/>
        <v>7242.6917878500008</v>
      </c>
      <c r="E71" s="220">
        <v>0</v>
      </c>
      <c r="F71" s="38">
        <v>0</v>
      </c>
      <c r="G71" s="39">
        <f t="shared" si="4"/>
        <v>3621.3458939250004</v>
      </c>
      <c r="H71" s="38">
        <f>SUM(G71:$G$105)</f>
        <v>291186.86532875849</v>
      </c>
      <c r="I71" s="38">
        <f t="shared" si="3"/>
        <v>144688.09619089798</v>
      </c>
      <c r="J71" s="38">
        <f>SUM(I71:$I$110)</f>
        <v>1828132.57723759</v>
      </c>
      <c r="X71" s="47">
        <f t="shared" si="0"/>
        <v>0</v>
      </c>
      <c r="Y71" s="227">
        <f t="shared" si="1"/>
        <v>-3621.3458939250004</v>
      </c>
      <c r="Z71" s="220">
        <v>6235.7186310509896</v>
      </c>
    </row>
    <row r="72" spans="3:26">
      <c r="C72" s="38">
        <v>13</v>
      </c>
      <c r="D72" s="37">
        <f t="shared" si="2"/>
        <v>7242.6917878500008</v>
      </c>
      <c r="E72" s="220">
        <v>0</v>
      </c>
      <c r="F72" s="38">
        <v>0</v>
      </c>
      <c r="G72" s="39">
        <f t="shared" si="4"/>
        <v>3621.3458939250004</v>
      </c>
      <c r="H72" s="38">
        <f>SUM(G72:$G$105)</f>
        <v>287565.51943483349</v>
      </c>
      <c r="I72" s="38">
        <f t="shared" si="3"/>
        <v>142877.42324393551</v>
      </c>
      <c r="J72" s="38">
        <f>SUM(I72:$I$110)</f>
        <v>1683444.4810466918</v>
      </c>
      <c r="X72" s="47">
        <f t="shared" si="0"/>
        <v>0</v>
      </c>
      <c r="Y72" s="227">
        <f t="shared" si="1"/>
        <v>-3621.3458939250004</v>
      </c>
      <c r="Z72" s="220">
        <v>6127.64724980145</v>
      </c>
    </row>
    <row r="73" spans="3:26">
      <c r="C73" s="38">
        <v>13.5</v>
      </c>
      <c r="D73" s="37">
        <f t="shared" si="2"/>
        <v>7242.6917878500008</v>
      </c>
      <c r="E73" s="220">
        <v>0</v>
      </c>
      <c r="F73" s="38">
        <v>0</v>
      </c>
      <c r="G73" s="39">
        <f t="shared" si="4"/>
        <v>3621.3458939250004</v>
      </c>
      <c r="H73" s="38">
        <f>SUM(G73:$G$105)</f>
        <v>283944.17354090849</v>
      </c>
      <c r="I73" s="38">
        <f t="shared" si="3"/>
        <v>141066.75029697298</v>
      </c>
      <c r="J73" s="38">
        <f>SUM(I73:$I$110)</f>
        <v>1540567.0578027561</v>
      </c>
      <c r="X73" s="47">
        <f t="shared" si="0"/>
        <v>0</v>
      </c>
      <c r="Y73" s="227">
        <f t="shared" si="1"/>
        <v>-3621.3458939250004</v>
      </c>
      <c r="Z73" s="220">
        <v>6019.5758685519104</v>
      </c>
    </row>
    <row r="74" spans="3:26">
      <c r="C74" s="38">
        <v>14</v>
      </c>
      <c r="D74" s="37">
        <f t="shared" si="2"/>
        <v>7242.6917878500008</v>
      </c>
      <c r="E74" s="220">
        <v>0</v>
      </c>
      <c r="F74" s="38">
        <v>0</v>
      </c>
      <c r="G74" s="39">
        <f t="shared" si="4"/>
        <v>3621.3458939250004</v>
      </c>
      <c r="H74" s="38">
        <f>SUM(G74:$G$105)</f>
        <v>280322.8276469835</v>
      </c>
      <c r="I74" s="38">
        <f t="shared" si="3"/>
        <v>139256.07735001048</v>
      </c>
      <c r="J74" s="38">
        <f>SUM(I74:$I$110)</f>
        <v>1399500.3075057834</v>
      </c>
      <c r="X74" s="47">
        <f t="shared" si="0"/>
        <v>0</v>
      </c>
      <c r="Y74" s="227">
        <f t="shared" si="1"/>
        <v>-3621.3458939250004</v>
      </c>
      <c r="Z74" s="220">
        <v>5911.5044873023699</v>
      </c>
    </row>
    <row r="75" spans="3:26">
      <c r="C75" s="38">
        <v>14.5</v>
      </c>
      <c r="D75" s="37">
        <f t="shared" si="2"/>
        <v>7242.6917878500008</v>
      </c>
      <c r="E75" s="220">
        <v>0</v>
      </c>
      <c r="F75" s="38">
        <v>0</v>
      </c>
      <c r="G75" s="39">
        <f t="shared" si="4"/>
        <v>3621.3458939250004</v>
      </c>
      <c r="H75" s="38">
        <f>SUM(G75:$G$105)</f>
        <v>276701.48175305844</v>
      </c>
      <c r="I75" s="38">
        <f t="shared" si="3"/>
        <v>137445.40440304799</v>
      </c>
      <c r="J75" s="38">
        <f>SUM(I75:$I$110)</f>
        <v>1260244.2301557728</v>
      </c>
      <c r="X75" s="47">
        <f t="shared" si="0"/>
        <v>0</v>
      </c>
      <c r="Y75" s="227">
        <f t="shared" si="1"/>
        <v>-3621.3458939250004</v>
      </c>
      <c r="Z75" s="220">
        <v>5803.4331060528302</v>
      </c>
    </row>
    <row r="76" spans="3:26">
      <c r="C76" s="38">
        <v>15</v>
      </c>
      <c r="D76" s="37">
        <f t="shared" si="2"/>
        <v>7242.6917878500008</v>
      </c>
      <c r="E76" s="220">
        <v>0</v>
      </c>
      <c r="F76" s="38">
        <v>0</v>
      </c>
      <c r="G76" s="39">
        <f t="shared" si="4"/>
        <v>3621.3458939250004</v>
      </c>
      <c r="H76" s="38">
        <f>SUM(G76:$G$105)</f>
        <v>273080.13585913344</v>
      </c>
      <c r="I76" s="38">
        <f t="shared" si="3"/>
        <v>135634.73145608546</v>
      </c>
      <c r="J76" s="38">
        <f>SUM(I76:$I$110)</f>
        <v>1122798.8257527249</v>
      </c>
      <c r="X76" s="47">
        <f t="shared" si="0"/>
        <v>0</v>
      </c>
      <c r="Y76" s="227">
        <f t="shared" si="1"/>
        <v>-3621.3458939250004</v>
      </c>
      <c r="Z76" s="220">
        <v>5695.3617248032897</v>
      </c>
    </row>
    <row r="77" spans="3:26">
      <c r="C77" s="38">
        <v>15.5</v>
      </c>
      <c r="D77" s="37">
        <f t="shared" si="2"/>
        <v>7242.6917878500008</v>
      </c>
      <c r="E77" s="220">
        <v>0</v>
      </c>
      <c r="F77" s="38">
        <v>0</v>
      </c>
      <c r="G77" s="39">
        <f t="shared" si="4"/>
        <v>3621.3458939250004</v>
      </c>
      <c r="H77" s="38">
        <f>SUM(G77:$G$105)</f>
        <v>269458.78996520845</v>
      </c>
      <c r="I77" s="38">
        <f t="shared" si="3"/>
        <v>133824.05850912299</v>
      </c>
      <c r="J77" s="38">
        <f>SUM(I77:$I$110)</f>
        <v>987164.09429663932</v>
      </c>
      <c r="X77" s="47">
        <f t="shared" si="0"/>
        <v>0</v>
      </c>
      <c r="Y77" s="227">
        <f t="shared" si="1"/>
        <v>-3621.3458939250004</v>
      </c>
      <c r="Z77" s="220">
        <v>5587.2903435537501</v>
      </c>
    </row>
    <row r="78" spans="3:26">
      <c r="C78" s="38">
        <v>16</v>
      </c>
      <c r="D78" s="37">
        <f t="shared" si="2"/>
        <v>7242.6917878500008</v>
      </c>
      <c r="E78" s="220">
        <v>0</v>
      </c>
      <c r="F78" s="38">
        <v>0</v>
      </c>
      <c r="G78" s="39">
        <f t="shared" si="4"/>
        <v>3621.3458939250004</v>
      </c>
      <c r="H78" s="38">
        <f>SUM(G78:$G$105)</f>
        <v>265837.44407128345</v>
      </c>
      <c r="I78" s="38">
        <f t="shared" si="3"/>
        <v>132013.38556216046</v>
      </c>
      <c r="J78" s="38">
        <f>SUM(I78:$I$110)</f>
        <v>853340.03578751627</v>
      </c>
      <c r="X78" s="47">
        <f t="shared" si="0"/>
        <v>0</v>
      </c>
      <c r="Y78" s="227">
        <f t="shared" si="1"/>
        <v>-3621.3458939250004</v>
      </c>
      <c r="Z78" s="220">
        <v>5479.2189623042104</v>
      </c>
    </row>
    <row r="79" spans="3:26">
      <c r="C79" s="38">
        <v>16.5</v>
      </c>
      <c r="D79" s="37">
        <f t="shared" si="2"/>
        <v>7242.6917878500008</v>
      </c>
      <c r="E79" s="220">
        <v>0</v>
      </c>
      <c r="F79" s="38">
        <v>0</v>
      </c>
      <c r="G79" s="39">
        <f t="shared" si="4"/>
        <v>3621.3458939250004</v>
      </c>
      <c r="H79" s="38">
        <f>SUM(G79:$G$105)</f>
        <v>262216.09817735845</v>
      </c>
      <c r="I79" s="38">
        <f t="shared" si="3"/>
        <v>130202.71261519798</v>
      </c>
      <c r="J79" s="38">
        <f>SUM(I79:$I$110)</f>
        <v>721326.65022535576</v>
      </c>
      <c r="X79" s="47">
        <f t="shared" si="0"/>
        <v>-169437.21637500002</v>
      </c>
      <c r="Y79" s="227">
        <f t="shared" si="1"/>
        <v>-173058.56226892502</v>
      </c>
      <c r="Z79" s="220">
        <v>5371.1475810546699</v>
      </c>
    </row>
    <row r="80" spans="3:26">
      <c r="C80" s="38">
        <v>17</v>
      </c>
      <c r="D80" s="37">
        <f t="shared" si="2"/>
        <v>7242.6917878500008</v>
      </c>
      <c r="E80" s="220">
        <v>0</v>
      </c>
      <c r="F80" s="38">
        <f>I32*I29</f>
        <v>169437.21637500002</v>
      </c>
      <c r="G80" s="39">
        <f t="shared" si="4"/>
        <v>173058.56226892502</v>
      </c>
      <c r="H80" s="38">
        <f>SUM(G80:$G$105)</f>
        <v>258594.75228343345</v>
      </c>
      <c r="I80" s="38">
        <f t="shared" si="3"/>
        <v>86032.735574485472</v>
      </c>
      <c r="J80" s="38">
        <f>SUM(I80:$I$110)</f>
        <v>591123.93761015777</v>
      </c>
      <c r="X80" s="47">
        <f t="shared" si="0"/>
        <v>0</v>
      </c>
      <c r="Y80" s="227">
        <f t="shared" si="1"/>
        <v>-3621.3458939250004</v>
      </c>
      <c r="Z80" s="220">
        <v>5263.0761998051303</v>
      </c>
    </row>
    <row r="81" spans="3:26">
      <c r="C81" s="38">
        <v>17.5</v>
      </c>
      <c r="D81" s="37">
        <f t="shared" si="2"/>
        <v>7242.6917878500008</v>
      </c>
      <c r="E81" s="220">
        <v>0</v>
      </c>
      <c r="F81" s="38">
        <v>0</v>
      </c>
      <c r="G81" s="39">
        <f t="shared" si="4"/>
        <v>3621.3458939250004</v>
      </c>
      <c r="H81" s="38">
        <f>SUM(G81:$G$105)</f>
        <v>85536.190014508466</v>
      </c>
      <c r="I81" s="38">
        <f t="shared" si="3"/>
        <v>41862.758533772983</v>
      </c>
      <c r="J81" s="38">
        <f>SUM(I81:$I$110)</f>
        <v>505091.20203567244</v>
      </c>
      <c r="X81" s="47">
        <f t="shared" si="0"/>
        <v>0</v>
      </c>
      <c r="Y81" s="227">
        <f t="shared" si="1"/>
        <v>-3621.3458939250004</v>
      </c>
      <c r="Z81" s="220">
        <v>5155.0048185555897</v>
      </c>
    </row>
    <row r="82" spans="3:26">
      <c r="C82" s="38">
        <v>18</v>
      </c>
      <c r="D82" s="37">
        <f t="shared" si="2"/>
        <v>7242.6917878500008</v>
      </c>
      <c r="E82" s="220">
        <v>0</v>
      </c>
      <c r="F82" s="38">
        <v>0</v>
      </c>
      <c r="G82" s="39">
        <f t="shared" si="4"/>
        <v>3621.3458939250004</v>
      </c>
      <c r="H82" s="38">
        <f>SUM(G82:$G$105)</f>
        <v>81914.844120583468</v>
      </c>
      <c r="I82" s="38">
        <f t="shared" si="3"/>
        <v>40052.085586810485</v>
      </c>
      <c r="J82" s="38">
        <f>SUM(I82:$I$110)</f>
        <v>463228.44350189943</v>
      </c>
      <c r="X82" s="47">
        <f t="shared" si="0"/>
        <v>0</v>
      </c>
      <c r="Y82" s="227">
        <f t="shared" si="1"/>
        <v>-3621.3458939250004</v>
      </c>
      <c r="Z82" s="220">
        <v>5046.9334373060501</v>
      </c>
    </row>
    <row r="83" spans="3:26">
      <c r="C83" s="38">
        <v>18.5</v>
      </c>
      <c r="D83" s="37">
        <f t="shared" si="2"/>
        <v>7242.6917878500008</v>
      </c>
      <c r="E83" s="220">
        <v>0</v>
      </c>
      <c r="F83" s="38">
        <v>0</v>
      </c>
      <c r="G83" s="39">
        <f t="shared" si="4"/>
        <v>3621.3458939250004</v>
      </c>
      <c r="H83" s="38">
        <f>SUM(G83:$G$105)</f>
        <v>78293.49822665847</v>
      </c>
      <c r="I83" s="38">
        <f t="shared" si="3"/>
        <v>38241.412639847986</v>
      </c>
      <c r="J83" s="38">
        <f>SUM(I83:$I$110)</f>
        <v>423176.35791508894</v>
      </c>
      <c r="X83" s="47">
        <f t="shared" si="0"/>
        <v>0</v>
      </c>
      <c r="Y83" s="227">
        <f t="shared" si="1"/>
        <v>-3621.3458939250004</v>
      </c>
      <c r="Z83" s="220">
        <v>4938.8620560565096</v>
      </c>
    </row>
    <row r="84" spans="3:26">
      <c r="C84" s="38">
        <v>19</v>
      </c>
      <c r="D84" s="37">
        <f t="shared" si="2"/>
        <v>7242.6917878500008</v>
      </c>
      <c r="E84" s="220">
        <v>0</v>
      </c>
      <c r="F84" s="38">
        <v>0</v>
      </c>
      <c r="G84" s="39">
        <f t="shared" si="4"/>
        <v>3621.3458939250004</v>
      </c>
      <c r="H84" s="38">
        <f>SUM(G84:$G$105)</f>
        <v>74672.152332733473</v>
      </c>
      <c r="I84" s="38">
        <f t="shared" si="3"/>
        <v>36430.739692885487</v>
      </c>
      <c r="J84" s="38">
        <f>SUM(I84:$I$110)</f>
        <v>384934.94527524099</v>
      </c>
      <c r="X84" s="47">
        <f t="shared" si="0"/>
        <v>0</v>
      </c>
      <c r="Y84" s="227">
        <f t="shared" si="1"/>
        <v>-3621.3458939250004</v>
      </c>
      <c r="Z84" s="220">
        <v>4830.7906748069699</v>
      </c>
    </row>
    <row r="85" spans="3:26">
      <c r="C85" s="38">
        <v>19.5</v>
      </c>
      <c r="D85" s="37">
        <f t="shared" si="2"/>
        <v>7242.6917878500008</v>
      </c>
      <c r="E85" s="220">
        <v>0</v>
      </c>
      <c r="F85" s="38">
        <v>0</v>
      </c>
      <c r="G85" s="39">
        <f t="shared" si="4"/>
        <v>3621.3458939250004</v>
      </c>
      <c r="H85" s="38">
        <f>SUM(G85:$G$105)</f>
        <v>71050.806438808475</v>
      </c>
      <c r="I85" s="38">
        <f t="shared" si="3"/>
        <v>34620.066745922988</v>
      </c>
      <c r="J85" s="38">
        <f>SUM(I85:$I$110)</f>
        <v>348504.20558235556</v>
      </c>
      <c r="X85" s="47">
        <f t="shared" si="0"/>
        <v>0</v>
      </c>
      <c r="Y85" s="227">
        <f t="shared" si="1"/>
        <v>-3621.3458939250004</v>
      </c>
      <c r="Z85" s="220">
        <v>4722.7193138748498</v>
      </c>
    </row>
    <row r="86" spans="3:26">
      <c r="C86" s="38">
        <v>20</v>
      </c>
      <c r="D86" s="37">
        <f t="shared" si="2"/>
        <v>7242.6917878500008</v>
      </c>
      <c r="E86" s="220">
        <v>0</v>
      </c>
      <c r="F86" s="38">
        <v>0</v>
      </c>
      <c r="G86" s="39">
        <f t="shared" si="4"/>
        <v>3621.3458939250004</v>
      </c>
      <c r="H86" s="38">
        <f>SUM(G86:$G$105)</f>
        <v>67429.460544883477</v>
      </c>
      <c r="I86" s="38">
        <f t="shared" si="3"/>
        <v>32809.393798960489</v>
      </c>
      <c r="J86" s="38">
        <f>SUM(I86:$I$110)</f>
        <v>313884.1388364326</v>
      </c>
      <c r="X86" s="47">
        <f t="shared" si="0"/>
        <v>0</v>
      </c>
      <c r="Y86" s="227">
        <f t="shared" si="1"/>
        <v>-3621.3458939250004</v>
      </c>
      <c r="Z86" s="220">
        <v>4614.6479326253102</v>
      </c>
    </row>
    <row r="87" spans="3:26">
      <c r="C87" s="38">
        <v>20.5</v>
      </c>
      <c r="D87" s="37">
        <f t="shared" si="2"/>
        <v>7242.6917878500008</v>
      </c>
      <c r="E87" s="220">
        <v>0</v>
      </c>
      <c r="F87" s="38">
        <v>0</v>
      </c>
      <c r="G87" s="39">
        <f t="shared" si="4"/>
        <v>3621.3458939250004</v>
      </c>
      <c r="H87" s="38">
        <f>SUM(G87:$G$105)</f>
        <v>63808.11465095848</v>
      </c>
      <c r="I87" s="38">
        <f t="shared" si="3"/>
        <v>30998.72085199799</v>
      </c>
      <c r="J87" s="38">
        <f>SUM(I87:$I$110)</f>
        <v>281074.74503747211</v>
      </c>
      <c r="X87" s="47">
        <f t="shared" si="0"/>
        <v>0</v>
      </c>
      <c r="Y87" s="227">
        <f t="shared" si="1"/>
        <v>-3621.3458939250004</v>
      </c>
      <c r="Z87" s="220">
        <v>4506.5765513757697</v>
      </c>
    </row>
    <row r="88" spans="3:26">
      <c r="C88" s="38">
        <v>21</v>
      </c>
      <c r="D88" s="37">
        <f t="shared" si="2"/>
        <v>7242.6917878500008</v>
      </c>
      <c r="E88" s="220">
        <v>0</v>
      </c>
      <c r="F88" s="38">
        <v>0</v>
      </c>
      <c r="G88" s="39">
        <f t="shared" si="4"/>
        <v>3621.3458939250004</v>
      </c>
      <c r="H88" s="38">
        <f>SUM(G88:$G$105)</f>
        <v>60186.768757033482</v>
      </c>
      <c r="I88" s="38">
        <f t="shared" si="3"/>
        <v>29188.047905035492</v>
      </c>
      <c r="J88" s="38">
        <f>SUM(I88:$I$110)</f>
        <v>250076.02418547421</v>
      </c>
      <c r="X88" s="47">
        <f t="shared" si="0"/>
        <v>0</v>
      </c>
      <c r="Y88" s="227">
        <f t="shared" si="1"/>
        <v>-3621.3458939250004</v>
      </c>
      <c r="Z88" s="220">
        <v>4398.50517012623</v>
      </c>
    </row>
    <row r="89" spans="3:26">
      <c r="C89" s="38">
        <v>21.5</v>
      </c>
      <c r="D89" s="37">
        <f t="shared" si="2"/>
        <v>7242.6917878500008</v>
      </c>
      <c r="E89" s="220">
        <v>0</v>
      </c>
      <c r="F89" s="38">
        <v>0</v>
      </c>
      <c r="G89" s="39">
        <f t="shared" si="4"/>
        <v>3621.3458939250004</v>
      </c>
      <c r="H89" s="38">
        <f>SUM(G89:$G$105)</f>
        <v>56565.422863108484</v>
      </c>
      <c r="I89" s="38">
        <f t="shared" si="3"/>
        <v>27377.374958072993</v>
      </c>
      <c r="J89" s="38">
        <f>SUM(I89:$I$110)</f>
        <v>220887.97628043871</v>
      </c>
      <c r="X89" s="47">
        <f t="shared" si="0"/>
        <v>0</v>
      </c>
      <c r="Y89" s="227">
        <f t="shared" si="1"/>
        <v>-3621.3458939250004</v>
      </c>
      <c r="Z89" s="220">
        <v>4290.4337888766904</v>
      </c>
    </row>
    <row r="90" spans="3:26">
      <c r="C90" s="38">
        <v>22</v>
      </c>
      <c r="D90" s="37">
        <f t="shared" si="2"/>
        <v>7242.6917878500008</v>
      </c>
      <c r="E90" s="220">
        <v>0</v>
      </c>
      <c r="F90" s="38">
        <v>0</v>
      </c>
      <c r="G90" s="39">
        <f t="shared" si="4"/>
        <v>3621.3458939250004</v>
      </c>
      <c r="H90" s="38">
        <f>SUM(G90:$G$105)</f>
        <v>52944.076969183487</v>
      </c>
      <c r="I90" s="38">
        <f t="shared" si="3"/>
        <v>25566.702011110494</v>
      </c>
      <c r="J90" s="38">
        <f>SUM(I90:$I$110)</f>
        <v>193510.60132236572</v>
      </c>
      <c r="X90" s="47">
        <f t="shared" si="0"/>
        <v>0</v>
      </c>
      <c r="Y90" s="227">
        <f t="shared" si="1"/>
        <v>-3621.3458939250004</v>
      </c>
      <c r="Z90" s="220">
        <v>4182.3624076271499</v>
      </c>
    </row>
    <row r="91" spans="3:26">
      <c r="C91" s="38">
        <v>22.5</v>
      </c>
      <c r="D91" s="37">
        <f t="shared" si="2"/>
        <v>7242.6917878500008</v>
      </c>
      <c r="E91" s="220">
        <v>0</v>
      </c>
      <c r="F91" s="38">
        <v>0</v>
      </c>
      <c r="G91" s="39">
        <f t="shared" si="4"/>
        <v>3621.3458939250004</v>
      </c>
      <c r="H91" s="38">
        <f>SUM(G91:$G$105)</f>
        <v>49322.731075258489</v>
      </c>
      <c r="I91" s="38">
        <f t="shared" si="3"/>
        <v>23756.029064147995</v>
      </c>
      <c r="J91" s="38">
        <f>SUM(I91:$I$110)</f>
        <v>167943.89931125523</v>
      </c>
      <c r="X91" s="47">
        <f t="shared" si="0"/>
        <v>0</v>
      </c>
      <c r="Y91" s="227">
        <f t="shared" si="1"/>
        <v>-3621.3458939250004</v>
      </c>
      <c r="Z91" s="220">
        <v>4074.2910263776098</v>
      </c>
    </row>
    <row r="92" spans="3:26">
      <c r="C92" s="38">
        <v>23</v>
      </c>
      <c r="D92" s="37">
        <f t="shared" si="2"/>
        <v>7242.6917878500008</v>
      </c>
      <c r="E92" s="220">
        <v>0</v>
      </c>
      <c r="F92" s="38">
        <v>0</v>
      </c>
      <c r="G92" s="39">
        <f t="shared" si="4"/>
        <v>3621.3458939250004</v>
      </c>
      <c r="H92" s="38">
        <f>SUM(G92:$G$105)</f>
        <v>45701.385181333491</v>
      </c>
      <c r="I92" s="38">
        <f t="shared" si="3"/>
        <v>21945.356117185496</v>
      </c>
      <c r="J92" s="38">
        <f>SUM(I92:$I$110)</f>
        <v>144187.87024710723</v>
      </c>
      <c r="X92" s="47">
        <f t="shared" si="0"/>
        <v>0</v>
      </c>
      <c r="Y92" s="227">
        <f t="shared" si="1"/>
        <v>-3621.3458939250004</v>
      </c>
      <c r="Z92" s="220">
        <v>3966.2196451280602</v>
      </c>
    </row>
    <row r="93" spans="3:26">
      <c r="C93" s="38">
        <v>23.5</v>
      </c>
      <c r="D93" s="37">
        <f t="shared" si="2"/>
        <v>7242.6917878500008</v>
      </c>
      <c r="E93" s="220">
        <v>0</v>
      </c>
      <c r="F93" s="38">
        <v>0</v>
      </c>
      <c r="G93" s="39">
        <f t="shared" si="4"/>
        <v>3621.3458939250004</v>
      </c>
      <c r="H93" s="38">
        <f>SUM(G93:$G$105)</f>
        <v>42080.039287408494</v>
      </c>
      <c r="I93" s="38">
        <f t="shared" si="3"/>
        <v>20134.683170222997</v>
      </c>
      <c r="J93" s="38">
        <f>SUM(I93:$I$110)</f>
        <v>122242.51412992166</v>
      </c>
      <c r="X93" s="47">
        <f t="shared" si="0"/>
        <v>0</v>
      </c>
      <c r="Y93" s="227">
        <f t="shared" si="1"/>
        <v>-3621.3458939250004</v>
      </c>
      <c r="Z93" s="220">
        <v>3858.1482638785201</v>
      </c>
    </row>
    <row r="94" spans="3:26">
      <c r="C94" s="38">
        <v>24</v>
      </c>
      <c r="D94" s="37">
        <f t="shared" si="2"/>
        <v>7242.6917878500008</v>
      </c>
      <c r="E94" s="220">
        <v>0</v>
      </c>
      <c r="F94" s="38">
        <v>0</v>
      </c>
      <c r="G94" s="39">
        <f t="shared" si="4"/>
        <v>3621.3458939250004</v>
      </c>
      <c r="H94" s="38">
        <f>SUM(G94:$G$105)</f>
        <v>38458.693393483496</v>
      </c>
      <c r="I94" s="38">
        <f t="shared" si="3"/>
        <v>18324.010223260499</v>
      </c>
      <c r="J94" s="38">
        <f>SUM(I94:$I$110)</f>
        <v>102107.83095969867</v>
      </c>
      <c r="X94" s="47">
        <f t="shared" si="0"/>
        <v>0</v>
      </c>
      <c r="Y94" s="227">
        <f t="shared" si="1"/>
        <v>-3621.3458939250004</v>
      </c>
      <c r="Z94" s="220">
        <v>3750.07688262898</v>
      </c>
    </row>
    <row r="95" spans="3:26">
      <c r="C95" s="38">
        <v>24.5</v>
      </c>
      <c r="D95" s="37">
        <f t="shared" si="2"/>
        <v>7242.6917878500008</v>
      </c>
      <c r="E95" s="220">
        <v>0</v>
      </c>
      <c r="F95" s="38">
        <v>0</v>
      </c>
      <c r="G95" s="39">
        <f t="shared" si="4"/>
        <v>3621.3458939250004</v>
      </c>
      <c r="H95" s="38">
        <f>SUM(G95:$G$105)</f>
        <v>34837.347499558498</v>
      </c>
      <c r="I95" s="38">
        <f t="shared" si="3"/>
        <v>16513.337276298</v>
      </c>
      <c r="J95" s="38">
        <f>SUM(I95:$I$110)</f>
        <v>83783.820736438152</v>
      </c>
      <c r="X95" s="47">
        <f t="shared" si="0"/>
        <v>0</v>
      </c>
      <c r="Y95" s="227">
        <f t="shared" si="1"/>
        <v>-3621.3458939250004</v>
      </c>
      <c r="Z95" s="220">
        <v>3642.0055013794399</v>
      </c>
    </row>
    <row r="96" spans="3:26">
      <c r="C96" s="38">
        <v>25</v>
      </c>
      <c r="D96" s="37">
        <f t="shared" si="2"/>
        <v>7242.6917878500008</v>
      </c>
      <c r="E96" s="220">
        <v>0</v>
      </c>
      <c r="F96" s="38">
        <v>0</v>
      </c>
      <c r="G96" s="39">
        <f t="shared" si="4"/>
        <v>3621.3458939250004</v>
      </c>
      <c r="H96" s="38">
        <f>SUM(G96:$G$105)</f>
        <v>31216.001605633497</v>
      </c>
      <c r="I96" s="38">
        <f t="shared" si="3"/>
        <v>14702.664329335497</v>
      </c>
      <c r="J96" s="38">
        <f>SUM(I96:$I$110)</f>
        <v>67270.483460140153</v>
      </c>
      <c r="X96" s="47">
        <f t="shared" si="0"/>
        <v>0</v>
      </c>
      <c r="Y96" s="227">
        <f t="shared" si="1"/>
        <v>-3621.3458939250004</v>
      </c>
      <c r="Z96" s="220">
        <v>3533.9341201298998</v>
      </c>
    </row>
    <row r="97" spans="3:26">
      <c r="C97" s="38">
        <v>25.5</v>
      </c>
      <c r="D97" s="37">
        <f t="shared" si="2"/>
        <v>7242.6917878500008</v>
      </c>
      <c r="E97" s="220">
        <v>0</v>
      </c>
      <c r="F97" s="38">
        <v>0</v>
      </c>
      <c r="G97" s="39">
        <f t="shared" si="4"/>
        <v>3621.3458939250004</v>
      </c>
      <c r="H97" s="38">
        <f>SUM(G97:$G$105)</f>
        <v>27594.655711708496</v>
      </c>
      <c r="I97" s="38">
        <f t="shared" si="3"/>
        <v>12891.991382372998</v>
      </c>
      <c r="J97" s="38">
        <f>SUM(I97:$I$110)</f>
        <v>52567.819130804673</v>
      </c>
      <c r="X97" s="47">
        <f t="shared" si="0"/>
        <v>0</v>
      </c>
      <c r="Y97" s="227">
        <f t="shared" si="1"/>
        <v>-3621.3458939250004</v>
      </c>
      <c r="Z97" s="220">
        <v>3425.8627388803602</v>
      </c>
    </row>
    <row r="98" spans="3:26">
      <c r="C98" s="38">
        <v>26</v>
      </c>
      <c r="D98" s="37">
        <f t="shared" si="2"/>
        <v>7242.6917878500008</v>
      </c>
      <c r="E98" s="220">
        <v>0</v>
      </c>
      <c r="F98" s="38">
        <v>0</v>
      </c>
      <c r="G98" s="39">
        <f t="shared" si="4"/>
        <v>3621.3458939250004</v>
      </c>
      <c r="H98" s="38">
        <f>SUM(G98:$G$105)</f>
        <v>23973.309817783495</v>
      </c>
      <c r="I98" s="38">
        <f t="shared" si="3"/>
        <v>11081.318435410496</v>
      </c>
      <c r="J98" s="38">
        <f>SUM(I98:$I$110)</f>
        <v>39675.827748431664</v>
      </c>
      <c r="X98" s="47">
        <f t="shared" si="0"/>
        <v>0</v>
      </c>
      <c r="Y98" s="227">
        <f t="shared" si="1"/>
        <v>-3621.3458939250004</v>
      </c>
      <c r="Z98" s="220">
        <v>3317.7913576308201</v>
      </c>
    </row>
    <row r="99" spans="3:26">
      <c r="C99" s="38">
        <v>26.5</v>
      </c>
      <c r="D99" s="37">
        <f t="shared" si="2"/>
        <v>7242.6917878500008</v>
      </c>
      <c r="E99" s="220">
        <v>0</v>
      </c>
      <c r="F99" s="38">
        <v>0</v>
      </c>
      <c r="G99" s="39">
        <f t="shared" si="4"/>
        <v>3621.3458939250004</v>
      </c>
      <c r="H99" s="38">
        <f>SUM(G99:$G$105)</f>
        <v>20351.963923858493</v>
      </c>
      <c r="I99" s="38">
        <f t="shared" si="3"/>
        <v>9270.6454884479972</v>
      </c>
      <c r="J99" s="38">
        <f>SUM(I99:$I$110)</f>
        <v>28594.509313021168</v>
      </c>
      <c r="X99" s="47">
        <f t="shared" si="0"/>
        <v>0</v>
      </c>
      <c r="Y99" s="227">
        <f t="shared" si="1"/>
        <v>-3621.3458939250004</v>
      </c>
      <c r="Z99" s="220">
        <v>3209.71997638128</v>
      </c>
    </row>
    <row r="100" spans="3:26">
      <c r="C100" s="38">
        <v>27</v>
      </c>
      <c r="D100" s="37">
        <f t="shared" si="2"/>
        <v>7242.6917878500008</v>
      </c>
      <c r="E100" s="220">
        <v>0</v>
      </c>
      <c r="F100" s="38">
        <v>0</v>
      </c>
      <c r="G100" s="39">
        <f t="shared" si="4"/>
        <v>3621.3458939250004</v>
      </c>
      <c r="H100" s="38">
        <f>SUM(G100:$G$105)</f>
        <v>16730.618029933492</v>
      </c>
      <c r="I100" s="38">
        <f t="shared" si="3"/>
        <v>7459.9725414854956</v>
      </c>
      <c r="J100" s="38">
        <f>SUM(I100:$I$110)</f>
        <v>19323.863824573171</v>
      </c>
      <c r="X100" s="47">
        <f t="shared" si="0"/>
        <v>0</v>
      </c>
      <c r="Y100" s="227">
        <f t="shared" si="1"/>
        <v>-3621.3458939250004</v>
      </c>
      <c r="Z100" s="220">
        <v>3101.64859513174</v>
      </c>
    </row>
    <row r="101" spans="3:26">
      <c r="C101" s="38">
        <v>27.5</v>
      </c>
      <c r="D101" s="37">
        <f t="shared" si="2"/>
        <v>7242.6917878500008</v>
      </c>
      <c r="E101" s="220">
        <v>0</v>
      </c>
      <c r="F101" s="38">
        <v>0</v>
      </c>
      <c r="G101" s="39">
        <f t="shared" si="4"/>
        <v>3621.3458939250004</v>
      </c>
      <c r="H101" s="38">
        <f>SUM(G101:$G$105)</f>
        <v>13109.272136008491</v>
      </c>
      <c r="I101" s="38">
        <f t="shared" si="3"/>
        <v>5649.2995945229959</v>
      </c>
      <c r="J101" s="38">
        <f>SUM(I101:$I$110)</f>
        <v>11863.891283087678</v>
      </c>
      <c r="X101" s="47">
        <f t="shared" si="0"/>
        <v>0</v>
      </c>
      <c r="Y101" s="227">
        <f t="shared" si="1"/>
        <v>-3621.3458939250004</v>
      </c>
      <c r="Z101" s="38">
        <v>0</v>
      </c>
    </row>
    <row r="102" spans="3:26">
      <c r="C102" s="38">
        <v>28</v>
      </c>
      <c r="D102" s="37">
        <f t="shared" si="2"/>
        <v>7242.6917878500008</v>
      </c>
      <c r="E102" s="220">
        <v>0</v>
      </c>
      <c r="F102" s="38">
        <v>0</v>
      </c>
      <c r="G102" s="39">
        <f t="shared" si="4"/>
        <v>3621.3458939250004</v>
      </c>
      <c r="H102" s="38">
        <f>SUM(G102:$G$105)</f>
        <v>9487.9262420834912</v>
      </c>
      <c r="I102" s="38">
        <f t="shared" si="3"/>
        <v>3838.6266475604957</v>
      </c>
      <c r="J102" s="38">
        <f>SUM(I102:$I$110)</f>
        <v>6214.5916885646811</v>
      </c>
      <c r="X102" s="47">
        <f t="shared" si="0"/>
        <v>0</v>
      </c>
      <c r="Y102" s="227">
        <f t="shared" si="1"/>
        <v>-3621.3458939250004</v>
      </c>
      <c r="Z102" s="38">
        <v>0</v>
      </c>
    </row>
    <row r="103" spans="3:26">
      <c r="C103" s="38">
        <v>28.5</v>
      </c>
      <c r="D103" s="37">
        <f t="shared" si="2"/>
        <v>7242.6917878500008</v>
      </c>
      <c r="E103" s="220">
        <v>0</v>
      </c>
      <c r="F103" s="38">
        <v>0</v>
      </c>
      <c r="G103" s="39">
        <f t="shared" si="4"/>
        <v>3621.3458939250004</v>
      </c>
      <c r="H103" s="38">
        <f>SUM(G103:$G$105)</f>
        <v>5866.5803481584917</v>
      </c>
      <c r="I103" s="38">
        <f t="shared" si="3"/>
        <v>2027.9537005979955</v>
      </c>
      <c r="J103" s="38">
        <f>SUM(I103:$I$110)</f>
        <v>2375.965041004185</v>
      </c>
      <c r="X103" s="47">
        <f t="shared" si="0"/>
        <v>0</v>
      </c>
      <c r="Y103" s="227">
        <f t="shared" si="1"/>
        <v>-2245.2344542334909</v>
      </c>
      <c r="Z103" s="38">
        <v>0</v>
      </c>
    </row>
    <row r="104" spans="3:26">
      <c r="C104" s="38">
        <v>29</v>
      </c>
      <c r="D104" s="37">
        <f t="shared" si="2"/>
        <v>7242.6917878500008</v>
      </c>
      <c r="E104" s="220">
        <v>0</v>
      </c>
      <c r="F104" s="38">
        <v>0</v>
      </c>
      <c r="G104" s="39">
        <f t="shared" si="4"/>
        <v>2245.2344542334909</v>
      </c>
      <c r="H104" s="38">
        <f>SUM(G104:$G$105)</f>
        <v>2245.2344542334909</v>
      </c>
      <c r="I104" s="38">
        <f t="shared" si="3"/>
        <v>348.01134040618967</v>
      </c>
      <c r="J104" s="38">
        <f>SUM(I104:$I$110)</f>
        <v>348.01134040618967</v>
      </c>
      <c r="X104" s="47">
        <f t="shared" si="0"/>
        <v>0</v>
      </c>
      <c r="Y104" s="227">
        <f t="shared" si="1"/>
        <v>0</v>
      </c>
      <c r="Z104" s="38">
        <v>0</v>
      </c>
    </row>
    <row r="105" spans="3:26">
      <c r="C105" s="38">
        <v>29.31</v>
      </c>
      <c r="D105" s="37">
        <f t="shared" si="2"/>
        <v>7242.6917878500008</v>
      </c>
      <c r="E105" s="220">
        <v>0</v>
      </c>
      <c r="F105" s="38">
        <v>0</v>
      </c>
      <c r="G105" s="39">
        <v>0</v>
      </c>
      <c r="H105" s="38">
        <f>SUM(G105:$G$105)</f>
        <v>0</v>
      </c>
      <c r="I105" s="38">
        <f t="shared" si="3"/>
        <v>0</v>
      </c>
      <c r="J105" s="38">
        <f>SUM(I105:$I$110)</f>
        <v>0</v>
      </c>
      <c r="X105" s="47">
        <f t="shared" si="0"/>
        <v>0</v>
      </c>
      <c r="Y105" s="227">
        <f t="shared" si="1"/>
        <v>0</v>
      </c>
    </row>
    <row r="107" spans="3:26">
      <c r="F107" s="35" t="s">
        <v>96</v>
      </c>
      <c r="G107" s="40">
        <f>SUM(G46:G105)</f>
        <v>6497366.6531018866</v>
      </c>
    </row>
    <row r="110" spans="3:26">
      <c r="E110" s="32">
        <f>SUM(E46:E105)</f>
        <v>0</v>
      </c>
    </row>
  </sheetData>
  <mergeCells count="10">
    <mergeCell ref="A28:A35"/>
    <mergeCell ref="I31:J31"/>
    <mergeCell ref="C43:J43"/>
    <mergeCell ref="A44:A53"/>
    <mergeCell ref="B1:E1"/>
    <mergeCell ref="F1:G1"/>
    <mergeCell ref="H1:Z1"/>
    <mergeCell ref="A4:A8"/>
    <mergeCell ref="C27:E27"/>
    <mergeCell ref="H27:J27"/>
  </mergeCells>
  <phoneticPr fontId="3" type="noConversion"/>
  <dataValidations count="1">
    <dataValidation type="list" allowBlank="1" showInputMessage="1" showErrorMessage="1" sqref="I31:J31" xr:uid="{A4926099-5CB9-45ED-AC93-B854E25AF883}">
      <formula1>$C$35:$C$37</formula1>
    </dataValidation>
  </dataValidations>
  <hyperlinks>
    <hyperlink ref="F36" r:id="rId1" xr:uid="{68380C1D-45AF-4274-9694-7FAFFA675ED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5"/>
  <sheetViews>
    <sheetView zoomScale="40" zoomScaleNormal="40" workbookViewId="0">
      <pane xSplit="1" ySplit="1" topLeftCell="B42" activePane="bottomRight" state="frozen"/>
      <selection activeCell="E46" sqref="E46"/>
      <selection pane="topRight" activeCell="E46" sqref="E46"/>
      <selection pane="bottomLeft" activeCell="E46" sqref="E46"/>
      <selection pane="bottomRight" activeCell="T138" sqref="T138"/>
    </sheetView>
  </sheetViews>
  <sheetFormatPr defaultColWidth="8.83203125" defaultRowHeight="18.5"/>
  <cols>
    <col min="1" max="1" width="25.6640625" style="29" customWidth="1"/>
    <col min="2" max="2" width="8.83203125" style="32"/>
    <col min="3" max="3" width="20.83203125" style="32" bestFit="1" customWidth="1"/>
    <col min="4" max="4" width="9.25" style="32" customWidth="1"/>
    <col min="5" max="5" width="10.6640625" style="32" bestFit="1" customWidth="1"/>
    <col min="6" max="6" width="9.6640625" style="32" bestFit="1" customWidth="1"/>
    <col min="7" max="7" width="8.83203125" style="32"/>
    <col min="8" max="8" width="12.6640625" style="32" bestFit="1" customWidth="1"/>
    <col min="9" max="10" width="8.83203125" style="32"/>
    <col min="11" max="11" width="10.33203125" style="32" bestFit="1" customWidth="1"/>
    <col min="12" max="12" width="10.6640625" style="32" bestFit="1" customWidth="1"/>
    <col min="13" max="16" width="8.83203125" style="32"/>
    <col min="17" max="17" width="13.6640625" style="32" customWidth="1"/>
    <col min="18" max="19" width="8.83203125" style="32"/>
    <col min="20" max="20" width="10.1640625" style="32" customWidth="1"/>
    <col min="21" max="23" width="8.83203125" style="32"/>
    <col min="24" max="24" width="12.6640625" style="32" bestFit="1" customWidth="1"/>
    <col min="25" max="25" width="9.6640625" style="32" bestFit="1" customWidth="1"/>
    <col min="26" max="16384" width="8.83203125" style="32"/>
  </cols>
  <sheetData>
    <row r="1" spans="1:26" s="45" customFormat="1" ht="39" customHeight="1" thickBot="1">
      <c r="A1" s="201"/>
      <c r="B1" s="273" t="s">
        <v>97</v>
      </c>
      <c r="C1" s="279"/>
      <c r="D1" s="279"/>
      <c r="E1" s="280"/>
      <c r="F1" s="273" t="s">
        <v>9</v>
      </c>
      <c r="G1" s="273"/>
      <c r="H1" s="274" t="s">
        <v>98</v>
      </c>
      <c r="I1" s="281"/>
      <c r="J1" s="281"/>
      <c r="K1" s="281"/>
      <c r="L1" s="281"/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</row>
    <row r="3" spans="1:26" ht="18.75" customHeight="1">
      <c r="A3" s="154" t="s">
        <v>225</v>
      </c>
    </row>
    <row r="4" spans="1:26" ht="18.75" customHeight="1">
      <c r="A4" s="251" t="s">
        <v>99</v>
      </c>
    </row>
    <row r="5" spans="1:26" ht="18.75" customHeight="1">
      <c r="A5" s="282"/>
    </row>
    <row r="6" spans="1:26" ht="18.75" customHeight="1">
      <c r="A6" s="282"/>
    </row>
    <row r="7" spans="1:26" ht="14.5">
      <c r="A7" s="282"/>
    </row>
    <row r="8" spans="1:26" ht="14.5">
      <c r="A8" s="282"/>
    </row>
    <row r="9" spans="1:26" ht="14.5">
      <c r="A9" s="282"/>
    </row>
    <row r="10" spans="1:26" ht="14.5">
      <c r="A10" s="282"/>
    </row>
    <row r="11" spans="1:26" ht="14.5">
      <c r="A11" s="282"/>
    </row>
    <row r="12" spans="1:26" ht="14.5">
      <c r="A12" s="282"/>
    </row>
    <row r="13" spans="1:26" ht="14.5">
      <c r="A13" s="282"/>
    </row>
    <row r="14" spans="1:26" ht="14.5">
      <c r="A14" s="282"/>
    </row>
    <row r="15" spans="1:26" ht="14.5">
      <c r="A15" s="282"/>
    </row>
    <row r="16" spans="1:26" ht="14.5">
      <c r="A16" s="282"/>
      <c r="W16" s="47"/>
    </row>
    <row r="17" spans="1:23" ht="14.5">
      <c r="A17" s="282"/>
      <c r="W17" s="47"/>
    </row>
    <row r="18" spans="1:23" ht="14.5">
      <c r="A18" s="282"/>
      <c r="W18" s="47"/>
    </row>
    <row r="19" spans="1:23" ht="14.5">
      <c r="A19" s="282"/>
      <c r="W19" s="47"/>
    </row>
    <row r="20" spans="1:23" ht="14.5">
      <c r="A20" s="282"/>
      <c r="W20" s="47"/>
    </row>
    <row r="21" spans="1:23" ht="14.5">
      <c r="A21" s="282"/>
      <c r="W21" s="47"/>
    </row>
    <row r="22" spans="1:23" ht="14.5">
      <c r="A22" s="282"/>
      <c r="W22" s="47"/>
    </row>
    <row r="23" spans="1:23" ht="14.5">
      <c r="A23" s="282"/>
      <c r="W23" s="47"/>
    </row>
    <row r="24" spans="1:23" ht="14.5">
      <c r="A24" s="282"/>
      <c r="W24" s="47"/>
    </row>
    <row r="25" spans="1:23" s="34" customFormat="1" ht="15" thickBot="1">
      <c r="A25" s="283"/>
      <c r="W25" s="48"/>
    </row>
    <row r="26" spans="1:23">
      <c r="W26" s="47"/>
    </row>
    <row r="27" spans="1:23" ht="18.75" customHeight="1">
      <c r="A27" s="155" t="s">
        <v>234</v>
      </c>
      <c r="C27" s="284" t="s">
        <v>101</v>
      </c>
      <c r="D27" s="284"/>
      <c r="E27" s="284"/>
      <c r="H27" s="284" t="s">
        <v>102</v>
      </c>
      <c r="I27" s="284"/>
      <c r="J27" s="284"/>
      <c r="N27" s="275"/>
      <c r="O27" s="275"/>
      <c r="P27" s="275"/>
      <c r="Q27" s="275"/>
      <c r="R27" s="285" t="s">
        <v>103</v>
      </c>
      <c r="S27" s="285"/>
      <c r="T27" s="285"/>
      <c r="W27" s="47"/>
    </row>
    <row r="28" spans="1:23" ht="18.75" customHeight="1">
      <c r="A28" s="251" t="s">
        <v>100</v>
      </c>
      <c r="C28" s="284"/>
      <c r="D28" s="284"/>
      <c r="E28" s="284"/>
      <c r="H28" s="284"/>
      <c r="I28" s="284"/>
      <c r="J28" s="284"/>
      <c r="N28" s="275"/>
      <c r="O28" s="275"/>
      <c r="P28" s="275"/>
      <c r="Q28" s="275"/>
      <c r="R28" s="285"/>
      <c r="S28" s="285"/>
      <c r="T28" s="285"/>
      <c r="W28" s="47"/>
    </row>
    <row r="29" spans="1:23" ht="18.75" customHeight="1">
      <c r="A29" s="286"/>
      <c r="C29" s="35" t="s">
        <v>70</v>
      </c>
      <c r="D29" s="35">
        <f>'Wing inertia load'!D28</f>
        <v>65</v>
      </c>
      <c r="E29" s="35" t="s">
        <v>1</v>
      </c>
      <c r="H29" s="35" t="s">
        <v>32</v>
      </c>
      <c r="I29" s="35">
        <f>' n-V diagram'!G8</f>
        <v>429900</v>
      </c>
      <c r="J29" s="35" t="s">
        <v>3</v>
      </c>
      <c r="N29" s="275"/>
      <c r="O29" s="275"/>
      <c r="P29" s="275"/>
      <c r="Q29" s="275"/>
      <c r="R29" s="284" t="s">
        <v>104</v>
      </c>
      <c r="S29" s="284"/>
      <c r="T29" s="284"/>
      <c r="W29" s="47"/>
    </row>
    <row r="30" spans="1:23" ht="18.75" customHeight="1">
      <c r="A30" s="286"/>
      <c r="C30" s="35" t="s">
        <v>71</v>
      </c>
      <c r="D30" s="35">
        <f>'Wing inertia load'!D29</f>
        <v>6.38</v>
      </c>
      <c r="E30" s="35" t="s">
        <v>1</v>
      </c>
      <c r="H30" s="35" t="s">
        <v>72</v>
      </c>
      <c r="I30" s="222">
        <v>2.8199000000000001</v>
      </c>
      <c r="J30" s="35"/>
      <c r="N30" s="275"/>
      <c r="O30" s="275"/>
      <c r="P30" s="275"/>
      <c r="Q30" s="275"/>
      <c r="R30" s="284"/>
      <c r="S30" s="284"/>
      <c r="T30" s="284"/>
      <c r="W30" s="47"/>
    </row>
    <row r="31" spans="1:23" ht="18.75" customHeight="1">
      <c r="A31" s="286"/>
      <c r="C31" s="35" t="s">
        <v>0</v>
      </c>
      <c r="D31" s="36">
        <f>(D29-D30)/2</f>
        <v>29.31</v>
      </c>
      <c r="E31" s="35" t="s">
        <v>1</v>
      </c>
      <c r="H31" s="35" t="s">
        <v>73</v>
      </c>
      <c r="I31" s="46">
        <f>I29*I30*9.81</f>
        <v>11892417.848100001</v>
      </c>
      <c r="J31" s="35" t="s">
        <v>74</v>
      </c>
      <c r="K31" s="35" t="s">
        <v>105</v>
      </c>
      <c r="L31" s="36">
        <f>F106*2</f>
        <v>0</v>
      </c>
      <c r="N31" s="275"/>
      <c r="O31" s="275"/>
      <c r="P31" s="275"/>
      <c r="Q31" s="275"/>
      <c r="R31" s="284"/>
      <c r="S31" s="284"/>
      <c r="T31" s="284"/>
      <c r="W31" s="47"/>
    </row>
    <row r="32" spans="1:23" ht="14.5">
      <c r="A32" s="286"/>
      <c r="C32" s="35" t="s">
        <v>2</v>
      </c>
      <c r="D32" s="35">
        <f>'Wing inertia load'!D31</f>
        <v>15709</v>
      </c>
      <c r="E32" s="35" t="s">
        <v>3</v>
      </c>
      <c r="H32" s="35" t="s">
        <v>106</v>
      </c>
      <c r="I32" s="35">
        <f>2*I31/(PI()*I33)</f>
        <v>258305.98237316904</v>
      </c>
      <c r="J32" s="35" t="s">
        <v>95</v>
      </c>
      <c r="K32" s="35" t="s">
        <v>107</v>
      </c>
      <c r="L32" s="36">
        <f>F106</f>
        <v>0</v>
      </c>
      <c r="W32" s="47"/>
    </row>
    <row r="33" spans="1:26" ht="14.5">
      <c r="A33" s="286"/>
      <c r="C33" s="35" t="s">
        <v>4</v>
      </c>
      <c r="D33" s="36">
        <f>'Wing inertia load'!D32</f>
        <v>27.5</v>
      </c>
      <c r="E33" s="35" t="s">
        <v>1</v>
      </c>
      <c r="H33" s="35" t="s">
        <v>108</v>
      </c>
      <c r="I33" s="36">
        <f>D31</f>
        <v>29.31</v>
      </c>
      <c r="J33" s="35" t="s">
        <v>1</v>
      </c>
      <c r="W33" s="47"/>
    </row>
    <row r="34" spans="1:26" ht="14.5">
      <c r="A34" s="286"/>
      <c r="C34" s="35" t="s">
        <v>5</v>
      </c>
      <c r="D34" s="35">
        <f>'Wing inertia load'!D33</f>
        <v>43100</v>
      </c>
      <c r="E34" s="35" t="s">
        <v>6</v>
      </c>
      <c r="W34" s="47"/>
    </row>
    <row r="35" spans="1:26">
      <c r="C35" s="35" t="s">
        <v>7</v>
      </c>
      <c r="D35" s="35">
        <f>'Wing inertia load'!D34</f>
        <v>5.59</v>
      </c>
      <c r="E35" s="35" t="s">
        <v>1</v>
      </c>
      <c r="W35" s="47"/>
    </row>
    <row r="36" spans="1:26">
      <c r="C36" s="35" t="s">
        <v>77</v>
      </c>
      <c r="D36" s="35">
        <f>'Wing inertia load'!D36</f>
        <v>6125</v>
      </c>
      <c r="E36" s="35" t="s">
        <v>3</v>
      </c>
      <c r="W36" s="47"/>
    </row>
    <row r="37" spans="1:26">
      <c r="C37" s="35" t="s">
        <v>109</v>
      </c>
      <c r="D37" s="35">
        <f>'Wing inertia load'!D37</f>
        <v>150</v>
      </c>
      <c r="E37" s="35" t="s">
        <v>6</v>
      </c>
      <c r="W37" s="47"/>
    </row>
    <row r="38" spans="1:26">
      <c r="C38" s="5" t="s">
        <v>320</v>
      </c>
      <c r="D38" s="35">
        <f>'Wing inertia load'!D38</f>
        <v>813</v>
      </c>
      <c r="E38" s="35" t="s">
        <v>85</v>
      </c>
      <c r="W38" s="47"/>
    </row>
    <row r="39" spans="1:26" s="34" customFormat="1" ht="19" thickBot="1">
      <c r="A39" s="200"/>
      <c r="W39" s="48"/>
    </row>
    <row r="40" spans="1:26">
      <c r="W40" s="47"/>
    </row>
    <row r="41" spans="1:26" ht="18.75" customHeight="1">
      <c r="A41" s="154" t="s">
        <v>269</v>
      </c>
      <c r="C41" s="275" t="s">
        <v>87</v>
      </c>
      <c r="D41" s="275"/>
      <c r="E41" s="275"/>
      <c r="F41" s="275"/>
      <c r="G41" s="275"/>
      <c r="H41" s="275"/>
      <c r="W41" s="47"/>
    </row>
    <row r="42" spans="1:26" ht="18.75" customHeight="1">
      <c r="A42" s="251" t="s">
        <v>110</v>
      </c>
      <c r="C42" s="35" t="s">
        <v>88</v>
      </c>
      <c r="D42" s="35" t="s">
        <v>111</v>
      </c>
      <c r="E42" s="35" t="s">
        <v>112</v>
      </c>
      <c r="F42" s="35" t="s">
        <v>92</v>
      </c>
      <c r="G42" s="35" t="s">
        <v>93</v>
      </c>
      <c r="H42" s="35" t="s">
        <v>94</v>
      </c>
      <c r="W42" s="47"/>
    </row>
    <row r="43" spans="1:26" ht="18.75" customHeight="1">
      <c r="A43" s="269"/>
      <c r="C43" s="35" t="s">
        <v>1</v>
      </c>
      <c r="D43" s="35" t="s">
        <v>95</v>
      </c>
      <c r="E43" s="35" t="s">
        <v>74</v>
      </c>
      <c r="F43" s="35" t="s">
        <v>74</v>
      </c>
      <c r="G43" s="35" t="s">
        <v>61</v>
      </c>
      <c r="H43" s="35" t="s">
        <v>61</v>
      </c>
      <c r="W43" s="47"/>
    </row>
    <row r="44" spans="1:26" ht="18.75" customHeight="1">
      <c r="A44" s="269"/>
      <c r="C44" s="38">
        <v>0</v>
      </c>
      <c r="D44" s="38">
        <v>0</v>
      </c>
      <c r="E44" s="38">
        <f>(D45+D44)*(C45-C44)/2</f>
        <v>0</v>
      </c>
      <c r="F44" s="38">
        <f>SUM(E44:$E$103)</f>
        <v>0</v>
      </c>
      <c r="G44" s="38">
        <f>(F45+F44)*(C45-C44)/2</f>
        <v>0</v>
      </c>
      <c r="H44" s="38">
        <f>SUM(G44:$G$103)</f>
        <v>0</v>
      </c>
      <c r="W44" s="47"/>
    </row>
    <row r="45" spans="1:26" ht="18.75" customHeight="1">
      <c r="A45" s="269"/>
      <c r="C45" s="38">
        <v>0.5</v>
      </c>
      <c r="D45" s="38">
        <v>0</v>
      </c>
      <c r="E45" s="38">
        <f t="shared" ref="E45:E103" si="0">(D46+D45)*(C46-C45)/2</f>
        <v>0</v>
      </c>
      <c r="F45" s="38">
        <f>SUM(E45:$E$103)</f>
        <v>0</v>
      </c>
      <c r="G45" s="38">
        <f t="shared" ref="G45:G103" si="1">(F46+F45)*(C46-C45)/2</f>
        <v>0</v>
      </c>
      <c r="H45" s="38">
        <f>SUM(G45:$G$103)</f>
        <v>0</v>
      </c>
      <c r="W45" s="47"/>
      <c r="Y45" s="47">
        <f>'Ground load'!Y45+'Ground load all'!D44</f>
        <v>-3621.3458939250004</v>
      </c>
      <c r="Z45" s="38">
        <f t="shared" ref="Z45:Z102" si="2">(Y46+Y45)*(X46-X45)/2</f>
        <v>0</v>
      </c>
    </row>
    <row r="46" spans="1:26" ht="18.75" customHeight="1">
      <c r="A46" s="269"/>
      <c r="C46" s="38">
        <v>1</v>
      </c>
      <c r="D46" s="38">
        <v>0</v>
      </c>
      <c r="E46" s="38">
        <f t="shared" si="0"/>
        <v>0</v>
      </c>
      <c r="F46" s="38">
        <f>SUM(E46:$E$103)</f>
        <v>0</v>
      </c>
      <c r="G46" s="38">
        <f t="shared" si="1"/>
        <v>0</v>
      </c>
      <c r="H46" s="38">
        <f>SUM(G46:$G$103)</f>
        <v>0</v>
      </c>
      <c r="W46" s="47"/>
      <c r="Y46" s="47">
        <f>'Ground load'!Y46+'Ground load all'!D45</f>
        <v>-3621.3458939250004</v>
      </c>
      <c r="Z46" s="38">
        <f t="shared" si="2"/>
        <v>0</v>
      </c>
    </row>
    <row r="47" spans="1:26" ht="18.75" customHeight="1">
      <c r="A47" s="269"/>
      <c r="C47" s="38">
        <v>1.5</v>
      </c>
      <c r="D47" s="38">
        <v>0</v>
      </c>
      <c r="E47" s="38">
        <f t="shared" si="0"/>
        <v>0</v>
      </c>
      <c r="F47" s="38">
        <f>SUM(E47:$E$103)</f>
        <v>0</v>
      </c>
      <c r="G47" s="38">
        <f t="shared" si="1"/>
        <v>0</v>
      </c>
      <c r="H47" s="38">
        <f>SUM(G47:$G$103)</f>
        <v>0</v>
      </c>
      <c r="W47" s="47"/>
      <c r="Y47" s="47">
        <f>'Ground load'!Y47+'Ground load all'!D46</f>
        <v>-3621.3458939250004</v>
      </c>
      <c r="Z47" s="38">
        <f t="shared" si="2"/>
        <v>0</v>
      </c>
    </row>
    <row r="48" spans="1:26" ht="14.5">
      <c r="A48" s="269"/>
      <c r="C48" s="38">
        <v>2</v>
      </c>
      <c r="D48" s="38">
        <v>0</v>
      </c>
      <c r="E48" s="38">
        <f t="shared" si="0"/>
        <v>0</v>
      </c>
      <c r="F48" s="38">
        <f>SUM(E48:$E$103)</f>
        <v>0</v>
      </c>
      <c r="G48" s="38">
        <f t="shared" si="1"/>
        <v>0</v>
      </c>
      <c r="H48" s="38">
        <f>SUM(G48:$G$103)</f>
        <v>0</v>
      </c>
      <c r="W48" s="47"/>
      <c r="Y48" s="47">
        <f>'Ground load'!Y48+'Ground load all'!D47</f>
        <v>-3621.3458939250004</v>
      </c>
      <c r="Z48" s="38">
        <f t="shared" si="2"/>
        <v>0</v>
      </c>
    </row>
    <row r="49" spans="1:26" ht="14.5">
      <c r="A49" s="269"/>
      <c r="C49" s="38">
        <v>2.5</v>
      </c>
      <c r="D49" s="38">
        <v>0</v>
      </c>
      <c r="E49" s="38">
        <f t="shared" si="0"/>
        <v>0</v>
      </c>
      <c r="F49" s="38">
        <f>SUM(E49:$E$103)</f>
        <v>0</v>
      </c>
      <c r="G49" s="38">
        <f t="shared" si="1"/>
        <v>0</v>
      </c>
      <c r="H49" s="38">
        <f>SUM(G49:$G$103)</f>
        <v>0</v>
      </c>
      <c r="W49" s="47"/>
      <c r="Y49" s="47">
        <f>'Ground load'!Y49+'Ground load all'!D48</f>
        <v>-3621.3458939250004</v>
      </c>
      <c r="Z49" s="38">
        <f t="shared" si="2"/>
        <v>0</v>
      </c>
    </row>
    <row r="50" spans="1:26">
      <c r="C50" s="38">
        <v>3</v>
      </c>
      <c r="D50" s="38">
        <v>0</v>
      </c>
      <c r="E50" s="38">
        <f t="shared" si="0"/>
        <v>0</v>
      </c>
      <c r="F50" s="38">
        <f>SUM(E50:$E$103)</f>
        <v>0</v>
      </c>
      <c r="G50" s="38">
        <f t="shared" si="1"/>
        <v>0</v>
      </c>
      <c r="H50" s="38">
        <f>SUM(G50:$G$103)</f>
        <v>0</v>
      </c>
      <c r="W50" s="47"/>
      <c r="Y50" s="47">
        <f>'Ground load'!Y50+'Ground load all'!D49</f>
        <v>-3621.3458939250004</v>
      </c>
      <c r="Z50" s="38">
        <f t="shared" si="2"/>
        <v>0</v>
      </c>
    </row>
    <row r="51" spans="1:26">
      <c r="C51" s="38">
        <v>3.5</v>
      </c>
      <c r="D51" s="38">
        <v>0</v>
      </c>
      <c r="E51" s="38">
        <f t="shared" si="0"/>
        <v>0</v>
      </c>
      <c r="F51" s="38">
        <f>SUM(E51:$E$103)</f>
        <v>0</v>
      </c>
      <c r="G51" s="38">
        <f t="shared" si="1"/>
        <v>0</v>
      </c>
      <c r="H51" s="38">
        <f>SUM(G51:$G$103)</f>
        <v>0</v>
      </c>
      <c r="W51" s="47"/>
      <c r="Y51" s="47">
        <f>'Ground load'!Y51+'Ground load all'!D50</f>
        <v>-5949830.2699439256</v>
      </c>
      <c r="Z51" s="38">
        <f t="shared" si="2"/>
        <v>0</v>
      </c>
    </row>
    <row r="52" spans="1:26">
      <c r="C52" s="38">
        <v>4</v>
      </c>
      <c r="D52" s="38">
        <v>0</v>
      </c>
      <c r="E52" s="38">
        <f t="shared" si="0"/>
        <v>0</v>
      </c>
      <c r="F52" s="38">
        <f>SUM(E52:$E$103)</f>
        <v>0</v>
      </c>
      <c r="G52" s="38">
        <f t="shared" si="1"/>
        <v>0</v>
      </c>
      <c r="H52" s="38">
        <f>SUM(G52:$G$103)</f>
        <v>0</v>
      </c>
      <c r="W52" s="47"/>
      <c r="Y52" s="47">
        <f>'Ground load'!Y52+'Ground load all'!D51</f>
        <v>-3621.3458939250004</v>
      </c>
      <c r="Z52" s="38">
        <f t="shared" si="2"/>
        <v>0</v>
      </c>
    </row>
    <row r="53" spans="1:26">
      <c r="C53" s="38">
        <v>4.5</v>
      </c>
      <c r="D53" s="38">
        <v>0</v>
      </c>
      <c r="E53" s="38">
        <f t="shared" si="0"/>
        <v>0</v>
      </c>
      <c r="F53" s="38">
        <f>SUM(E53:$E$103)</f>
        <v>0</v>
      </c>
      <c r="G53" s="38">
        <f t="shared" si="1"/>
        <v>0</v>
      </c>
      <c r="H53" s="38">
        <f>SUM(G53:$G$103)</f>
        <v>0</v>
      </c>
      <c r="W53" s="47"/>
      <c r="Y53" s="47">
        <f>'Ground load'!Y53+'Ground load all'!D52</f>
        <v>-3621.3458939250004</v>
      </c>
      <c r="Z53" s="38">
        <f t="shared" si="2"/>
        <v>0</v>
      </c>
    </row>
    <row r="54" spans="1:26">
      <c r="C54" s="38">
        <v>5</v>
      </c>
      <c r="D54" s="38">
        <v>0</v>
      </c>
      <c r="E54" s="38">
        <f t="shared" si="0"/>
        <v>0</v>
      </c>
      <c r="F54" s="38">
        <f>SUM(E54:$E$103)</f>
        <v>0</v>
      </c>
      <c r="G54" s="38">
        <f t="shared" si="1"/>
        <v>0</v>
      </c>
      <c r="H54" s="38">
        <f>SUM(G54:$G$103)</f>
        <v>0</v>
      </c>
      <c r="W54" s="47"/>
      <c r="Y54" s="47">
        <f>'Ground load'!Y54+'Ground load all'!D53</f>
        <v>-3621.3458939250004</v>
      </c>
      <c r="Z54" s="38">
        <f t="shared" si="2"/>
        <v>0</v>
      </c>
    </row>
    <row r="55" spans="1:26">
      <c r="C55" s="38">
        <v>5.5</v>
      </c>
      <c r="D55" s="38">
        <v>0</v>
      </c>
      <c r="E55" s="38">
        <f t="shared" si="0"/>
        <v>0</v>
      </c>
      <c r="F55" s="38">
        <f>SUM(E55:$E$103)</f>
        <v>0</v>
      </c>
      <c r="G55" s="38">
        <f t="shared" si="1"/>
        <v>0</v>
      </c>
      <c r="H55" s="38">
        <f>SUM(G55:$G$103)</f>
        <v>0</v>
      </c>
      <c r="W55" s="47"/>
      <c r="Y55" s="47">
        <f>'Ground load'!Y55+'Ground load all'!D54</f>
        <v>-3621.3458939250004</v>
      </c>
      <c r="Z55" s="38">
        <f t="shared" si="2"/>
        <v>0</v>
      </c>
    </row>
    <row r="56" spans="1:26">
      <c r="C56" s="38">
        <v>6</v>
      </c>
      <c r="D56" s="38">
        <v>0</v>
      </c>
      <c r="E56" s="38">
        <f t="shared" si="0"/>
        <v>0</v>
      </c>
      <c r="F56" s="38">
        <f>SUM(E56:$E$103)</f>
        <v>0</v>
      </c>
      <c r="G56" s="38">
        <f t="shared" si="1"/>
        <v>0</v>
      </c>
      <c r="H56" s="38">
        <f>SUM(G56:$G$103)</f>
        <v>0</v>
      </c>
      <c r="W56" s="47"/>
      <c r="Y56" s="47">
        <f>'Ground load'!Y56+'Ground load all'!D55</f>
        <v>-173058.56226892502</v>
      </c>
      <c r="Z56" s="38">
        <f t="shared" si="2"/>
        <v>0</v>
      </c>
    </row>
    <row r="57" spans="1:26">
      <c r="C57" s="38">
        <v>6.5</v>
      </c>
      <c r="D57" s="38">
        <v>0</v>
      </c>
      <c r="E57" s="38">
        <f t="shared" si="0"/>
        <v>0</v>
      </c>
      <c r="F57" s="38">
        <f>SUM(E57:$E$103)</f>
        <v>0</v>
      </c>
      <c r="G57" s="38">
        <f t="shared" si="1"/>
        <v>0</v>
      </c>
      <c r="H57" s="38">
        <f>SUM(G57:$G$103)</f>
        <v>0</v>
      </c>
      <c r="W57" s="47"/>
      <c r="Y57" s="47">
        <f>'Ground load'!Y57+'Ground load all'!D56</f>
        <v>-3621.3458939250004</v>
      </c>
      <c r="Z57" s="38">
        <f t="shared" si="2"/>
        <v>0</v>
      </c>
    </row>
    <row r="58" spans="1:26">
      <c r="C58" s="38">
        <v>7</v>
      </c>
      <c r="D58" s="38">
        <v>0</v>
      </c>
      <c r="E58" s="38">
        <f t="shared" si="0"/>
        <v>0</v>
      </c>
      <c r="F58" s="38">
        <f>SUM(E58:$E$103)</f>
        <v>0</v>
      </c>
      <c r="G58" s="38">
        <f t="shared" si="1"/>
        <v>0</v>
      </c>
      <c r="H58" s="38">
        <f>SUM(G58:$G$103)</f>
        <v>0</v>
      </c>
      <c r="W58" s="47"/>
      <c r="Y58" s="47">
        <f>'Ground load'!Y58+'Ground load all'!D57</f>
        <v>-3621.3458939250004</v>
      </c>
      <c r="Z58" s="38">
        <f t="shared" si="2"/>
        <v>0</v>
      </c>
    </row>
    <row r="59" spans="1:26">
      <c r="C59" s="38">
        <v>7.5</v>
      </c>
      <c r="D59" s="38">
        <v>0</v>
      </c>
      <c r="E59" s="38">
        <f t="shared" si="0"/>
        <v>0</v>
      </c>
      <c r="F59" s="38">
        <f>SUM(E59:$E$103)</f>
        <v>0</v>
      </c>
      <c r="G59" s="38">
        <f t="shared" si="1"/>
        <v>0</v>
      </c>
      <c r="H59" s="38">
        <f>SUM(G59:$G$103)</f>
        <v>0</v>
      </c>
      <c r="Y59" s="47">
        <f>'Ground load'!Y59+'Ground load all'!D58</f>
        <v>-3621.3458939250004</v>
      </c>
      <c r="Z59" s="38">
        <f t="shared" si="2"/>
        <v>0</v>
      </c>
    </row>
    <row r="60" spans="1:26">
      <c r="C60" s="38">
        <v>8</v>
      </c>
      <c r="D60" s="38">
        <v>0</v>
      </c>
      <c r="E60" s="38">
        <f t="shared" si="0"/>
        <v>0</v>
      </c>
      <c r="F60" s="38">
        <f>SUM(E60:$E$103)</f>
        <v>0</v>
      </c>
      <c r="G60" s="38">
        <f t="shared" si="1"/>
        <v>0</v>
      </c>
      <c r="H60" s="38">
        <f>SUM(G60:$G$103)</f>
        <v>0</v>
      </c>
      <c r="Y60" s="47">
        <f>'Ground load'!Y60+'Ground load all'!D59</f>
        <v>-3621.3458939250004</v>
      </c>
      <c r="Z60" s="38">
        <f t="shared" si="2"/>
        <v>0</v>
      </c>
    </row>
    <row r="61" spans="1:26">
      <c r="C61" s="38">
        <v>8.5</v>
      </c>
      <c r="D61" s="38">
        <v>0</v>
      </c>
      <c r="E61" s="38">
        <f t="shared" si="0"/>
        <v>0</v>
      </c>
      <c r="F61" s="38">
        <f>SUM(E61:$E$103)</f>
        <v>0</v>
      </c>
      <c r="G61" s="38">
        <f t="shared" si="1"/>
        <v>0</v>
      </c>
      <c r="H61" s="38">
        <f>SUM(G61:$G$103)</f>
        <v>0</v>
      </c>
      <c r="Y61" s="47">
        <f>'Ground load'!Y61+'Ground load all'!D60</f>
        <v>-3621.3458939250004</v>
      </c>
      <c r="Z61" s="38">
        <f t="shared" si="2"/>
        <v>0</v>
      </c>
    </row>
    <row r="62" spans="1:26">
      <c r="C62" s="38">
        <v>9</v>
      </c>
      <c r="D62" s="38">
        <v>0</v>
      </c>
      <c r="E62" s="38">
        <f t="shared" si="0"/>
        <v>0</v>
      </c>
      <c r="F62" s="38">
        <f>SUM(E62:$E$103)</f>
        <v>0</v>
      </c>
      <c r="G62" s="38">
        <f t="shared" si="1"/>
        <v>0</v>
      </c>
      <c r="H62" s="38">
        <f>SUM(G62:$G$103)</f>
        <v>0</v>
      </c>
      <c r="Y62" s="47">
        <f>'Ground load'!Y62+'Ground load all'!D61</f>
        <v>-3621.3458939250004</v>
      </c>
      <c r="Z62" s="38">
        <f t="shared" si="2"/>
        <v>0</v>
      </c>
    </row>
    <row r="63" spans="1:26">
      <c r="C63" s="38">
        <v>9.5</v>
      </c>
      <c r="D63" s="38">
        <v>0</v>
      </c>
      <c r="E63" s="38">
        <f t="shared" si="0"/>
        <v>0</v>
      </c>
      <c r="F63" s="38">
        <f>SUM(E63:$E$103)</f>
        <v>0</v>
      </c>
      <c r="G63" s="38">
        <f t="shared" si="1"/>
        <v>0</v>
      </c>
      <c r="H63" s="38">
        <f>SUM(G63:$G$103)</f>
        <v>0</v>
      </c>
      <c r="Y63" s="47">
        <f>'Ground load'!Y63+'Ground load all'!D62</f>
        <v>-3621.3458939250004</v>
      </c>
      <c r="Z63" s="38">
        <f t="shared" si="2"/>
        <v>0</v>
      </c>
    </row>
    <row r="64" spans="1:26">
      <c r="C64" s="38">
        <v>10</v>
      </c>
      <c r="D64" s="38">
        <v>0</v>
      </c>
      <c r="E64" s="38">
        <f t="shared" si="0"/>
        <v>0</v>
      </c>
      <c r="F64" s="38">
        <f>SUM(E64:$E$103)</f>
        <v>0</v>
      </c>
      <c r="G64" s="38">
        <f t="shared" si="1"/>
        <v>0</v>
      </c>
      <c r="H64" s="38">
        <f>SUM(G64:$G$103)</f>
        <v>0</v>
      </c>
      <c r="Y64" s="47">
        <f>'Ground load'!Y64+'Ground load all'!D63</f>
        <v>-3621.3458939250004</v>
      </c>
      <c r="Z64" s="38">
        <f t="shared" si="2"/>
        <v>0</v>
      </c>
    </row>
    <row r="65" spans="3:26">
      <c r="C65" s="38">
        <v>10.5</v>
      </c>
      <c r="D65" s="38">
        <v>0</v>
      </c>
      <c r="E65" s="38">
        <f t="shared" si="0"/>
        <v>0</v>
      </c>
      <c r="F65" s="38">
        <f>SUM(E65:$E$103)</f>
        <v>0</v>
      </c>
      <c r="G65" s="38">
        <f t="shared" si="1"/>
        <v>0</v>
      </c>
      <c r="H65" s="38">
        <f>SUM(G65:$G$103)</f>
        <v>0</v>
      </c>
      <c r="Y65" s="47">
        <f>'Ground load'!Y65+'Ground load all'!D64</f>
        <v>-3621.3458939250004</v>
      </c>
      <c r="Z65" s="38">
        <f t="shared" si="2"/>
        <v>0</v>
      </c>
    </row>
    <row r="66" spans="3:26">
      <c r="C66" s="38">
        <v>11</v>
      </c>
      <c r="D66" s="38">
        <v>0</v>
      </c>
      <c r="E66" s="38">
        <f t="shared" si="0"/>
        <v>0</v>
      </c>
      <c r="F66" s="38">
        <f>SUM(E66:$E$103)</f>
        <v>0</v>
      </c>
      <c r="G66" s="38">
        <f t="shared" si="1"/>
        <v>0</v>
      </c>
      <c r="H66" s="38">
        <f>SUM(G66:$G$103)</f>
        <v>0</v>
      </c>
      <c r="Y66" s="47">
        <f>'Ground load'!Y66+'Ground load all'!D65</f>
        <v>-3621.3458939250004</v>
      </c>
      <c r="Z66" s="38">
        <f t="shared" si="2"/>
        <v>0</v>
      </c>
    </row>
    <row r="67" spans="3:26">
      <c r="C67" s="38">
        <v>11.5</v>
      </c>
      <c r="D67" s="38">
        <v>0</v>
      </c>
      <c r="E67" s="38">
        <f t="shared" si="0"/>
        <v>0</v>
      </c>
      <c r="F67" s="38">
        <f>SUM(E67:$E$103)</f>
        <v>0</v>
      </c>
      <c r="G67" s="38">
        <f t="shared" si="1"/>
        <v>0</v>
      </c>
      <c r="H67" s="38">
        <f>SUM(G67:$G$103)</f>
        <v>0</v>
      </c>
      <c r="Y67" s="47">
        <f>'Ground load'!Y67+'Ground load all'!D66</f>
        <v>-3621.3458939250004</v>
      </c>
      <c r="Z67" s="38">
        <f t="shared" si="2"/>
        <v>0</v>
      </c>
    </row>
    <row r="68" spans="3:26">
      <c r="C68" s="38">
        <v>12</v>
      </c>
      <c r="D68" s="38">
        <v>0</v>
      </c>
      <c r="E68" s="38">
        <f t="shared" si="0"/>
        <v>0</v>
      </c>
      <c r="F68" s="38">
        <f>SUM(E68:$E$103)</f>
        <v>0</v>
      </c>
      <c r="G68" s="38">
        <f t="shared" si="1"/>
        <v>0</v>
      </c>
      <c r="H68" s="38">
        <f>SUM(G68:$G$103)</f>
        <v>0</v>
      </c>
      <c r="Y68" s="47">
        <f>'Ground load'!Y68+'Ground load all'!D67</f>
        <v>-3621.3458939250004</v>
      </c>
      <c r="Z68" s="38">
        <f t="shared" si="2"/>
        <v>0</v>
      </c>
    </row>
    <row r="69" spans="3:26">
      <c r="C69" s="38">
        <v>12.5</v>
      </c>
      <c r="D69" s="38">
        <v>0</v>
      </c>
      <c r="E69" s="38">
        <f t="shared" si="0"/>
        <v>0</v>
      </c>
      <c r="F69" s="38">
        <f>SUM(E69:$E$103)</f>
        <v>0</v>
      </c>
      <c r="G69" s="38">
        <f t="shared" si="1"/>
        <v>0</v>
      </c>
      <c r="H69" s="38">
        <f>SUM(G69:$G$103)</f>
        <v>0</v>
      </c>
      <c r="Y69" s="47">
        <f>'Ground load'!Y69+'Ground load all'!D68</f>
        <v>-3621.3458939250004</v>
      </c>
      <c r="Z69" s="38">
        <f t="shared" si="2"/>
        <v>0</v>
      </c>
    </row>
    <row r="70" spans="3:26">
      <c r="C70" s="38">
        <v>13</v>
      </c>
      <c r="D70" s="38">
        <v>0</v>
      </c>
      <c r="E70" s="38">
        <f t="shared" si="0"/>
        <v>0</v>
      </c>
      <c r="F70" s="38">
        <f>SUM(E70:$E$103)</f>
        <v>0</v>
      </c>
      <c r="G70" s="38">
        <f t="shared" si="1"/>
        <v>0</v>
      </c>
      <c r="H70" s="38">
        <f>SUM(G70:$G$103)</f>
        <v>0</v>
      </c>
      <c r="Y70" s="47">
        <f>'Ground load'!Y70+'Ground load all'!D69</f>
        <v>-3621.3458939250004</v>
      </c>
      <c r="Z70" s="38">
        <f t="shared" si="2"/>
        <v>0</v>
      </c>
    </row>
    <row r="71" spans="3:26">
      <c r="C71" s="38">
        <v>13.5</v>
      </c>
      <c r="D71" s="38">
        <v>0</v>
      </c>
      <c r="E71" s="38">
        <f t="shared" si="0"/>
        <v>0</v>
      </c>
      <c r="F71" s="38">
        <f>SUM(E71:$E$103)</f>
        <v>0</v>
      </c>
      <c r="G71" s="38">
        <f t="shared" si="1"/>
        <v>0</v>
      </c>
      <c r="H71" s="38">
        <f>SUM(G71:$G$103)</f>
        <v>0</v>
      </c>
      <c r="Y71" s="47">
        <f>'Ground load'!Y71+'Ground load all'!D70</f>
        <v>-3621.3458939250004</v>
      </c>
      <c r="Z71" s="38">
        <f t="shared" si="2"/>
        <v>0</v>
      </c>
    </row>
    <row r="72" spans="3:26">
      <c r="C72" s="38">
        <v>14</v>
      </c>
      <c r="D72" s="38">
        <v>0</v>
      </c>
      <c r="E72" s="38">
        <f t="shared" si="0"/>
        <v>0</v>
      </c>
      <c r="F72" s="38">
        <f>SUM(E72:$E$103)</f>
        <v>0</v>
      </c>
      <c r="G72" s="38">
        <f t="shared" si="1"/>
        <v>0</v>
      </c>
      <c r="H72" s="38">
        <f>SUM(G72:$G$103)</f>
        <v>0</v>
      </c>
      <c r="Y72" s="47">
        <f>'Ground load'!Y72+'Ground load all'!D71</f>
        <v>-3621.3458939250004</v>
      </c>
      <c r="Z72" s="38">
        <f t="shared" si="2"/>
        <v>0</v>
      </c>
    </row>
    <row r="73" spans="3:26">
      <c r="C73" s="38">
        <v>14.5</v>
      </c>
      <c r="D73" s="38">
        <v>0</v>
      </c>
      <c r="E73" s="38">
        <f t="shared" si="0"/>
        <v>0</v>
      </c>
      <c r="F73" s="38">
        <f>SUM(E73:$E$103)</f>
        <v>0</v>
      </c>
      <c r="G73" s="38">
        <f t="shared" si="1"/>
        <v>0</v>
      </c>
      <c r="H73" s="38">
        <f>SUM(G73:$G$103)</f>
        <v>0</v>
      </c>
      <c r="Y73" s="47">
        <f>'Ground load'!Y73+'Ground load all'!D72</f>
        <v>-3621.3458939250004</v>
      </c>
      <c r="Z73" s="38">
        <f t="shared" si="2"/>
        <v>0</v>
      </c>
    </row>
    <row r="74" spans="3:26">
      <c r="C74" s="38">
        <v>15</v>
      </c>
      <c r="D74" s="38">
        <v>0</v>
      </c>
      <c r="E74" s="38">
        <f t="shared" si="0"/>
        <v>0</v>
      </c>
      <c r="F74" s="38">
        <f>SUM(E74:$E$103)</f>
        <v>0</v>
      </c>
      <c r="G74" s="38">
        <f t="shared" si="1"/>
        <v>0</v>
      </c>
      <c r="H74" s="38">
        <f>SUM(G74:$G$103)</f>
        <v>0</v>
      </c>
      <c r="Y74" s="47">
        <f>'Ground load'!Y74+'Ground load all'!D73</f>
        <v>-3621.3458939250004</v>
      </c>
      <c r="Z74" s="38">
        <f t="shared" si="2"/>
        <v>0</v>
      </c>
    </row>
    <row r="75" spans="3:26">
      <c r="C75" s="38">
        <v>15.5</v>
      </c>
      <c r="D75" s="38">
        <v>0</v>
      </c>
      <c r="E75" s="38">
        <f t="shared" si="0"/>
        <v>0</v>
      </c>
      <c r="F75" s="38">
        <f>SUM(E75:$E$103)</f>
        <v>0</v>
      </c>
      <c r="G75" s="38">
        <f t="shared" si="1"/>
        <v>0</v>
      </c>
      <c r="H75" s="38">
        <f>SUM(G75:$G$103)</f>
        <v>0</v>
      </c>
      <c r="Y75" s="47">
        <f>'Ground load'!Y75+'Ground load all'!D74</f>
        <v>-3621.3458939250004</v>
      </c>
      <c r="Z75" s="38">
        <f t="shared" si="2"/>
        <v>0</v>
      </c>
    </row>
    <row r="76" spans="3:26">
      <c r="C76" s="38">
        <v>16</v>
      </c>
      <c r="D76" s="38">
        <v>0</v>
      </c>
      <c r="E76" s="38">
        <f t="shared" si="0"/>
        <v>0</v>
      </c>
      <c r="F76" s="38">
        <f>SUM(E76:$E$103)</f>
        <v>0</v>
      </c>
      <c r="G76" s="38">
        <f t="shared" si="1"/>
        <v>0</v>
      </c>
      <c r="H76" s="38">
        <f>SUM(G76:$G$103)</f>
        <v>0</v>
      </c>
      <c r="Y76" s="47">
        <f>'Ground load'!Y76+'Ground load all'!D75</f>
        <v>-3621.3458939250004</v>
      </c>
      <c r="Z76" s="38">
        <f t="shared" si="2"/>
        <v>0</v>
      </c>
    </row>
    <row r="77" spans="3:26">
      <c r="C77" s="38">
        <v>16.5</v>
      </c>
      <c r="D77" s="38">
        <v>0</v>
      </c>
      <c r="E77" s="38">
        <f t="shared" si="0"/>
        <v>0</v>
      </c>
      <c r="F77" s="38">
        <f>SUM(E77:$E$103)</f>
        <v>0</v>
      </c>
      <c r="G77" s="38">
        <f t="shared" si="1"/>
        <v>0</v>
      </c>
      <c r="H77" s="38">
        <f>SUM(G77:$G$103)</f>
        <v>0</v>
      </c>
      <c r="Y77" s="47">
        <f>'Ground load'!Y77+'Ground load all'!D76</f>
        <v>-3621.3458939250004</v>
      </c>
      <c r="Z77" s="38">
        <f t="shared" si="2"/>
        <v>0</v>
      </c>
    </row>
    <row r="78" spans="3:26">
      <c r="C78" s="38">
        <v>17</v>
      </c>
      <c r="D78" s="38">
        <v>0</v>
      </c>
      <c r="E78" s="38">
        <f t="shared" si="0"/>
        <v>0</v>
      </c>
      <c r="F78" s="38">
        <f>SUM(E78:$E$103)</f>
        <v>0</v>
      </c>
      <c r="G78" s="38">
        <f t="shared" si="1"/>
        <v>0</v>
      </c>
      <c r="H78" s="38">
        <f>SUM(G78:$G$103)</f>
        <v>0</v>
      </c>
      <c r="Y78" s="47">
        <f>'Ground load'!Y78+'Ground load all'!D77</f>
        <v>-3621.3458939250004</v>
      </c>
      <c r="Z78" s="38">
        <f t="shared" si="2"/>
        <v>0</v>
      </c>
    </row>
    <row r="79" spans="3:26">
      <c r="C79" s="38">
        <v>17.5</v>
      </c>
      <c r="D79" s="38">
        <v>0</v>
      </c>
      <c r="E79" s="38">
        <f t="shared" si="0"/>
        <v>0</v>
      </c>
      <c r="F79" s="38">
        <f>SUM(E79:$E$103)</f>
        <v>0</v>
      </c>
      <c r="G79" s="38">
        <f t="shared" si="1"/>
        <v>0</v>
      </c>
      <c r="H79" s="38">
        <f>SUM(G79:$G$103)</f>
        <v>0</v>
      </c>
      <c r="Y79" s="47">
        <f>'Ground load'!Y79+'Ground load all'!D78</f>
        <v>-173058.56226892502</v>
      </c>
      <c r="Z79" s="38">
        <f t="shared" si="2"/>
        <v>0</v>
      </c>
    </row>
    <row r="80" spans="3:26">
      <c r="C80" s="38">
        <v>18</v>
      </c>
      <c r="D80" s="38">
        <v>0</v>
      </c>
      <c r="E80" s="38">
        <f t="shared" si="0"/>
        <v>0</v>
      </c>
      <c r="F80" s="38">
        <f>SUM(E80:$E$103)</f>
        <v>0</v>
      </c>
      <c r="G80" s="38">
        <f t="shared" si="1"/>
        <v>0</v>
      </c>
      <c r="H80" s="38">
        <f>SUM(G80:$G$103)</f>
        <v>0</v>
      </c>
      <c r="Y80" s="47">
        <f>'Ground load'!Y80+'Ground load all'!D79</f>
        <v>-3621.3458939250004</v>
      </c>
      <c r="Z80" s="38">
        <f t="shared" si="2"/>
        <v>0</v>
      </c>
    </row>
    <row r="81" spans="1:26">
      <c r="C81" s="38">
        <v>18.5</v>
      </c>
      <c r="D81" s="38">
        <v>0</v>
      </c>
      <c r="E81" s="38">
        <f t="shared" si="0"/>
        <v>0</v>
      </c>
      <c r="F81" s="38">
        <f>SUM(E81:$E$103)</f>
        <v>0</v>
      </c>
      <c r="G81" s="38">
        <f t="shared" si="1"/>
        <v>0</v>
      </c>
      <c r="H81" s="38">
        <f>SUM(G81:$G$103)</f>
        <v>0</v>
      </c>
      <c r="Y81" s="47">
        <f>'Ground load'!Y81+'Ground load all'!D80</f>
        <v>-3621.3458939250004</v>
      </c>
      <c r="Z81" s="38">
        <f t="shared" si="2"/>
        <v>0</v>
      </c>
    </row>
    <row r="82" spans="1:26">
      <c r="C82" s="38">
        <v>19</v>
      </c>
      <c r="D82" s="38">
        <v>0</v>
      </c>
      <c r="E82" s="38">
        <f t="shared" si="0"/>
        <v>0</v>
      </c>
      <c r="F82" s="38">
        <f>SUM(E82:$E$103)</f>
        <v>0</v>
      </c>
      <c r="G82" s="38">
        <f t="shared" si="1"/>
        <v>0</v>
      </c>
      <c r="H82" s="38">
        <f>SUM(G82:$G$103)</f>
        <v>0</v>
      </c>
      <c r="Y82" s="47">
        <f>'Ground load'!Y82+'Ground load all'!D81</f>
        <v>-3621.3458939250004</v>
      </c>
      <c r="Z82" s="38">
        <f t="shared" si="2"/>
        <v>0</v>
      </c>
    </row>
    <row r="83" spans="1:26">
      <c r="C83" s="38">
        <v>19.5</v>
      </c>
      <c r="D83" s="38">
        <v>0</v>
      </c>
      <c r="E83" s="38">
        <f t="shared" si="0"/>
        <v>0</v>
      </c>
      <c r="F83" s="38">
        <f>SUM(E83:$E$103)</f>
        <v>0</v>
      </c>
      <c r="G83" s="38">
        <f t="shared" si="1"/>
        <v>0</v>
      </c>
      <c r="H83" s="38">
        <f>SUM(G83:$G$103)</f>
        <v>0</v>
      </c>
      <c r="Y83" s="47">
        <f>'Ground load'!Y83+'Ground load all'!D82</f>
        <v>-3621.3458939250004</v>
      </c>
      <c r="Z83" s="38">
        <f t="shared" si="2"/>
        <v>0</v>
      </c>
    </row>
    <row r="84" spans="1:26">
      <c r="C84" s="38">
        <v>20</v>
      </c>
      <c r="D84" s="38">
        <v>0</v>
      </c>
      <c r="E84" s="38">
        <f t="shared" si="0"/>
        <v>0</v>
      </c>
      <c r="F84" s="38">
        <f>SUM(E84:$E$103)</f>
        <v>0</v>
      </c>
      <c r="G84" s="38">
        <f t="shared" si="1"/>
        <v>0</v>
      </c>
      <c r="H84" s="38">
        <f>SUM(G84:$G$103)</f>
        <v>0</v>
      </c>
      <c r="Y84" s="47">
        <f>'Ground load'!Y84+'Ground load all'!D83</f>
        <v>-3621.3458939250004</v>
      </c>
      <c r="Z84" s="38">
        <f t="shared" si="2"/>
        <v>0</v>
      </c>
    </row>
    <row r="85" spans="1:26">
      <c r="C85" s="38">
        <v>20.5</v>
      </c>
      <c r="D85" s="38">
        <v>0</v>
      </c>
      <c r="E85" s="38">
        <f t="shared" si="0"/>
        <v>0</v>
      </c>
      <c r="F85" s="38">
        <f>SUM(E85:$E$103)</f>
        <v>0</v>
      </c>
      <c r="G85" s="38">
        <f t="shared" si="1"/>
        <v>0</v>
      </c>
      <c r="H85" s="38">
        <f>SUM(G85:$G$103)</f>
        <v>0</v>
      </c>
      <c r="Y85" s="47">
        <f>'Ground load'!Y85+'Ground load all'!D84</f>
        <v>-3621.3458939250004</v>
      </c>
      <c r="Z85" s="38">
        <f t="shared" si="2"/>
        <v>0</v>
      </c>
    </row>
    <row r="86" spans="1:26">
      <c r="C86" s="38">
        <v>21</v>
      </c>
      <c r="D86" s="38">
        <v>0</v>
      </c>
      <c r="E86" s="38">
        <f t="shared" si="0"/>
        <v>0</v>
      </c>
      <c r="F86" s="38">
        <f>SUM(E86:$E$103)</f>
        <v>0</v>
      </c>
      <c r="G86" s="38">
        <f t="shared" si="1"/>
        <v>0</v>
      </c>
      <c r="H86" s="38">
        <f>SUM(G86:$G$103)</f>
        <v>0</v>
      </c>
      <c r="Y86" s="47">
        <f>'Ground load'!Y86+'Ground load all'!D85</f>
        <v>-3621.3458939250004</v>
      </c>
      <c r="Z86" s="38">
        <f t="shared" si="2"/>
        <v>0</v>
      </c>
    </row>
    <row r="87" spans="1:26">
      <c r="C87" s="38">
        <v>21.5</v>
      </c>
      <c r="D87" s="38">
        <v>0</v>
      </c>
      <c r="E87" s="38">
        <f t="shared" si="0"/>
        <v>0</v>
      </c>
      <c r="F87" s="38">
        <f>SUM(E87:$E$103)</f>
        <v>0</v>
      </c>
      <c r="G87" s="38">
        <f t="shared" si="1"/>
        <v>0</v>
      </c>
      <c r="H87" s="38">
        <f>SUM(G87:$G$103)</f>
        <v>0</v>
      </c>
      <c r="Y87" s="47">
        <f>'Ground load'!Y87+'Ground load all'!D86</f>
        <v>-3621.3458939250004</v>
      </c>
      <c r="Z87" s="38">
        <f t="shared" si="2"/>
        <v>0</v>
      </c>
    </row>
    <row r="88" spans="1:26">
      <c r="C88" s="38">
        <v>22</v>
      </c>
      <c r="D88" s="38">
        <v>0</v>
      </c>
      <c r="E88" s="38">
        <f t="shared" si="0"/>
        <v>0</v>
      </c>
      <c r="F88" s="38">
        <f>SUM(E88:$E$103)</f>
        <v>0</v>
      </c>
      <c r="G88" s="38">
        <f t="shared" si="1"/>
        <v>0</v>
      </c>
      <c r="H88" s="38">
        <f>SUM(G88:$G$103)</f>
        <v>0</v>
      </c>
      <c r="Y88" s="47">
        <f>'Ground load'!Y88+'Ground load all'!D87</f>
        <v>-3621.3458939250004</v>
      </c>
      <c r="Z88" s="38">
        <f t="shared" si="2"/>
        <v>0</v>
      </c>
    </row>
    <row r="89" spans="1:26" s="34" customFormat="1" ht="19" thickBot="1">
      <c r="A89" s="29"/>
      <c r="C89" s="38">
        <v>22.5</v>
      </c>
      <c r="D89" s="38">
        <v>0</v>
      </c>
      <c r="E89" s="38">
        <f t="shared" si="0"/>
        <v>0</v>
      </c>
      <c r="F89" s="38">
        <f>SUM(E89:$E$103)</f>
        <v>0</v>
      </c>
      <c r="G89" s="38">
        <f t="shared" si="1"/>
        <v>0</v>
      </c>
      <c r="H89" s="38">
        <f>SUM(G89:$G$103)</f>
        <v>0</v>
      </c>
      <c r="Y89" s="47">
        <f>'Ground load'!Y89+'Ground load all'!D88</f>
        <v>-3621.3458939250004</v>
      </c>
      <c r="Z89" s="38">
        <f t="shared" si="2"/>
        <v>0</v>
      </c>
    </row>
    <row r="90" spans="1:26">
      <c r="C90" s="38">
        <v>23</v>
      </c>
      <c r="D90" s="38">
        <v>0</v>
      </c>
      <c r="E90" s="38">
        <f t="shared" si="0"/>
        <v>0</v>
      </c>
      <c r="F90" s="38">
        <f>SUM(E90:$E$103)</f>
        <v>0</v>
      </c>
      <c r="G90" s="38">
        <f t="shared" si="1"/>
        <v>0</v>
      </c>
      <c r="H90" s="38">
        <f>SUM(G90:$G$103)</f>
        <v>0</v>
      </c>
      <c r="Y90" s="47">
        <f>'Ground load'!Y90+'Ground load all'!D89</f>
        <v>-3621.3458939250004</v>
      </c>
      <c r="Z90" s="38">
        <f t="shared" si="2"/>
        <v>0</v>
      </c>
    </row>
    <row r="91" spans="1:26" ht="18.75" customHeight="1">
      <c r="C91" s="38">
        <v>23.5</v>
      </c>
      <c r="D91" s="38">
        <v>0</v>
      </c>
      <c r="E91" s="38">
        <f t="shared" si="0"/>
        <v>0</v>
      </c>
      <c r="F91" s="38">
        <f>SUM(E91:$E$103)</f>
        <v>0</v>
      </c>
      <c r="G91" s="38">
        <f t="shared" si="1"/>
        <v>0</v>
      </c>
      <c r="H91" s="38">
        <f>SUM(G91:$G$103)</f>
        <v>0</v>
      </c>
      <c r="Y91" s="47">
        <f>'Ground load'!Y91+'Ground load all'!D90</f>
        <v>-3621.3458939250004</v>
      </c>
      <c r="Z91" s="38">
        <f t="shared" si="2"/>
        <v>0</v>
      </c>
    </row>
    <row r="92" spans="1:26" ht="18.75" customHeight="1">
      <c r="C92" s="38">
        <v>24</v>
      </c>
      <c r="D92" s="38">
        <v>0</v>
      </c>
      <c r="E92" s="38">
        <f t="shared" si="0"/>
        <v>0</v>
      </c>
      <c r="F92" s="38">
        <f>SUM(E92:$E$103)</f>
        <v>0</v>
      </c>
      <c r="G92" s="38">
        <f t="shared" si="1"/>
        <v>0</v>
      </c>
      <c r="H92" s="38">
        <f>SUM(G92:$G$103)</f>
        <v>0</v>
      </c>
      <c r="Y92" s="47">
        <f>'Ground load'!Y92+'Ground load all'!D91</f>
        <v>-3621.3458939250004</v>
      </c>
      <c r="Z92" s="38">
        <f t="shared" si="2"/>
        <v>0</v>
      </c>
    </row>
    <row r="93" spans="1:26" ht="18.75" customHeight="1">
      <c r="C93" s="38">
        <v>24.5</v>
      </c>
      <c r="D93" s="38">
        <v>0</v>
      </c>
      <c r="E93" s="38">
        <f t="shared" si="0"/>
        <v>0</v>
      </c>
      <c r="F93" s="38">
        <f>SUM(E93:$E$103)</f>
        <v>0</v>
      </c>
      <c r="G93" s="38">
        <f t="shared" si="1"/>
        <v>0</v>
      </c>
      <c r="H93" s="38">
        <f>SUM(G93:$G$103)</f>
        <v>0</v>
      </c>
      <c r="Y93" s="47">
        <f>'Ground load'!Y93+'Ground load all'!D92</f>
        <v>-3621.3458939250004</v>
      </c>
      <c r="Z93" s="38">
        <f t="shared" si="2"/>
        <v>0</v>
      </c>
    </row>
    <row r="94" spans="1:26" ht="18.75" customHeight="1">
      <c r="C94" s="38">
        <v>25</v>
      </c>
      <c r="D94" s="38">
        <v>0</v>
      </c>
      <c r="E94" s="38">
        <f t="shared" si="0"/>
        <v>0</v>
      </c>
      <c r="F94" s="38">
        <f>SUM(E94:$E$103)</f>
        <v>0</v>
      </c>
      <c r="G94" s="38">
        <f t="shared" si="1"/>
        <v>0</v>
      </c>
      <c r="H94" s="38">
        <f>SUM(G94:$G$103)</f>
        <v>0</v>
      </c>
      <c r="Y94" s="47">
        <f>'Ground load'!Y94+'Ground load all'!D93</f>
        <v>-3621.3458939250004</v>
      </c>
      <c r="Z94" s="38">
        <f t="shared" si="2"/>
        <v>0</v>
      </c>
    </row>
    <row r="95" spans="1:26" ht="18.75" customHeight="1">
      <c r="C95" s="38">
        <v>25.5</v>
      </c>
      <c r="D95" s="38">
        <v>0</v>
      </c>
      <c r="E95" s="38">
        <f t="shared" si="0"/>
        <v>0</v>
      </c>
      <c r="F95" s="38">
        <f>SUM(E95:$E$103)</f>
        <v>0</v>
      </c>
      <c r="G95" s="38">
        <f t="shared" si="1"/>
        <v>0</v>
      </c>
      <c r="H95" s="38">
        <f>SUM(G95:$G$103)</f>
        <v>0</v>
      </c>
      <c r="Y95" s="47">
        <f>'Ground load'!Y95+'Ground load all'!D94</f>
        <v>-3621.3458939250004</v>
      </c>
      <c r="Z95" s="38">
        <f t="shared" si="2"/>
        <v>0</v>
      </c>
    </row>
    <row r="96" spans="1:26" ht="18.75" customHeight="1">
      <c r="C96" s="38">
        <v>26</v>
      </c>
      <c r="D96" s="38">
        <v>0</v>
      </c>
      <c r="E96" s="38">
        <f t="shared" si="0"/>
        <v>0</v>
      </c>
      <c r="F96" s="38">
        <f>SUM(E96:$E$103)</f>
        <v>0</v>
      </c>
      <c r="G96" s="38">
        <f t="shared" si="1"/>
        <v>0</v>
      </c>
      <c r="H96" s="38">
        <f>SUM(G96:$G$103)</f>
        <v>0</v>
      </c>
      <c r="Y96" s="47">
        <f>'Ground load'!Y96+'Ground load all'!D95</f>
        <v>-3621.3458939250004</v>
      </c>
      <c r="Z96" s="38">
        <f t="shared" si="2"/>
        <v>0</v>
      </c>
    </row>
    <row r="97" spans="3:26" ht="18.75" customHeight="1">
      <c r="C97" s="38">
        <v>26.5</v>
      </c>
      <c r="D97" s="38">
        <v>0</v>
      </c>
      <c r="E97" s="38">
        <f t="shared" si="0"/>
        <v>0</v>
      </c>
      <c r="F97" s="38">
        <f>SUM(E97:$E$103)</f>
        <v>0</v>
      </c>
      <c r="G97" s="38">
        <f t="shared" si="1"/>
        <v>0</v>
      </c>
      <c r="H97" s="38">
        <f>SUM(G97:$G$103)</f>
        <v>0</v>
      </c>
      <c r="Y97" s="47">
        <f>'Ground load'!Y97+'Ground load all'!D96</f>
        <v>-3621.3458939250004</v>
      </c>
      <c r="Z97" s="38">
        <f t="shared" si="2"/>
        <v>0</v>
      </c>
    </row>
    <row r="98" spans="3:26" ht="18.75" customHeight="1">
      <c r="C98" s="38">
        <v>27</v>
      </c>
      <c r="D98" s="38">
        <v>0</v>
      </c>
      <c r="E98" s="38">
        <f t="shared" si="0"/>
        <v>0</v>
      </c>
      <c r="F98" s="38">
        <f>SUM(E98:$E$103)</f>
        <v>0</v>
      </c>
      <c r="G98" s="38">
        <f t="shared" si="1"/>
        <v>0</v>
      </c>
      <c r="H98" s="38">
        <f>SUM(G98:$G$103)</f>
        <v>0</v>
      </c>
      <c r="Y98" s="47">
        <f>'Ground load'!Y98+'Ground load all'!D97</f>
        <v>-3621.3458939250004</v>
      </c>
      <c r="Z98" s="38">
        <f t="shared" si="2"/>
        <v>0</v>
      </c>
    </row>
    <row r="99" spans="3:26">
      <c r="C99" s="38">
        <v>27.5</v>
      </c>
      <c r="D99" s="38">
        <v>0</v>
      </c>
      <c r="E99" s="38">
        <f t="shared" si="0"/>
        <v>0</v>
      </c>
      <c r="F99" s="38">
        <f>SUM(E99:$E$103)</f>
        <v>0</v>
      </c>
      <c r="G99" s="38">
        <f t="shared" si="1"/>
        <v>0</v>
      </c>
      <c r="H99" s="38">
        <f>SUM(G99:$G$103)</f>
        <v>0</v>
      </c>
      <c r="Y99" s="47">
        <f>'Ground load'!Y99+'Ground load all'!D98</f>
        <v>-3621.3458939250004</v>
      </c>
      <c r="Z99" s="38">
        <f t="shared" si="2"/>
        <v>0</v>
      </c>
    </row>
    <row r="100" spans="3:26">
      <c r="C100" s="38">
        <v>28</v>
      </c>
      <c r="D100" s="38">
        <v>0</v>
      </c>
      <c r="E100" s="38">
        <f t="shared" si="0"/>
        <v>0</v>
      </c>
      <c r="F100" s="38">
        <f>SUM(E100:$E$103)</f>
        <v>0</v>
      </c>
      <c r="G100" s="38">
        <f t="shared" si="1"/>
        <v>0</v>
      </c>
      <c r="H100" s="38">
        <f>SUM(G100:$G$103)</f>
        <v>0</v>
      </c>
      <c r="Y100" s="47">
        <f>'Ground load'!Y100+'Ground load all'!D99</f>
        <v>-3621.3458939250004</v>
      </c>
      <c r="Z100" s="38">
        <f t="shared" si="2"/>
        <v>0</v>
      </c>
    </row>
    <row r="101" spans="3:26">
      <c r="C101" s="38">
        <v>28.5</v>
      </c>
      <c r="D101" s="38">
        <v>0</v>
      </c>
      <c r="E101" s="38">
        <f t="shared" si="0"/>
        <v>0</v>
      </c>
      <c r="F101" s="38">
        <f>SUM(E101:$E$103)</f>
        <v>0</v>
      </c>
      <c r="G101" s="38">
        <f t="shared" si="1"/>
        <v>0</v>
      </c>
      <c r="H101" s="38">
        <f>SUM(G101:$G$103)</f>
        <v>0</v>
      </c>
      <c r="Y101" s="47">
        <f>'Ground load'!Y101+'Ground load all'!D100</f>
        <v>-3621.3458939250004</v>
      </c>
      <c r="Z101" s="38">
        <f t="shared" si="2"/>
        <v>0</v>
      </c>
    </row>
    <row r="102" spans="3:26">
      <c r="C102" s="38">
        <v>29</v>
      </c>
      <c r="D102" s="38">
        <v>0</v>
      </c>
      <c r="E102" s="38">
        <f t="shared" si="0"/>
        <v>0</v>
      </c>
      <c r="F102" s="38">
        <f>SUM(E102:$E$103)</f>
        <v>0</v>
      </c>
      <c r="G102" s="38">
        <f t="shared" si="1"/>
        <v>0</v>
      </c>
      <c r="H102" s="38">
        <f>SUM(G102:$G$103)</f>
        <v>0</v>
      </c>
      <c r="Y102" s="47">
        <f>'Ground load'!Y102+'Ground load all'!D101</f>
        <v>-3621.3458939250004</v>
      </c>
      <c r="Z102" s="38">
        <f t="shared" si="2"/>
        <v>0</v>
      </c>
    </row>
    <row r="103" spans="3:26">
      <c r="C103" s="38">
        <v>29.3</v>
      </c>
      <c r="D103" s="38">
        <v>0</v>
      </c>
      <c r="E103" s="38">
        <f t="shared" si="0"/>
        <v>0</v>
      </c>
      <c r="F103" s="38">
        <f>SUM(E103:$E$103)</f>
        <v>0</v>
      </c>
      <c r="G103" s="38">
        <f t="shared" si="1"/>
        <v>0</v>
      </c>
      <c r="H103" s="38">
        <f>SUM(G103:$G$103)</f>
        <v>0</v>
      </c>
      <c r="Y103" s="47">
        <f>'Ground load'!Y103+'Ground load all'!D102</f>
        <v>-2245.2344542334909</v>
      </c>
    </row>
    <row r="104" spans="3:26">
      <c r="Y104" s="47">
        <f>'Ground load'!Y104+'Ground load all'!D103</f>
        <v>0</v>
      </c>
    </row>
    <row r="106" spans="3:26">
      <c r="E106" s="35" t="s">
        <v>96</v>
      </c>
      <c r="F106" s="40">
        <f>SUM(E44:E80)</f>
        <v>0</v>
      </c>
    </row>
    <row r="113" spans="1:5">
      <c r="A113" s="154" t="s">
        <v>271</v>
      </c>
      <c r="C113" s="275" t="s">
        <v>114</v>
      </c>
      <c r="D113" s="275"/>
      <c r="E113" s="275"/>
    </row>
    <row r="114" spans="1:5" ht="14.5">
      <c r="A114" s="251" t="s">
        <v>113</v>
      </c>
      <c r="C114" s="35" t="s">
        <v>88</v>
      </c>
      <c r="D114" s="35" t="s">
        <v>92</v>
      </c>
      <c r="E114" s="35" t="s">
        <v>94</v>
      </c>
    </row>
    <row r="115" spans="1:5" ht="14.5">
      <c r="A115" s="278"/>
      <c r="C115" s="35" t="s">
        <v>1</v>
      </c>
      <c r="D115" s="35" t="s">
        <v>74</v>
      </c>
      <c r="E115" s="35" t="s">
        <v>61</v>
      </c>
    </row>
    <row r="116" spans="1:5" ht="14.5">
      <c r="A116" s="278"/>
      <c r="C116" s="38">
        <v>0</v>
      </c>
      <c r="D116" s="38">
        <f>'Ground load all'!F44-'Ground load'!H46</f>
        <v>-6497366.6531018866</v>
      </c>
      <c r="E116" s="38">
        <f>H44-'Ground load'!J46</f>
        <v>-26333246.687091615</v>
      </c>
    </row>
    <row r="117" spans="1:5" ht="14.5">
      <c r="A117" s="278"/>
      <c r="C117" s="38">
        <v>0.5</v>
      </c>
      <c r="D117" s="38">
        <f>'Ground load all'!F45-'Ground load'!H47</f>
        <v>-6493745.3072079616</v>
      </c>
      <c r="E117" s="38">
        <f>H45-'Ground load'!J47</f>
        <v>-23085468.697014149</v>
      </c>
    </row>
    <row r="118" spans="1:5" ht="14.5">
      <c r="A118" s="278"/>
      <c r="C118" s="38">
        <v>1</v>
      </c>
      <c r="D118" s="38">
        <f>'Ground load all'!F46-'Ground load'!H48</f>
        <v>-6490123.9613140365</v>
      </c>
      <c r="E118" s="38">
        <f>H46-'Ground load'!J48</f>
        <v>-19839501.379883651</v>
      </c>
    </row>
    <row r="119" spans="1:5" ht="14.5">
      <c r="A119" s="278"/>
      <c r="C119" s="38">
        <v>1.5</v>
      </c>
      <c r="D119" s="38">
        <f>'Ground load all'!F47-'Ground load'!H49</f>
        <v>-6486502.6154201115</v>
      </c>
      <c r="E119" s="38">
        <f>H47-'Ground load'!J49</f>
        <v>-16595344.735700117</v>
      </c>
    </row>
    <row r="120" spans="1:5" ht="14.5">
      <c r="A120" s="278"/>
      <c r="C120" s="38">
        <v>2</v>
      </c>
      <c r="D120" s="38">
        <f>'Ground load all'!F48-'Ground load'!H50</f>
        <v>-6482881.2695261864</v>
      </c>
      <c r="E120" s="38">
        <f>H48-'Ground load'!J50</f>
        <v>-13352998.764463542</v>
      </c>
    </row>
    <row r="121" spans="1:5" ht="14.5">
      <c r="A121" s="278"/>
      <c r="C121" s="38">
        <v>2.5</v>
      </c>
      <c r="D121" s="38">
        <f>'Ground load all'!F49-'Ground load'!H51</f>
        <v>-6479259.9236322613</v>
      </c>
      <c r="E121" s="38">
        <f>H49-'Ground load'!J51</f>
        <v>-10112463.466173928</v>
      </c>
    </row>
    <row r="122" spans="1:5">
      <c r="C122" s="38">
        <v>3</v>
      </c>
      <c r="D122" s="38">
        <f>'Ground load all'!F50-'Ground load'!H52</f>
        <v>-6475638.5777383363</v>
      </c>
      <c r="E122" s="38">
        <f>H50-'Ground load'!J52</f>
        <v>-6873738.8408312714</v>
      </c>
    </row>
    <row r="123" spans="1:5">
      <c r="C123" s="38">
        <v>3.5</v>
      </c>
      <c r="D123" s="38">
        <f>'Ground load all'!F51-'Ground load'!H53</f>
        <v>-525808.30779440841</v>
      </c>
      <c r="E123" s="38">
        <f>H51-'Ground load'!J53</f>
        <v>-5123377.1194480881</v>
      </c>
    </row>
    <row r="124" spans="1:5">
      <c r="C124" s="38">
        <v>4</v>
      </c>
      <c r="D124" s="38">
        <f>'Ground load all'!F52-'Ground load'!H54</f>
        <v>-522186.96190048341</v>
      </c>
      <c r="E124" s="38">
        <f>H52-'Ground load'!J54</f>
        <v>-4861378.3020243663</v>
      </c>
    </row>
    <row r="125" spans="1:5">
      <c r="C125" s="38">
        <v>4.5</v>
      </c>
      <c r="D125" s="38">
        <f>'Ground load all'!F53-'Ground load'!H55</f>
        <v>-518565.61600655841</v>
      </c>
      <c r="E125" s="38">
        <f>H53-'Ground load'!J55</f>
        <v>-4601190.1575476052</v>
      </c>
    </row>
    <row r="126" spans="1:5">
      <c r="C126" s="38">
        <v>5</v>
      </c>
      <c r="D126" s="38">
        <f>'Ground load all'!F54-'Ground load'!H56</f>
        <v>-514944.27011263341</v>
      </c>
      <c r="E126" s="38">
        <f>H54-'Ground load'!J56</f>
        <v>-4342812.6860178076</v>
      </c>
    </row>
    <row r="127" spans="1:5">
      <c r="C127" s="38">
        <v>5.5</v>
      </c>
      <c r="D127" s="38">
        <f>'Ground load all'!F55-'Ground load'!H57</f>
        <v>-511322.92421870842</v>
      </c>
      <c r="E127" s="38">
        <f>H55-'Ground load'!J57</f>
        <v>-4086245.8874349743</v>
      </c>
    </row>
    <row r="128" spans="1:5">
      <c r="C128" s="38">
        <v>6</v>
      </c>
      <c r="D128" s="38">
        <f>'Ground load all'!F56-'Ground load'!H58</f>
        <v>-338264.36194978346</v>
      </c>
      <c r="E128" s="38">
        <f>H56-'Ground load'!J58</f>
        <v>-3873849.0658928519</v>
      </c>
    </row>
    <row r="129" spans="3:5">
      <c r="C129" s="38">
        <v>6.5</v>
      </c>
      <c r="D129" s="38">
        <f>'Ground load all'!F57-'Ground load'!H59</f>
        <v>-334643.01605585846</v>
      </c>
      <c r="E129" s="38">
        <f>H57-'Ground load'!J59</f>
        <v>-3705622.2213914413</v>
      </c>
    </row>
    <row r="130" spans="3:5">
      <c r="C130" s="38">
        <v>7</v>
      </c>
      <c r="D130" s="38">
        <f>'Ground load all'!F58-'Ground load'!H60</f>
        <v>-331021.67016193346</v>
      </c>
      <c r="E130" s="38">
        <f>H58-'Ground load'!J60</f>
        <v>-3539206.0498369923</v>
      </c>
    </row>
    <row r="131" spans="3:5">
      <c r="C131" s="38">
        <v>7.5</v>
      </c>
      <c r="D131" s="38">
        <f>'Ground load all'!F59-'Ground load'!H61</f>
        <v>-327400.32426800847</v>
      </c>
      <c r="E131" s="38">
        <f>H59-'Ground load'!J61</f>
        <v>-3374600.5512295067</v>
      </c>
    </row>
    <row r="132" spans="3:5">
      <c r="C132" s="38">
        <v>8</v>
      </c>
      <c r="D132" s="38">
        <f>'Ground load all'!F60-'Ground load'!H62</f>
        <v>-323778.97837408347</v>
      </c>
      <c r="E132" s="38">
        <f>H60-'Ground load'!J62</f>
        <v>-3211805.7255689837</v>
      </c>
    </row>
    <row r="133" spans="3:5">
      <c r="C133" s="38">
        <v>8.5</v>
      </c>
      <c r="D133" s="38">
        <f>'Ground load all'!F61-'Ground load'!H63</f>
        <v>-320157.63248015847</v>
      </c>
      <c r="E133" s="38">
        <f>H61-'Ground load'!J63</f>
        <v>-3050821.5728554232</v>
      </c>
    </row>
    <row r="134" spans="3:5">
      <c r="C134" s="38">
        <v>9</v>
      </c>
      <c r="D134" s="38">
        <f>'Ground load all'!F62-'Ground load'!H64</f>
        <v>-316536.28658623347</v>
      </c>
      <c r="E134" s="38">
        <f>H62-'Ground load'!J64</f>
        <v>-2891648.0930888252</v>
      </c>
    </row>
    <row r="135" spans="3:5">
      <c r="C135" s="38">
        <v>9.5</v>
      </c>
      <c r="D135" s="38">
        <f>'Ground load all'!F63-'Ground load'!H65</f>
        <v>-312914.94069230848</v>
      </c>
      <c r="E135" s="38">
        <f>H63-'Ground load'!J65</f>
        <v>-2734285.2862691898</v>
      </c>
    </row>
    <row r="136" spans="3:5">
      <c r="C136" s="38">
        <v>10</v>
      </c>
      <c r="D136" s="38">
        <f>'Ground load all'!F64-'Ground load'!H66</f>
        <v>-309293.59479838348</v>
      </c>
      <c r="E136" s="38">
        <f>H64-'Ground load'!J66</f>
        <v>-2578733.1523965169</v>
      </c>
    </row>
    <row r="137" spans="3:5">
      <c r="C137" s="38">
        <v>10.5</v>
      </c>
      <c r="D137" s="38">
        <f>'Ground load all'!F65-'Ground load'!H67</f>
        <v>-305672.24890445848</v>
      </c>
      <c r="E137" s="38">
        <f>H65-'Ground load'!J67</f>
        <v>-2424991.6914708065</v>
      </c>
    </row>
    <row r="138" spans="3:5">
      <c r="C138" s="38">
        <v>11</v>
      </c>
      <c r="D138" s="38">
        <f>'Ground load all'!F66-'Ground load'!H68</f>
        <v>-302050.90301053348</v>
      </c>
      <c r="E138" s="38">
        <f>H66-'Ground load'!J68</f>
        <v>-2273060.9034920596</v>
      </c>
    </row>
    <row r="139" spans="3:5">
      <c r="C139" s="38">
        <v>11.5</v>
      </c>
      <c r="D139" s="38">
        <f>'Ground load all'!F67-'Ground load'!H69</f>
        <v>-298429.55711660848</v>
      </c>
      <c r="E139" s="38">
        <f>H67-'Ground load'!J69</f>
        <v>-2122940.7884602733</v>
      </c>
    </row>
    <row r="140" spans="3:5">
      <c r="C140" s="38">
        <v>12</v>
      </c>
      <c r="D140" s="38">
        <f>'Ground load all'!F68-'Ground load'!H70</f>
        <v>-294808.21122268349</v>
      </c>
      <c r="E140" s="38">
        <f>H68-'Ground load'!J70</f>
        <v>-1974631.3463754503</v>
      </c>
    </row>
    <row r="141" spans="3:5">
      <c r="C141" s="38">
        <v>12.5</v>
      </c>
      <c r="D141" s="38">
        <f>'Ground load all'!F69-'Ground load'!H71</f>
        <v>-291186.86532875849</v>
      </c>
      <c r="E141" s="38">
        <f>H69-'Ground load'!J71</f>
        <v>-1828132.57723759</v>
      </c>
    </row>
    <row r="142" spans="3:5">
      <c r="C142" s="38">
        <v>13</v>
      </c>
      <c r="D142" s="38">
        <f>'Ground load all'!F70-'Ground load'!H72</f>
        <v>-287565.51943483349</v>
      </c>
      <c r="E142" s="38">
        <f>H70-'Ground load'!J72</f>
        <v>-1683444.4810466918</v>
      </c>
    </row>
    <row r="143" spans="3:5">
      <c r="C143" s="38">
        <v>13.5</v>
      </c>
      <c r="D143" s="38">
        <f>'Ground load all'!F71-'Ground load'!H73</f>
        <v>-283944.17354090849</v>
      </c>
      <c r="E143" s="38">
        <f>H71-'Ground load'!J73</f>
        <v>-1540567.0578027561</v>
      </c>
    </row>
    <row r="144" spans="3:5">
      <c r="C144" s="38">
        <v>14</v>
      </c>
      <c r="D144" s="38">
        <f>'Ground load all'!F72-'Ground load'!H74</f>
        <v>-280322.8276469835</v>
      </c>
      <c r="E144" s="38">
        <f>H72-'Ground load'!J74</f>
        <v>-1399500.3075057834</v>
      </c>
    </row>
    <row r="145" spans="3:5">
      <c r="C145" s="38">
        <v>14.5</v>
      </c>
      <c r="D145" s="38">
        <f>'Ground load all'!F73-'Ground load'!H75</f>
        <v>-276701.48175305844</v>
      </c>
      <c r="E145" s="38">
        <f>H73-'Ground load'!J75</f>
        <v>-1260244.2301557728</v>
      </c>
    </row>
    <row r="146" spans="3:5">
      <c r="C146" s="38">
        <v>15</v>
      </c>
      <c r="D146" s="38">
        <f>'Ground load all'!F74-'Ground load'!H76</f>
        <v>-273080.13585913344</v>
      </c>
      <c r="E146" s="38">
        <f>H74-'Ground load'!J76</f>
        <v>-1122798.8257527249</v>
      </c>
    </row>
    <row r="147" spans="3:5">
      <c r="C147" s="38">
        <v>15.5</v>
      </c>
      <c r="D147" s="38">
        <f>'Ground load all'!F75-'Ground load'!H77</f>
        <v>-269458.78996520845</v>
      </c>
      <c r="E147" s="38">
        <f>H75-'Ground load'!J77</f>
        <v>-987164.09429663932</v>
      </c>
    </row>
    <row r="148" spans="3:5">
      <c r="C148" s="38">
        <v>16</v>
      </c>
      <c r="D148" s="38">
        <f>'Ground load all'!F76-'Ground load'!H78</f>
        <v>-265837.44407128345</v>
      </c>
      <c r="E148" s="38">
        <f>H76-'Ground load'!J78</f>
        <v>-853340.03578751627</v>
      </c>
    </row>
    <row r="149" spans="3:5">
      <c r="C149" s="38">
        <v>16.5</v>
      </c>
      <c r="D149" s="38">
        <f>'Ground load all'!F77-'Ground load'!H79</f>
        <v>-262216.09817735845</v>
      </c>
      <c r="E149" s="38">
        <f>H77-'Ground load'!J79</f>
        <v>-721326.65022535576</v>
      </c>
    </row>
    <row r="150" spans="3:5">
      <c r="C150" s="38">
        <v>17</v>
      </c>
      <c r="D150" s="38">
        <f>'Ground load all'!F78-'Ground load'!H80</f>
        <v>-258594.75228343345</v>
      </c>
      <c r="E150" s="38">
        <f>H78-'Ground load'!J80</f>
        <v>-591123.93761015777</v>
      </c>
    </row>
    <row r="151" spans="3:5">
      <c r="C151" s="38">
        <v>17.5</v>
      </c>
      <c r="D151" s="38">
        <f>'Ground load all'!F79-'Ground load'!H81</f>
        <v>-85536.190014508466</v>
      </c>
      <c r="E151" s="38">
        <f>H79-'Ground load'!J81</f>
        <v>-505091.20203567244</v>
      </c>
    </row>
    <row r="152" spans="3:5">
      <c r="C152" s="38">
        <v>18</v>
      </c>
      <c r="D152" s="38">
        <f>'Ground load all'!F80-'Ground load'!H82</f>
        <v>-81914.844120583468</v>
      </c>
      <c r="E152" s="38">
        <f>H80-'Ground load'!J82</f>
        <v>-463228.44350189943</v>
      </c>
    </row>
    <row r="153" spans="3:5">
      <c r="C153" s="38">
        <v>18.5</v>
      </c>
      <c r="D153" s="38">
        <f>'Ground load all'!F81-'Ground load'!H83</f>
        <v>-78293.49822665847</v>
      </c>
      <c r="E153" s="38">
        <f>H81-'Ground load'!J83</f>
        <v>-423176.35791508894</v>
      </c>
    </row>
    <row r="154" spans="3:5">
      <c r="C154" s="38">
        <v>19</v>
      </c>
      <c r="D154" s="38">
        <f>'Ground load all'!F82-'Ground load'!H84</f>
        <v>-74672.152332733473</v>
      </c>
      <c r="E154" s="38">
        <f>H82-'Ground load'!J84</f>
        <v>-384934.94527524099</v>
      </c>
    </row>
    <row r="155" spans="3:5">
      <c r="C155" s="38">
        <v>19.5</v>
      </c>
      <c r="D155" s="38">
        <f>'Ground load all'!F83-'Ground load'!H85</f>
        <v>-71050.806438808475</v>
      </c>
      <c r="E155" s="38">
        <f>H83-'Ground load'!J85</f>
        <v>-348504.20558235556</v>
      </c>
    </row>
    <row r="156" spans="3:5">
      <c r="C156" s="38">
        <v>20</v>
      </c>
      <c r="D156" s="38">
        <f>'Ground load all'!F84-'Ground load'!H86</f>
        <v>-67429.460544883477</v>
      </c>
      <c r="E156" s="38">
        <f>H84-'Ground load'!J86</f>
        <v>-313884.1388364326</v>
      </c>
    </row>
    <row r="157" spans="3:5">
      <c r="C157" s="38">
        <v>20.5</v>
      </c>
      <c r="D157" s="38">
        <f>'Ground load all'!F85-'Ground load'!H87</f>
        <v>-63808.11465095848</v>
      </c>
      <c r="E157" s="38">
        <f>H85-'Ground load'!J87</f>
        <v>-281074.74503747211</v>
      </c>
    </row>
    <row r="158" spans="3:5">
      <c r="C158" s="38">
        <v>21</v>
      </c>
      <c r="D158" s="38">
        <f>'Ground load all'!F86-'Ground load'!H88</f>
        <v>-60186.768757033482</v>
      </c>
      <c r="E158" s="38">
        <f>H86-'Ground load'!J88</f>
        <v>-250076.02418547421</v>
      </c>
    </row>
    <row r="159" spans="3:5">
      <c r="C159" s="38">
        <v>21.5</v>
      </c>
      <c r="D159" s="38">
        <f>'Ground load all'!F87-'Ground load'!H89</f>
        <v>-56565.422863108484</v>
      </c>
      <c r="E159" s="38">
        <f>H87-'Ground load'!J89</f>
        <v>-220887.97628043871</v>
      </c>
    </row>
    <row r="160" spans="3:5">
      <c r="C160" s="38">
        <v>22</v>
      </c>
      <c r="D160" s="38">
        <f>'Ground load all'!F88-'Ground load'!H90</f>
        <v>-52944.076969183487</v>
      </c>
      <c r="E160" s="38">
        <f>H88-'Ground load'!J90</f>
        <v>-193510.60132236572</v>
      </c>
    </row>
    <row r="161" spans="3:5">
      <c r="C161" s="38">
        <v>22.5</v>
      </c>
      <c r="D161" s="38">
        <f>'Ground load all'!F89-'Ground load'!H91</f>
        <v>-49322.731075258489</v>
      </c>
      <c r="E161" s="38">
        <f>H89-'Ground load'!J91</f>
        <v>-167943.89931125523</v>
      </c>
    </row>
    <row r="162" spans="3:5">
      <c r="C162" s="38">
        <v>23</v>
      </c>
      <c r="D162" s="38">
        <f>'Ground load all'!F90-'Ground load'!H92</f>
        <v>-45701.385181333491</v>
      </c>
      <c r="E162" s="38">
        <f>H90-'Ground load'!J92</f>
        <v>-144187.87024710723</v>
      </c>
    </row>
    <row r="163" spans="3:5">
      <c r="C163" s="38">
        <v>23.5</v>
      </c>
      <c r="D163" s="38">
        <f>'Ground load all'!F91-'Ground load'!H93</f>
        <v>-42080.039287408494</v>
      </c>
      <c r="E163" s="38">
        <f>H91-'Ground load'!J93</f>
        <v>-122242.51412992166</v>
      </c>
    </row>
    <row r="164" spans="3:5">
      <c r="C164" s="38">
        <v>24</v>
      </c>
      <c r="D164" s="38">
        <f>'Ground load all'!F92-'Ground load'!H94</f>
        <v>-38458.693393483496</v>
      </c>
      <c r="E164" s="38">
        <f>H92-'Ground load'!J94</f>
        <v>-102107.83095969867</v>
      </c>
    </row>
    <row r="165" spans="3:5">
      <c r="C165" s="38">
        <v>24.5</v>
      </c>
      <c r="D165" s="38">
        <f>'Ground load all'!F93-'Ground load'!H95</f>
        <v>-34837.347499558498</v>
      </c>
      <c r="E165" s="38">
        <f>H93-'Ground load'!J95</f>
        <v>-83783.820736438152</v>
      </c>
    </row>
    <row r="166" spans="3:5">
      <c r="C166" s="38">
        <v>25</v>
      </c>
      <c r="D166" s="38">
        <f>'Ground load all'!F94-'Ground load'!H96</f>
        <v>-31216.001605633497</v>
      </c>
      <c r="E166" s="38">
        <f>H94-'Ground load'!J96</f>
        <v>-67270.483460140153</v>
      </c>
    </row>
    <row r="167" spans="3:5">
      <c r="C167" s="38">
        <v>25.5</v>
      </c>
      <c r="D167" s="38">
        <f>'Ground load all'!F95-'Ground load'!H97</f>
        <v>-27594.655711708496</v>
      </c>
      <c r="E167" s="38">
        <f>H95-'Ground load'!J97</f>
        <v>-52567.819130804673</v>
      </c>
    </row>
    <row r="168" spans="3:5">
      <c r="C168" s="38">
        <v>26</v>
      </c>
      <c r="D168" s="38">
        <f>'Ground load all'!F96-'Ground load'!H98</f>
        <v>-23973.309817783495</v>
      </c>
      <c r="E168" s="38">
        <f>H96-'Ground load'!J98</f>
        <v>-39675.827748431664</v>
      </c>
    </row>
    <row r="169" spans="3:5">
      <c r="C169" s="38">
        <v>26.5</v>
      </c>
      <c r="D169" s="38">
        <f>'Ground load all'!F97-'Ground load'!H99</f>
        <v>-20351.963923858493</v>
      </c>
      <c r="E169" s="38">
        <f>H97-'Ground load'!J99</f>
        <v>-28594.509313021168</v>
      </c>
    </row>
    <row r="170" spans="3:5">
      <c r="C170" s="38">
        <v>27</v>
      </c>
      <c r="D170" s="38">
        <f>'Ground load all'!F98-'Ground load'!H100</f>
        <v>-16730.618029933492</v>
      </c>
      <c r="E170" s="38">
        <f>H98-'Ground load'!J100</f>
        <v>-19323.863824573171</v>
      </c>
    </row>
    <row r="171" spans="3:5">
      <c r="C171" s="38">
        <v>27.5</v>
      </c>
      <c r="D171" s="38">
        <f>'Ground load all'!F99-'Ground load'!H101</f>
        <v>-13109.272136008491</v>
      </c>
      <c r="E171" s="38">
        <f>H99-'Ground load'!J101</f>
        <v>-11863.891283087678</v>
      </c>
    </row>
    <row r="172" spans="3:5">
      <c r="C172" s="38">
        <v>28</v>
      </c>
      <c r="D172" s="38">
        <f>'Ground load all'!F100-'Ground load'!H102</f>
        <v>-9487.9262420834912</v>
      </c>
      <c r="E172" s="38">
        <f>H100-'Ground load'!J102</f>
        <v>-6214.5916885646811</v>
      </c>
    </row>
    <row r="173" spans="3:5">
      <c r="C173" s="38">
        <v>28.5</v>
      </c>
      <c r="D173" s="38">
        <f>'Ground load all'!F101-'Ground load'!H103</f>
        <v>-5866.5803481584917</v>
      </c>
      <c r="E173" s="38">
        <f>H101-'Ground load'!J103</f>
        <v>-2375.965041004185</v>
      </c>
    </row>
    <row r="174" spans="3:5">
      <c r="C174" s="38">
        <v>29</v>
      </c>
      <c r="D174" s="38">
        <f>'Ground load all'!F102-'Ground load'!H104</f>
        <v>-2245.2344542334909</v>
      </c>
      <c r="E174" s="38">
        <f>H102-'Ground load'!J104</f>
        <v>-348.01134040618967</v>
      </c>
    </row>
    <row r="175" spans="3:5">
      <c r="C175" s="38">
        <v>29.3</v>
      </c>
      <c r="D175" s="38">
        <f>'Ground load all'!F103-'Ground load'!H105</f>
        <v>0</v>
      </c>
      <c r="E175" s="38">
        <f>H103-'Ground load'!J105</f>
        <v>0</v>
      </c>
    </row>
  </sheetData>
  <mergeCells count="14">
    <mergeCell ref="C113:E113"/>
    <mergeCell ref="A42:A49"/>
    <mergeCell ref="A114:A121"/>
    <mergeCell ref="A4:A25"/>
    <mergeCell ref="A28:A34"/>
    <mergeCell ref="C41:H41"/>
    <mergeCell ref="H27:J28"/>
    <mergeCell ref="C27:E28"/>
    <mergeCell ref="B1:E1"/>
    <mergeCell ref="F1:G1"/>
    <mergeCell ref="H1:Z1"/>
    <mergeCell ref="R29:T31"/>
    <mergeCell ref="N27:Q31"/>
    <mergeCell ref="R27:T28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072-DA4D-CC46-9AB9-D7866858C361}">
  <dimension ref="A1:H70"/>
  <sheetViews>
    <sheetView zoomScale="70" zoomScaleNormal="70" workbookViewId="0">
      <selection activeCell="D16" sqref="D16"/>
    </sheetView>
  </sheetViews>
  <sheetFormatPr defaultColWidth="10.83203125" defaultRowHeight="14"/>
  <cols>
    <col min="1" max="1" width="26.83203125" bestFit="1" customWidth="1"/>
    <col min="7" max="7" width="20.33203125" bestFit="1" customWidth="1"/>
  </cols>
  <sheetData>
    <row r="1" spans="1:7" ht="14.5">
      <c r="A1" s="268" t="s">
        <v>326</v>
      </c>
      <c r="B1" s="275"/>
      <c r="C1" s="275"/>
    </row>
    <row r="2" spans="1:7" ht="14.5">
      <c r="A2" s="35" t="s">
        <v>32</v>
      </c>
      <c r="B2" s="35">
        <v>429900</v>
      </c>
      <c r="C2" s="35" t="s">
        <v>3</v>
      </c>
    </row>
    <row r="3" spans="1:7" ht="14.5">
      <c r="A3" s="35" t="s">
        <v>72</v>
      </c>
      <c r="B3" s="222">
        <f>'Ground load'!I29</f>
        <v>2.8199000000000001</v>
      </c>
      <c r="C3" s="35"/>
    </row>
    <row r="4" spans="1:7" ht="14.5">
      <c r="A4" s="5" t="s">
        <v>322</v>
      </c>
      <c r="B4" s="35">
        <f>(B2*B3*9.81)/2</f>
        <v>5946208.9240500005</v>
      </c>
      <c r="C4" s="35" t="s">
        <v>74</v>
      </c>
    </row>
    <row r="7" spans="1:7" ht="14.5">
      <c r="A7" s="53" t="s">
        <v>323</v>
      </c>
    </row>
    <row r="8" spans="1:7" ht="14.5">
      <c r="A8" s="35" t="s">
        <v>88</v>
      </c>
      <c r="B8" s="35" t="s">
        <v>89</v>
      </c>
      <c r="C8" s="35" t="s">
        <v>90</v>
      </c>
      <c r="D8" s="35" t="s">
        <v>76</v>
      </c>
      <c r="E8" s="35" t="s">
        <v>91</v>
      </c>
      <c r="F8" t="s">
        <v>111</v>
      </c>
      <c r="G8" s="221" t="s">
        <v>324</v>
      </c>
    </row>
    <row r="9" spans="1:7" ht="14.5">
      <c r="A9" s="35" t="s">
        <v>1</v>
      </c>
      <c r="B9" s="35" t="s">
        <v>95</v>
      </c>
      <c r="C9" s="35" t="s">
        <v>95</v>
      </c>
      <c r="D9" s="35" t="s">
        <v>74</v>
      </c>
      <c r="E9" s="35" t="s">
        <v>80</v>
      </c>
      <c r="F9" t="s">
        <v>95</v>
      </c>
      <c r="G9" s="221" t="s">
        <v>95</v>
      </c>
    </row>
    <row r="10" spans="1:7" ht="14.5">
      <c r="A10" s="38">
        <v>0</v>
      </c>
      <c r="B10" s="37">
        <f>'Wing inertia load'!$D$31/60*'Wing Ground load'!$B$3*9.81</f>
        <v>7242.6917878500008</v>
      </c>
      <c r="C10" s="220">
        <v>0</v>
      </c>
      <c r="D10" s="38">
        <v>0</v>
      </c>
      <c r="E10" s="39">
        <f>(B11+B10)*(A11-A10)/2+(C11+C10)*(A11-A10)/2+D10</f>
        <v>3621.3458939250004</v>
      </c>
      <c r="F10" s="223">
        <f>'Ground load all'!D44</f>
        <v>0</v>
      </c>
      <c r="G10" s="224">
        <f>-E10+F10</f>
        <v>-3621.3458939250004</v>
      </c>
    </row>
    <row r="11" spans="1:7" ht="14.5">
      <c r="A11" s="38">
        <v>0.5</v>
      </c>
      <c r="B11" s="37">
        <f>'Wing inertia load'!$D$31/60*'Wing Ground load'!$B$3*9.81</f>
        <v>7242.6917878500008</v>
      </c>
      <c r="C11" s="220">
        <v>0</v>
      </c>
      <c r="D11" s="38">
        <v>0</v>
      </c>
      <c r="E11" s="39">
        <f t="shared" ref="E11:E68" si="0">(B12+B11)*(A12-A11)/2+(C12+C11)*(A12-A11)/2+D11</f>
        <v>3621.3458939250004</v>
      </c>
      <c r="F11" s="223">
        <f>'Ground load all'!D45</f>
        <v>0</v>
      </c>
      <c r="G11" s="224">
        <f t="shared" ref="G11:G69" si="1">-E11+F11</f>
        <v>-3621.3458939250004</v>
      </c>
    </row>
    <row r="12" spans="1:7" ht="14.5">
      <c r="A12" s="38">
        <v>1</v>
      </c>
      <c r="B12" s="37">
        <f>'Wing inertia load'!$D$31/60*'Wing Ground load'!$B$3*9.81</f>
        <v>7242.6917878500008</v>
      </c>
      <c r="C12" s="220">
        <v>0</v>
      </c>
      <c r="D12" s="38">
        <v>0</v>
      </c>
      <c r="E12" s="39">
        <f>(B13+B12)*(A13-A12)/2+(C13+C12)*(A13-A12)/2+D12</f>
        <v>3621.3458939250004</v>
      </c>
      <c r="F12" s="223">
        <f>'Ground load all'!D46</f>
        <v>0</v>
      </c>
      <c r="G12" s="224">
        <f t="shared" si="1"/>
        <v>-3621.3458939250004</v>
      </c>
    </row>
    <row r="13" spans="1:7" ht="14.5">
      <c r="A13" s="38">
        <v>1.5</v>
      </c>
      <c r="B13" s="37">
        <f>'Wing inertia load'!$D$31/60*'Wing Ground load'!$B$3*9.81</f>
        <v>7242.6917878500008</v>
      </c>
      <c r="C13" s="220">
        <v>0</v>
      </c>
      <c r="D13" s="38">
        <v>0</v>
      </c>
      <c r="E13" s="39">
        <f t="shared" si="0"/>
        <v>3621.3458939250004</v>
      </c>
      <c r="F13" s="223">
        <f>'Ground load all'!D47</f>
        <v>0</v>
      </c>
      <c r="G13" s="224">
        <f t="shared" si="1"/>
        <v>-3621.3458939250004</v>
      </c>
    </row>
    <row r="14" spans="1:7" ht="14.5">
      <c r="A14" s="38">
        <v>2</v>
      </c>
      <c r="B14" s="37">
        <f>'Wing inertia load'!$D$31/60*'Wing Ground load'!$B$3*9.81</f>
        <v>7242.6917878500008</v>
      </c>
      <c r="C14" s="220">
        <v>0</v>
      </c>
      <c r="D14" s="38">
        <v>0</v>
      </c>
      <c r="E14" s="39">
        <f t="shared" si="0"/>
        <v>3621.3458939250004</v>
      </c>
      <c r="F14" s="223">
        <f>'Ground load all'!D48</f>
        <v>0</v>
      </c>
      <c r="G14" s="224">
        <f t="shared" si="1"/>
        <v>-3621.3458939250004</v>
      </c>
    </row>
    <row r="15" spans="1:7" ht="14.5">
      <c r="A15" s="38">
        <v>2.5</v>
      </c>
      <c r="B15" s="37">
        <f>'Wing inertia load'!$D$31/60*'Wing Ground load'!$B$3*9.81</f>
        <v>7242.6917878500008</v>
      </c>
      <c r="C15" s="220">
        <v>0</v>
      </c>
      <c r="D15" s="38">
        <v>0</v>
      </c>
      <c r="E15" s="39">
        <f t="shared" si="0"/>
        <v>3621.3458939250004</v>
      </c>
      <c r="F15" s="223">
        <f>'Ground load all'!D49</f>
        <v>0</v>
      </c>
      <c r="G15" s="224">
        <f t="shared" si="1"/>
        <v>-3621.3458939250004</v>
      </c>
    </row>
    <row r="16" spans="1:7" ht="14.5">
      <c r="A16" s="38">
        <v>3</v>
      </c>
      <c r="B16" s="37">
        <f>'Wing inertia load'!$D$31/60*'Wing Ground load'!$B$3*9.81</f>
        <v>7242.6917878500008</v>
      </c>
      <c r="C16" s="220">
        <v>0</v>
      </c>
      <c r="D16" s="38">
        <f>B4</f>
        <v>5946208.9240500005</v>
      </c>
      <c r="E16" s="39">
        <f t="shared" si="0"/>
        <v>5949830.2699439256</v>
      </c>
      <c r="F16" s="223">
        <f>'Ground load all'!D50</f>
        <v>0</v>
      </c>
      <c r="G16" s="224">
        <f t="shared" si="1"/>
        <v>-5949830.2699439256</v>
      </c>
    </row>
    <row r="17" spans="1:8" ht="14.5">
      <c r="A17" s="38">
        <v>3.5</v>
      </c>
      <c r="B17" s="37">
        <f>'Wing inertia load'!$D$31/60*'Wing Ground load'!$B$3*9.81</f>
        <v>7242.6917878500008</v>
      </c>
      <c r="C17" s="220">
        <v>0</v>
      </c>
      <c r="D17" s="38">
        <v>0</v>
      </c>
      <c r="E17" s="39">
        <f t="shared" si="0"/>
        <v>3621.3458939250004</v>
      </c>
      <c r="F17" s="223">
        <f>'Ground load all'!D51</f>
        <v>0</v>
      </c>
      <c r="G17" s="224">
        <f t="shared" si="1"/>
        <v>-3621.3458939250004</v>
      </c>
    </row>
    <row r="18" spans="1:8" ht="14.5">
      <c r="A18" s="38">
        <v>4</v>
      </c>
      <c r="B18" s="37">
        <f>'Wing inertia load'!$D$31/60*'Wing Ground load'!$B$3*9.81</f>
        <v>7242.6917878500008</v>
      </c>
      <c r="C18" s="220">
        <v>0</v>
      </c>
      <c r="D18" s="38">
        <v>0</v>
      </c>
      <c r="E18" s="39">
        <f t="shared" si="0"/>
        <v>3621.3458939250004</v>
      </c>
      <c r="F18" s="223">
        <f>'Ground load all'!D52</f>
        <v>0</v>
      </c>
      <c r="G18" s="224">
        <f t="shared" si="1"/>
        <v>-3621.3458939250004</v>
      </c>
    </row>
    <row r="19" spans="1:8" ht="14.5">
      <c r="A19" s="38">
        <v>4.5</v>
      </c>
      <c r="B19" s="37">
        <f>'Wing inertia load'!$D$31/60*'Wing Ground load'!$B$3*9.81</f>
        <v>7242.6917878500008</v>
      </c>
      <c r="C19" s="220">
        <v>0</v>
      </c>
      <c r="D19" s="38">
        <v>0</v>
      </c>
      <c r="E19" s="39">
        <f t="shared" si="0"/>
        <v>3621.3458939250004</v>
      </c>
      <c r="F19" s="223">
        <f>'Ground load all'!D53</f>
        <v>0</v>
      </c>
      <c r="G19" s="224">
        <f t="shared" si="1"/>
        <v>-3621.3458939250004</v>
      </c>
    </row>
    <row r="20" spans="1:8" ht="14.5">
      <c r="A20" s="38">
        <v>5</v>
      </c>
      <c r="B20" s="37">
        <f>'Wing inertia load'!$D$31/60*'Wing Ground load'!$B$3*9.81</f>
        <v>7242.6917878500008</v>
      </c>
      <c r="C20" s="220">
        <v>0</v>
      </c>
      <c r="D20" s="38">
        <v>0</v>
      </c>
      <c r="E20" s="39">
        <f t="shared" si="0"/>
        <v>3621.3458939250004</v>
      </c>
      <c r="F20" s="223">
        <f>'Ground load all'!D54</f>
        <v>0</v>
      </c>
      <c r="G20" s="224">
        <f t="shared" si="1"/>
        <v>-3621.3458939250004</v>
      </c>
    </row>
    <row r="21" spans="1:8" ht="14.5">
      <c r="A21" s="38">
        <v>5.5</v>
      </c>
      <c r="B21" s="37">
        <f>'Wing inertia load'!$D$31/60*'Wing Ground load'!$B$3*9.81</f>
        <v>7242.6917878500008</v>
      </c>
      <c r="C21" s="220">
        <v>0</v>
      </c>
      <c r="D21" s="38">
        <f>'Ground load'!F57</f>
        <v>169437.21637500002</v>
      </c>
      <c r="E21" s="39">
        <f t="shared" si="0"/>
        <v>173058.56226892502</v>
      </c>
      <c r="F21" s="223">
        <f>'Ground load all'!D55</f>
        <v>0</v>
      </c>
      <c r="G21" s="224">
        <f t="shared" si="1"/>
        <v>-173058.56226892502</v>
      </c>
    </row>
    <row r="22" spans="1:8" ht="14.5">
      <c r="A22" s="38">
        <v>6</v>
      </c>
      <c r="B22" s="37">
        <f>'Wing inertia load'!$D$31/60*'Wing Ground load'!$B$3*9.81</f>
        <v>7242.6917878500008</v>
      </c>
      <c r="C22" s="220">
        <v>0</v>
      </c>
      <c r="D22" s="38">
        <v>0</v>
      </c>
      <c r="E22" s="39">
        <f t="shared" si="0"/>
        <v>3621.3458939250004</v>
      </c>
      <c r="F22" s="223">
        <f>'Ground load all'!D56</f>
        <v>0</v>
      </c>
      <c r="G22" s="224">
        <f t="shared" si="1"/>
        <v>-3621.3458939250004</v>
      </c>
    </row>
    <row r="23" spans="1:8" ht="14.5">
      <c r="A23" s="38">
        <v>6.5</v>
      </c>
      <c r="B23" s="37">
        <f>'Wing inertia load'!$D$31/60*'Wing Ground load'!$B$3*9.81</f>
        <v>7242.6917878500008</v>
      </c>
      <c r="C23" s="220">
        <v>0</v>
      </c>
      <c r="D23" s="38">
        <v>0</v>
      </c>
      <c r="E23" s="39">
        <f t="shared" si="0"/>
        <v>3621.3458939250004</v>
      </c>
      <c r="F23" s="223">
        <f>'Ground load all'!D57</f>
        <v>0</v>
      </c>
      <c r="G23" s="224">
        <f t="shared" si="1"/>
        <v>-3621.3458939250004</v>
      </c>
    </row>
    <row r="24" spans="1:8" ht="14.5">
      <c r="A24" s="38">
        <v>7</v>
      </c>
      <c r="B24" s="37">
        <f>'Wing inertia load'!$D$31/60*'Wing Ground load'!$B$3*9.81</f>
        <v>7242.6917878500008</v>
      </c>
      <c r="C24" s="220">
        <v>0</v>
      </c>
      <c r="D24" s="38">
        <v>0</v>
      </c>
      <c r="E24" s="39">
        <f t="shared" si="0"/>
        <v>3621.3458939250004</v>
      </c>
      <c r="F24" s="223">
        <f>'Ground load all'!D58</f>
        <v>0</v>
      </c>
      <c r="G24" s="224">
        <f t="shared" si="1"/>
        <v>-3621.3458939250004</v>
      </c>
    </row>
    <row r="25" spans="1:8" ht="14.5">
      <c r="A25" s="38">
        <v>7.5</v>
      </c>
      <c r="B25" s="37">
        <f>'Wing inertia load'!$D$31/60*'Wing Ground load'!$B$3*9.81</f>
        <v>7242.6917878500008</v>
      </c>
      <c r="C25" s="220">
        <v>0</v>
      </c>
      <c r="D25" s="38">
        <v>0</v>
      </c>
      <c r="E25" s="39">
        <f t="shared" si="0"/>
        <v>3621.3458939250004</v>
      </c>
      <c r="F25" s="223">
        <f>'Ground load all'!D59</f>
        <v>0</v>
      </c>
      <c r="G25" s="224">
        <f t="shared" si="1"/>
        <v>-3621.3458939250004</v>
      </c>
    </row>
    <row r="26" spans="1:8" ht="14.5">
      <c r="A26" s="38">
        <v>8</v>
      </c>
      <c r="B26" s="37">
        <f>'Wing inertia load'!$D$31/60*'Wing Ground load'!$B$3*9.81</f>
        <v>7242.6917878500008</v>
      </c>
      <c r="C26" s="220">
        <v>0</v>
      </c>
      <c r="D26" s="38">
        <v>0</v>
      </c>
      <c r="E26" s="39">
        <f t="shared" si="0"/>
        <v>3621.3458939250004</v>
      </c>
      <c r="F26" s="223">
        <f>'Ground load all'!D60</f>
        <v>0</v>
      </c>
      <c r="G26" s="224">
        <f t="shared" si="1"/>
        <v>-3621.3458939250004</v>
      </c>
      <c r="H26" t="s">
        <v>183</v>
      </c>
    </row>
    <row r="27" spans="1:8" ht="14.5">
      <c r="A27" s="38">
        <v>8.5</v>
      </c>
      <c r="B27" s="37">
        <f>'Wing inertia load'!$D$31/60*'Wing Ground load'!$B$3*9.81</f>
        <v>7242.6917878500008</v>
      </c>
      <c r="C27" s="220">
        <v>0</v>
      </c>
      <c r="D27" s="38">
        <v>0</v>
      </c>
      <c r="E27" s="39">
        <f t="shared" si="0"/>
        <v>3621.3458939250004</v>
      </c>
      <c r="F27" s="223">
        <f>'Ground load all'!D61</f>
        <v>0</v>
      </c>
      <c r="G27" s="224">
        <f t="shared" si="1"/>
        <v>-3621.3458939250004</v>
      </c>
    </row>
    <row r="28" spans="1:8" ht="14.5">
      <c r="A28" s="38">
        <v>9</v>
      </c>
      <c r="B28" s="37">
        <f>'Wing inertia load'!$D$31/60*'Wing Ground load'!$B$3*9.81</f>
        <v>7242.6917878500008</v>
      </c>
      <c r="C28" s="220">
        <v>0</v>
      </c>
      <c r="D28" s="38">
        <v>0</v>
      </c>
      <c r="E28" s="39">
        <f t="shared" si="0"/>
        <v>3621.3458939250004</v>
      </c>
      <c r="F28" s="223">
        <f>'Ground load all'!D62</f>
        <v>0</v>
      </c>
      <c r="G28" s="224">
        <f t="shared" si="1"/>
        <v>-3621.3458939250004</v>
      </c>
    </row>
    <row r="29" spans="1:8" ht="14.5">
      <c r="A29" s="38">
        <v>9.5</v>
      </c>
      <c r="B29" s="37">
        <f>'Wing inertia load'!$D$31/60*'Wing Ground load'!$B$3*9.81</f>
        <v>7242.6917878500008</v>
      </c>
      <c r="C29" s="220">
        <v>0</v>
      </c>
      <c r="D29" s="38">
        <v>0</v>
      </c>
      <c r="E29" s="39">
        <f t="shared" si="0"/>
        <v>3621.3458939250004</v>
      </c>
      <c r="F29" s="223">
        <f>'Ground load all'!D63</f>
        <v>0</v>
      </c>
      <c r="G29" s="224">
        <f t="shared" si="1"/>
        <v>-3621.3458939250004</v>
      </c>
    </row>
    <row r="30" spans="1:8" ht="14.5">
      <c r="A30" s="38">
        <v>10</v>
      </c>
      <c r="B30" s="37">
        <f>'Wing inertia load'!$D$31/60*'Wing Ground load'!$B$3*9.81</f>
        <v>7242.6917878500008</v>
      </c>
      <c r="C30" s="220">
        <v>0</v>
      </c>
      <c r="D30" s="38">
        <v>0</v>
      </c>
      <c r="E30" s="39">
        <f t="shared" si="0"/>
        <v>3621.3458939250004</v>
      </c>
      <c r="F30" s="223">
        <f>'Ground load all'!D64</f>
        <v>0</v>
      </c>
      <c r="G30" s="224">
        <f t="shared" si="1"/>
        <v>-3621.3458939250004</v>
      </c>
    </row>
    <row r="31" spans="1:8" ht="14.5">
      <c r="A31" s="38">
        <v>10.5</v>
      </c>
      <c r="B31" s="37">
        <f>'Wing inertia load'!$D$31/60*'Wing Ground load'!$B$3*9.81</f>
        <v>7242.6917878500008</v>
      </c>
      <c r="C31" s="220">
        <v>0</v>
      </c>
      <c r="D31" s="38">
        <v>0</v>
      </c>
      <c r="E31" s="39">
        <f t="shared" si="0"/>
        <v>3621.3458939250004</v>
      </c>
      <c r="F31" s="223">
        <f>'Ground load all'!D65</f>
        <v>0</v>
      </c>
      <c r="G31" s="224">
        <f t="shared" si="1"/>
        <v>-3621.3458939250004</v>
      </c>
    </row>
    <row r="32" spans="1:8" ht="14.5">
      <c r="A32" s="38">
        <v>11</v>
      </c>
      <c r="B32" s="37">
        <f>'Wing inertia load'!$D$31/60*'Wing Ground load'!$B$3*9.81</f>
        <v>7242.6917878500008</v>
      </c>
      <c r="C32" s="220">
        <v>0</v>
      </c>
      <c r="D32" s="38">
        <v>0</v>
      </c>
      <c r="E32" s="39">
        <f t="shared" si="0"/>
        <v>3621.3458939250004</v>
      </c>
      <c r="F32" s="223">
        <f>'Ground load all'!D66</f>
        <v>0</v>
      </c>
      <c r="G32" s="224">
        <f t="shared" si="1"/>
        <v>-3621.3458939250004</v>
      </c>
    </row>
    <row r="33" spans="1:7" ht="14.5">
      <c r="A33" s="38">
        <v>11.5</v>
      </c>
      <c r="B33" s="37">
        <f>'Wing inertia load'!$D$31/60*'Wing Ground load'!$B$3*9.81</f>
        <v>7242.6917878500008</v>
      </c>
      <c r="C33" s="220">
        <v>0</v>
      </c>
      <c r="D33" s="38">
        <v>0</v>
      </c>
      <c r="E33" s="39">
        <f t="shared" si="0"/>
        <v>3621.3458939250004</v>
      </c>
      <c r="F33" s="223">
        <f>'Ground load all'!D67</f>
        <v>0</v>
      </c>
      <c r="G33" s="224">
        <f t="shared" si="1"/>
        <v>-3621.3458939250004</v>
      </c>
    </row>
    <row r="34" spans="1:7" ht="14.5">
      <c r="A34" s="38">
        <v>12</v>
      </c>
      <c r="B34" s="37">
        <f>'Wing inertia load'!$D$31/60*'Wing Ground load'!$B$3*9.81</f>
        <v>7242.6917878500008</v>
      </c>
      <c r="C34" s="220">
        <v>0</v>
      </c>
      <c r="D34" s="38">
        <v>0</v>
      </c>
      <c r="E34" s="39">
        <f t="shared" si="0"/>
        <v>3621.3458939250004</v>
      </c>
      <c r="F34" s="223">
        <f>'Ground load all'!D68</f>
        <v>0</v>
      </c>
      <c r="G34" s="224">
        <f t="shared" si="1"/>
        <v>-3621.3458939250004</v>
      </c>
    </row>
    <row r="35" spans="1:7" ht="14.5">
      <c r="A35" s="38">
        <v>12.5</v>
      </c>
      <c r="B35" s="37">
        <f>'Wing inertia load'!$D$31/60*'Wing Ground load'!$B$3*9.81</f>
        <v>7242.6917878500008</v>
      </c>
      <c r="C35" s="220">
        <v>0</v>
      </c>
      <c r="D35" s="38">
        <v>0</v>
      </c>
      <c r="E35" s="39">
        <f t="shared" si="0"/>
        <v>3621.3458939250004</v>
      </c>
      <c r="F35" s="223">
        <f>'Ground load all'!D69</f>
        <v>0</v>
      </c>
      <c r="G35" s="224">
        <f t="shared" si="1"/>
        <v>-3621.3458939250004</v>
      </c>
    </row>
    <row r="36" spans="1:7" ht="14.5">
      <c r="A36" s="38">
        <v>13</v>
      </c>
      <c r="B36" s="37">
        <f>'Wing inertia load'!$D$31/60*'Wing Ground load'!$B$3*9.81</f>
        <v>7242.6917878500008</v>
      </c>
      <c r="C36" s="220">
        <v>0</v>
      </c>
      <c r="D36" s="38">
        <v>0</v>
      </c>
      <c r="E36" s="39">
        <f t="shared" si="0"/>
        <v>3621.3458939250004</v>
      </c>
      <c r="F36" s="223">
        <f>'Ground load all'!D70</f>
        <v>0</v>
      </c>
      <c r="G36" s="224">
        <f t="shared" si="1"/>
        <v>-3621.3458939250004</v>
      </c>
    </row>
    <row r="37" spans="1:7" ht="14.5">
      <c r="A37" s="38">
        <v>13.5</v>
      </c>
      <c r="B37" s="37">
        <f>'Wing inertia load'!$D$31/60*'Wing Ground load'!$B$3*9.81</f>
        <v>7242.6917878500008</v>
      </c>
      <c r="C37" s="220">
        <v>0</v>
      </c>
      <c r="D37" s="38">
        <v>0</v>
      </c>
      <c r="E37" s="39">
        <f t="shared" si="0"/>
        <v>3621.3458939250004</v>
      </c>
      <c r="F37" s="223">
        <f>'Ground load all'!D71</f>
        <v>0</v>
      </c>
      <c r="G37" s="224">
        <f t="shared" si="1"/>
        <v>-3621.3458939250004</v>
      </c>
    </row>
    <row r="38" spans="1:7" ht="14.5">
      <c r="A38" s="38">
        <v>14</v>
      </c>
      <c r="B38" s="37">
        <f>'Wing inertia load'!$D$31/60*'Wing Ground load'!$B$3*9.81</f>
        <v>7242.6917878500008</v>
      </c>
      <c r="C38" s="220">
        <v>0</v>
      </c>
      <c r="D38" s="38">
        <v>0</v>
      </c>
      <c r="E38" s="39">
        <f t="shared" si="0"/>
        <v>3621.3458939250004</v>
      </c>
      <c r="F38" s="223">
        <f>'Ground load all'!D72</f>
        <v>0</v>
      </c>
      <c r="G38" s="224">
        <f t="shared" si="1"/>
        <v>-3621.3458939250004</v>
      </c>
    </row>
    <row r="39" spans="1:7" ht="14.5">
      <c r="A39" s="38">
        <v>14.5</v>
      </c>
      <c r="B39" s="37">
        <f>'Wing inertia load'!$D$31/60*'Wing Ground load'!$B$3*9.81</f>
        <v>7242.6917878500008</v>
      </c>
      <c r="C39" s="220">
        <v>0</v>
      </c>
      <c r="D39" s="38">
        <v>0</v>
      </c>
      <c r="E39" s="39">
        <f t="shared" si="0"/>
        <v>3621.3458939250004</v>
      </c>
      <c r="F39" s="223">
        <f>'Ground load all'!D73</f>
        <v>0</v>
      </c>
      <c r="G39" s="224">
        <f t="shared" si="1"/>
        <v>-3621.3458939250004</v>
      </c>
    </row>
    <row r="40" spans="1:7" ht="14.5">
      <c r="A40" s="38">
        <v>15</v>
      </c>
      <c r="B40" s="37">
        <f>'Wing inertia load'!$D$31/60*'Wing Ground load'!$B$3*9.81</f>
        <v>7242.6917878500008</v>
      </c>
      <c r="C40" s="220">
        <v>0</v>
      </c>
      <c r="D40" s="38">
        <v>0</v>
      </c>
      <c r="E40" s="39">
        <f t="shared" si="0"/>
        <v>3621.3458939250004</v>
      </c>
      <c r="F40" s="223">
        <f>'Ground load all'!D74</f>
        <v>0</v>
      </c>
      <c r="G40" s="224">
        <f t="shared" si="1"/>
        <v>-3621.3458939250004</v>
      </c>
    </row>
    <row r="41" spans="1:7" ht="14.5">
      <c r="A41" s="38">
        <v>15.5</v>
      </c>
      <c r="B41" s="37">
        <f>'Wing inertia load'!$D$31/60*'Wing Ground load'!$B$3*9.81</f>
        <v>7242.6917878500008</v>
      </c>
      <c r="C41" s="220">
        <v>0</v>
      </c>
      <c r="D41" s="38">
        <v>0</v>
      </c>
      <c r="E41" s="39">
        <f t="shared" si="0"/>
        <v>3621.3458939250004</v>
      </c>
      <c r="F41" s="223">
        <f>'Ground load all'!D75</f>
        <v>0</v>
      </c>
      <c r="G41" s="224">
        <f t="shared" si="1"/>
        <v>-3621.3458939250004</v>
      </c>
    </row>
    <row r="42" spans="1:7" ht="14.5">
      <c r="A42" s="38">
        <v>16</v>
      </c>
      <c r="B42" s="37">
        <f>'Wing inertia load'!$D$31/60*'Wing Ground load'!$B$3*9.81</f>
        <v>7242.6917878500008</v>
      </c>
      <c r="C42" s="220">
        <v>0</v>
      </c>
      <c r="D42" s="38">
        <v>0</v>
      </c>
      <c r="E42" s="39">
        <f t="shared" si="0"/>
        <v>3621.3458939250004</v>
      </c>
      <c r="F42" s="223">
        <f>'Ground load all'!D76</f>
        <v>0</v>
      </c>
      <c r="G42" s="224">
        <f t="shared" si="1"/>
        <v>-3621.3458939250004</v>
      </c>
    </row>
    <row r="43" spans="1:7" ht="14.5">
      <c r="A43" s="38">
        <v>16.5</v>
      </c>
      <c r="B43" s="37">
        <f>'Wing inertia load'!$D$31/60*'Wing Ground load'!$B$3*9.81</f>
        <v>7242.6917878500008</v>
      </c>
      <c r="C43" s="220">
        <v>0</v>
      </c>
      <c r="D43" s="38">
        <v>0</v>
      </c>
      <c r="E43" s="39">
        <f t="shared" si="0"/>
        <v>3621.3458939250004</v>
      </c>
      <c r="F43" s="223">
        <f>'Ground load all'!D77</f>
        <v>0</v>
      </c>
      <c r="G43" s="224">
        <f t="shared" si="1"/>
        <v>-3621.3458939250004</v>
      </c>
    </row>
    <row r="44" spans="1:7" ht="14.5">
      <c r="A44" s="38">
        <v>17</v>
      </c>
      <c r="B44" s="37">
        <f>'Wing inertia load'!$D$31/60*'Wing Ground load'!$B$3*9.81</f>
        <v>7242.6917878500008</v>
      </c>
      <c r="C44" s="220">
        <v>0</v>
      </c>
      <c r="D44" s="38">
        <f>'Ground load'!F80</f>
        <v>169437.21637500002</v>
      </c>
      <c r="E44" s="39">
        <f t="shared" si="0"/>
        <v>173058.56226892502</v>
      </c>
      <c r="F44" s="223">
        <f>'Ground load all'!D78</f>
        <v>0</v>
      </c>
      <c r="G44" s="224">
        <f t="shared" si="1"/>
        <v>-173058.56226892502</v>
      </c>
    </row>
    <row r="45" spans="1:7" ht="14.5">
      <c r="A45" s="38">
        <v>17.5</v>
      </c>
      <c r="B45" s="37">
        <f>'Wing inertia load'!$D$31/60*'Wing Ground load'!$B$3*9.81</f>
        <v>7242.6917878500008</v>
      </c>
      <c r="C45" s="220">
        <v>0</v>
      </c>
      <c r="D45" s="38">
        <v>0</v>
      </c>
      <c r="E45" s="39">
        <f t="shared" si="0"/>
        <v>3621.3458939250004</v>
      </c>
      <c r="F45" s="223">
        <f>'Ground load all'!D79</f>
        <v>0</v>
      </c>
      <c r="G45" s="224">
        <f t="shared" si="1"/>
        <v>-3621.3458939250004</v>
      </c>
    </row>
    <row r="46" spans="1:7" ht="14.5">
      <c r="A46" s="38">
        <v>18</v>
      </c>
      <c r="B46" s="37">
        <f>'Wing inertia load'!$D$31/60*'Wing Ground load'!$B$3*9.81</f>
        <v>7242.6917878500008</v>
      </c>
      <c r="C46" s="220">
        <v>0</v>
      </c>
      <c r="D46" s="38">
        <v>0</v>
      </c>
      <c r="E46" s="39">
        <f t="shared" si="0"/>
        <v>3621.3458939250004</v>
      </c>
      <c r="F46" s="223">
        <f>'Ground load all'!D80</f>
        <v>0</v>
      </c>
      <c r="G46" s="224">
        <f t="shared" si="1"/>
        <v>-3621.3458939250004</v>
      </c>
    </row>
    <row r="47" spans="1:7" ht="14.5">
      <c r="A47" s="38">
        <v>18.5</v>
      </c>
      <c r="B47" s="37">
        <f>'Wing inertia load'!$D$31/60*'Wing Ground load'!$B$3*9.81</f>
        <v>7242.6917878500008</v>
      </c>
      <c r="C47" s="220">
        <v>0</v>
      </c>
      <c r="D47" s="38">
        <v>0</v>
      </c>
      <c r="E47" s="39">
        <f t="shared" si="0"/>
        <v>3621.3458939250004</v>
      </c>
      <c r="F47" s="223">
        <f>'Ground load all'!D81</f>
        <v>0</v>
      </c>
      <c r="G47" s="224">
        <f t="shared" si="1"/>
        <v>-3621.3458939250004</v>
      </c>
    </row>
    <row r="48" spans="1:7" ht="14.5">
      <c r="A48" s="38">
        <v>19</v>
      </c>
      <c r="B48" s="37">
        <f>'Wing inertia load'!$D$31/60*'Wing Ground load'!$B$3*9.81</f>
        <v>7242.6917878500008</v>
      </c>
      <c r="C48" s="220">
        <v>0</v>
      </c>
      <c r="D48" s="38">
        <v>0</v>
      </c>
      <c r="E48" s="39">
        <f t="shared" si="0"/>
        <v>3621.3458939250004</v>
      </c>
      <c r="F48" s="223">
        <f>'Ground load all'!D82</f>
        <v>0</v>
      </c>
      <c r="G48" s="224">
        <f t="shared" si="1"/>
        <v>-3621.3458939250004</v>
      </c>
    </row>
    <row r="49" spans="1:7" ht="14.5">
      <c r="A49" s="38">
        <v>19.5</v>
      </c>
      <c r="B49" s="37">
        <f>'Wing inertia load'!$D$31/60*'Wing Ground load'!$B$3*9.81</f>
        <v>7242.6917878500008</v>
      </c>
      <c r="C49" s="220">
        <v>0</v>
      </c>
      <c r="D49" s="38">
        <v>0</v>
      </c>
      <c r="E49" s="39">
        <f t="shared" si="0"/>
        <v>3621.3458939250004</v>
      </c>
      <c r="F49" s="223">
        <f>'Ground load all'!D83</f>
        <v>0</v>
      </c>
      <c r="G49" s="224">
        <f t="shared" si="1"/>
        <v>-3621.3458939250004</v>
      </c>
    </row>
    <row r="50" spans="1:7" ht="14.5">
      <c r="A50" s="38">
        <v>20</v>
      </c>
      <c r="B50" s="37">
        <f>'Wing inertia load'!$D$31/60*'Wing Ground load'!$B$3*9.81</f>
        <v>7242.6917878500008</v>
      </c>
      <c r="C50" s="220">
        <v>0</v>
      </c>
      <c r="D50" s="38">
        <v>0</v>
      </c>
      <c r="E50" s="39">
        <f t="shared" si="0"/>
        <v>3621.3458939250004</v>
      </c>
      <c r="F50" s="223">
        <f>'Ground load all'!D84</f>
        <v>0</v>
      </c>
      <c r="G50" s="224">
        <f t="shared" si="1"/>
        <v>-3621.3458939250004</v>
      </c>
    </row>
    <row r="51" spans="1:7" ht="14.5">
      <c r="A51" s="38">
        <v>20.5</v>
      </c>
      <c r="B51" s="37">
        <f>'Wing inertia load'!$D$31/60*'Wing Ground load'!$B$3*9.81</f>
        <v>7242.6917878500008</v>
      </c>
      <c r="C51" s="220">
        <v>0</v>
      </c>
      <c r="D51" s="38">
        <v>0</v>
      </c>
      <c r="E51" s="39">
        <f t="shared" si="0"/>
        <v>3621.3458939250004</v>
      </c>
      <c r="F51" s="223">
        <f>'Ground load all'!D85</f>
        <v>0</v>
      </c>
      <c r="G51" s="224">
        <f t="shared" si="1"/>
        <v>-3621.3458939250004</v>
      </c>
    </row>
    <row r="52" spans="1:7" ht="14.5">
      <c r="A52" s="38">
        <v>21</v>
      </c>
      <c r="B52" s="37">
        <f>'Wing inertia load'!$D$31/60*'Wing Ground load'!$B$3*9.81</f>
        <v>7242.6917878500008</v>
      </c>
      <c r="C52" s="220">
        <v>0</v>
      </c>
      <c r="D52" s="38">
        <v>0</v>
      </c>
      <c r="E52" s="39">
        <f t="shared" si="0"/>
        <v>3621.3458939250004</v>
      </c>
      <c r="F52" s="223">
        <f>'Ground load all'!D86</f>
        <v>0</v>
      </c>
      <c r="G52" s="224">
        <f t="shared" si="1"/>
        <v>-3621.3458939250004</v>
      </c>
    </row>
    <row r="53" spans="1:7" ht="14.5">
      <c r="A53" s="38">
        <v>21.5</v>
      </c>
      <c r="B53" s="37">
        <f>'Wing inertia load'!$D$31/60*'Wing Ground load'!$B$3*9.81</f>
        <v>7242.6917878500008</v>
      </c>
      <c r="C53" s="220">
        <v>0</v>
      </c>
      <c r="D53" s="38">
        <v>0</v>
      </c>
      <c r="E53" s="39">
        <f t="shared" si="0"/>
        <v>3621.3458939250004</v>
      </c>
      <c r="F53" s="223">
        <f>'Ground load all'!D87</f>
        <v>0</v>
      </c>
      <c r="G53" s="224">
        <f t="shared" si="1"/>
        <v>-3621.3458939250004</v>
      </c>
    </row>
    <row r="54" spans="1:7" ht="14.5">
      <c r="A54" s="38">
        <v>22</v>
      </c>
      <c r="B54" s="37">
        <f>'Wing inertia load'!$D$31/60*'Wing Ground load'!$B$3*9.81</f>
        <v>7242.6917878500008</v>
      </c>
      <c r="C54" s="220">
        <v>0</v>
      </c>
      <c r="D54" s="38">
        <v>0</v>
      </c>
      <c r="E54" s="39">
        <f t="shared" si="0"/>
        <v>3621.3458939250004</v>
      </c>
      <c r="F54" s="223">
        <f>'Ground load all'!D88</f>
        <v>0</v>
      </c>
      <c r="G54" s="224">
        <f t="shared" si="1"/>
        <v>-3621.3458939250004</v>
      </c>
    </row>
    <row r="55" spans="1:7" ht="14.5">
      <c r="A55" s="38">
        <v>22.5</v>
      </c>
      <c r="B55" s="37">
        <f>'Wing inertia load'!$D$31/60*'Wing Ground load'!$B$3*9.81</f>
        <v>7242.6917878500008</v>
      </c>
      <c r="C55" s="220">
        <v>0</v>
      </c>
      <c r="D55" s="38">
        <v>0</v>
      </c>
      <c r="E55" s="39">
        <f t="shared" si="0"/>
        <v>3621.3458939250004</v>
      </c>
      <c r="F55" s="223">
        <f>'Ground load all'!D89</f>
        <v>0</v>
      </c>
      <c r="G55" s="224">
        <f t="shared" si="1"/>
        <v>-3621.3458939250004</v>
      </c>
    </row>
    <row r="56" spans="1:7" ht="14.5">
      <c r="A56" s="38">
        <v>23</v>
      </c>
      <c r="B56" s="37">
        <f>'Wing inertia load'!$D$31/60*'Wing Ground load'!$B$3*9.81</f>
        <v>7242.6917878500008</v>
      </c>
      <c r="C56" s="220">
        <v>0</v>
      </c>
      <c r="D56" s="38">
        <v>0</v>
      </c>
      <c r="E56" s="39">
        <f t="shared" si="0"/>
        <v>3621.3458939250004</v>
      </c>
      <c r="F56" s="223">
        <f>'Ground load all'!D90</f>
        <v>0</v>
      </c>
      <c r="G56" s="224">
        <f t="shared" si="1"/>
        <v>-3621.3458939250004</v>
      </c>
    </row>
    <row r="57" spans="1:7" ht="14.5">
      <c r="A57" s="38">
        <v>23.5</v>
      </c>
      <c r="B57" s="37">
        <f>'Wing inertia load'!$D$31/60*'Wing Ground load'!$B$3*9.81</f>
        <v>7242.6917878500008</v>
      </c>
      <c r="C57" s="220">
        <v>0</v>
      </c>
      <c r="D57" s="38">
        <v>0</v>
      </c>
      <c r="E57" s="39">
        <f t="shared" si="0"/>
        <v>3621.3458939250004</v>
      </c>
      <c r="F57" s="223">
        <f>'Ground load all'!D91</f>
        <v>0</v>
      </c>
      <c r="G57" s="224">
        <f t="shared" si="1"/>
        <v>-3621.3458939250004</v>
      </c>
    </row>
    <row r="58" spans="1:7" ht="14.5">
      <c r="A58" s="38">
        <v>24</v>
      </c>
      <c r="B58" s="37">
        <f>'Wing inertia load'!$D$31/60*'Wing Ground load'!$B$3*9.81</f>
        <v>7242.6917878500008</v>
      </c>
      <c r="C58" s="220">
        <v>0</v>
      </c>
      <c r="D58" s="38">
        <v>0</v>
      </c>
      <c r="E58" s="39">
        <f t="shared" si="0"/>
        <v>3621.3458939250004</v>
      </c>
      <c r="F58" s="223">
        <f>'Ground load all'!D92</f>
        <v>0</v>
      </c>
      <c r="G58" s="224">
        <f t="shared" si="1"/>
        <v>-3621.3458939250004</v>
      </c>
    </row>
    <row r="59" spans="1:7" ht="14.5">
      <c r="A59" s="38">
        <v>24.5</v>
      </c>
      <c r="B59" s="37">
        <f>'Wing inertia load'!$D$31/60*'Wing Ground load'!$B$3*9.81</f>
        <v>7242.6917878500008</v>
      </c>
      <c r="C59" s="220">
        <v>0</v>
      </c>
      <c r="D59" s="38">
        <v>0</v>
      </c>
      <c r="E59" s="39">
        <f t="shared" si="0"/>
        <v>3621.3458939250004</v>
      </c>
      <c r="F59" s="223">
        <f>'Ground load all'!D93</f>
        <v>0</v>
      </c>
      <c r="G59" s="224">
        <f t="shared" si="1"/>
        <v>-3621.3458939250004</v>
      </c>
    </row>
    <row r="60" spans="1:7" ht="14.5">
      <c r="A60" s="38">
        <v>25</v>
      </c>
      <c r="B60" s="37">
        <f>'Wing inertia load'!$D$31/60*'Wing Ground load'!$B$3*9.81</f>
        <v>7242.6917878500008</v>
      </c>
      <c r="C60" s="220">
        <v>0</v>
      </c>
      <c r="D60" s="38">
        <v>0</v>
      </c>
      <c r="E60" s="39">
        <f t="shared" si="0"/>
        <v>3621.3458939250004</v>
      </c>
      <c r="F60" s="223">
        <f>'Ground load all'!D94</f>
        <v>0</v>
      </c>
      <c r="G60" s="224">
        <f t="shared" si="1"/>
        <v>-3621.3458939250004</v>
      </c>
    </row>
    <row r="61" spans="1:7" ht="14.5">
      <c r="A61" s="38">
        <v>25.5</v>
      </c>
      <c r="B61" s="37">
        <f>'Wing inertia load'!$D$31/60*'Wing Ground load'!$B$3*9.81</f>
        <v>7242.6917878500008</v>
      </c>
      <c r="C61" s="220">
        <v>0</v>
      </c>
      <c r="D61" s="38">
        <v>0</v>
      </c>
      <c r="E61" s="39">
        <f t="shared" si="0"/>
        <v>3621.3458939250004</v>
      </c>
      <c r="F61" s="223">
        <f>'Ground load all'!D95</f>
        <v>0</v>
      </c>
      <c r="G61" s="224">
        <f t="shared" si="1"/>
        <v>-3621.3458939250004</v>
      </c>
    </row>
    <row r="62" spans="1:7" ht="14.5">
      <c r="A62" s="38">
        <v>26</v>
      </c>
      <c r="B62" s="37">
        <f>'Wing inertia load'!$D$31/60*'Wing Ground load'!$B$3*9.81</f>
        <v>7242.6917878500008</v>
      </c>
      <c r="C62" s="220">
        <v>0</v>
      </c>
      <c r="D62" s="38">
        <v>0</v>
      </c>
      <c r="E62" s="39">
        <f t="shared" si="0"/>
        <v>3621.3458939250004</v>
      </c>
      <c r="F62" s="223">
        <f>'Ground load all'!D96</f>
        <v>0</v>
      </c>
      <c r="G62" s="224">
        <f t="shared" si="1"/>
        <v>-3621.3458939250004</v>
      </c>
    </row>
    <row r="63" spans="1:7" ht="14.5">
      <c r="A63" s="38">
        <v>26.5</v>
      </c>
      <c r="B63" s="37">
        <f>'Wing inertia load'!$D$31/60*'Wing Ground load'!$B$3*9.81</f>
        <v>7242.6917878500008</v>
      </c>
      <c r="C63" s="220">
        <v>0</v>
      </c>
      <c r="D63" s="38">
        <v>0</v>
      </c>
      <c r="E63" s="39">
        <f t="shared" si="0"/>
        <v>3621.3458939250004</v>
      </c>
      <c r="F63" s="223">
        <f>'Ground load all'!D97</f>
        <v>0</v>
      </c>
      <c r="G63" s="224">
        <f t="shared" si="1"/>
        <v>-3621.3458939250004</v>
      </c>
    </row>
    <row r="64" spans="1:7" ht="14.5">
      <c r="A64" s="38">
        <v>27</v>
      </c>
      <c r="B64" s="37">
        <f>'Wing inertia load'!$D$31/60*'Wing Ground load'!$B$3*9.81</f>
        <v>7242.6917878500008</v>
      </c>
      <c r="C64" s="220">
        <v>0</v>
      </c>
      <c r="D64" s="38">
        <v>0</v>
      </c>
      <c r="E64" s="39">
        <f t="shared" si="0"/>
        <v>3621.3458939250004</v>
      </c>
      <c r="F64" s="223">
        <f>'Ground load all'!D98</f>
        <v>0</v>
      </c>
      <c r="G64" s="224">
        <f t="shared" si="1"/>
        <v>-3621.3458939250004</v>
      </c>
    </row>
    <row r="65" spans="1:7" ht="14.5">
      <c r="A65" s="38">
        <v>27.5</v>
      </c>
      <c r="B65" s="37">
        <f>'Wing inertia load'!$D$31/60*'Wing Ground load'!$B$3*9.81</f>
        <v>7242.6917878500008</v>
      </c>
      <c r="C65" s="220">
        <v>0</v>
      </c>
      <c r="D65" s="38">
        <v>0</v>
      </c>
      <c r="E65" s="39">
        <f t="shared" si="0"/>
        <v>3621.3458939250004</v>
      </c>
      <c r="F65" s="223">
        <f>'Ground load all'!D99</f>
        <v>0</v>
      </c>
      <c r="G65" s="224">
        <f t="shared" si="1"/>
        <v>-3621.3458939250004</v>
      </c>
    </row>
    <row r="66" spans="1:7" ht="14.5">
      <c r="A66" s="38">
        <v>28</v>
      </c>
      <c r="B66" s="37">
        <f>'Wing inertia load'!$D$31/60*'Wing Ground load'!$B$3*9.81</f>
        <v>7242.6917878500008</v>
      </c>
      <c r="C66" s="220">
        <v>0</v>
      </c>
      <c r="D66" s="38">
        <v>0</v>
      </c>
      <c r="E66" s="39">
        <f t="shared" si="0"/>
        <v>3621.3458939250004</v>
      </c>
      <c r="F66" s="223">
        <f>'Ground load all'!D100</f>
        <v>0</v>
      </c>
      <c r="G66" s="224">
        <f t="shared" si="1"/>
        <v>-3621.3458939250004</v>
      </c>
    </row>
    <row r="67" spans="1:7" ht="14.5">
      <c r="A67" s="38">
        <v>28.5</v>
      </c>
      <c r="B67" s="37">
        <f>'Wing inertia load'!$D$31/60*'Wing Ground load'!$B$3*9.81</f>
        <v>7242.6917878500008</v>
      </c>
      <c r="C67" s="220">
        <v>0</v>
      </c>
      <c r="D67" s="38">
        <v>0</v>
      </c>
      <c r="E67" s="39">
        <f t="shared" si="0"/>
        <v>3621.3458939250004</v>
      </c>
      <c r="F67" s="223">
        <f>'Ground load all'!D101</f>
        <v>0</v>
      </c>
      <c r="G67" s="224">
        <f t="shared" si="1"/>
        <v>-3621.3458939250004</v>
      </c>
    </row>
    <row r="68" spans="1:7" ht="14.5">
      <c r="A68" s="38">
        <v>29</v>
      </c>
      <c r="B68" s="37">
        <f>'Wing inertia load'!$D$31/60*'Wing Ground load'!$B$3*9.81</f>
        <v>7242.6917878500008</v>
      </c>
      <c r="C68" s="220">
        <v>0</v>
      </c>
      <c r="D68" s="38">
        <v>0</v>
      </c>
      <c r="E68" s="39">
        <f t="shared" si="0"/>
        <v>2245.2344542334909</v>
      </c>
      <c r="F68" s="223">
        <f>'Ground load all'!D102</f>
        <v>0</v>
      </c>
      <c r="G68" s="224">
        <f t="shared" si="1"/>
        <v>-2245.2344542334909</v>
      </c>
    </row>
    <row r="69" spans="1:7" ht="14.5">
      <c r="A69" s="38">
        <v>29.31</v>
      </c>
      <c r="B69" s="37">
        <f>'Wing inertia load'!$D$31/60*'Wing Ground load'!$B$3*9.81</f>
        <v>7242.6917878500008</v>
      </c>
      <c r="C69" s="220">
        <v>0</v>
      </c>
      <c r="D69" s="38">
        <v>0</v>
      </c>
      <c r="E69" s="39">
        <v>0</v>
      </c>
      <c r="F69" s="223">
        <f>'Ground load all'!D103</f>
        <v>0</v>
      </c>
      <c r="G69" s="224">
        <f t="shared" si="1"/>
        <v>0</v>
      </c>
    </row>
    <row r="70" spans="1:7">
      <c r="G70" s="224"/>
    </row>
  </sheetData>
  <mergeCells count="1">
    <mergeCell ref="A1:C1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10"/>
  <sheetViews>
    <sheetView zoomScale="55" zoomScaleNormal="55" workbookViewId="0">
      <pane xSplit="1" ySplit="1" topLeftCell="E31" activePane="bottomRight" state="frozen"/>
      <selection pane="topRight" activeCell="B1" sqref="B1"/>
      <selection pane="bottomLeft" activeCell="A2" sqref="A2"/>
      <selection pane="bottomRight" activeCell="Y37" sqref="Y37:Y96"/>
    </sheetView>
  </sheetViews>
  <sheetFormatPr defaultColWidth="8.83203125" defaultRowHeight="14.5"/>
  <cols>
    <col min="1" max="1" width="25.6640625" style="50" customWidth="1"/>
    <col min="2" max="2" width="9.1640625" style="4"/>
    <col min="3" max="3" width="23.83203125" style="4" bestFit="1" customWidth="1"/>
    <col min="4" max="4" width="12.91406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25" style="4" bestFit="1" customWidth="1"/>
    <col min="12" max="12" width="15.83203125" style="4" customWidth="1"/>
    <col min="13" max="13" width="16.33203125" style="4" bestFit="1" customWidth="1"/>
    <col min="14" max="15" width="14.66406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33" width="8.83203125" style="4" bestFit="1" customWidth="1"/>
    <col min="34" max="16384" width="8.83203125" style="4"/>
  </cols>
  <sheetData>
    <row r="1" spans="1:26" s="30" customFormat="1" ht="39" customHeight="1" thickBot="1">
      <c r="A1" s="161"/>
      <c r="B1" s="252" t="s">
        <v>115</v>
      </c>
      <c r="C1" s="252"/>
      <c r="D1" s="252"/>
      <c r="E1" s="253"/>
      <c r="F1" s="254" t="s">
        <v>9</v>
      </c>
      <c r="G1" s="255"/>
      <c r="H1" s="267" t="s">
        <v>277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>
      <c r="A2" s="144"/>
      <c r="V2" s="63"/>
    </row>
    <row r="3" spans="1:26">
      <c r="A3" s="159" t="s">
        <v>225</v>
      </c>
    </row>
    <row r="4" spans="1:26">
      <c r="A4" s="290" t="s">
        <v>268</v>
      </c>
    </row>
    <row r="5" spans="1:26">
      <c r="A5" s="249"/>
    </row>
    <row r="6" spans="1:26">
      <c r="A6" s="249"/>
    </row>
    <row r="7" spans="1:26">
      <c r="A7" s="296"/>
    </row>
    <row r="8" spans="1:26">
      <c r="A8" s="296"/>
    </row>
    <row r="9" spans="1:26">
      <c r="A9" s="296"/>
    </row>
    <row r="10" spans="1:26">
      <c r="A10" s="296"/>
    </row>
    <row r="11" spans="1:26">
      <c r="A11" s="296"/>
    </row>
    <row r="12" spans="1:26">
      <c r="A12" s="296"/>
    </row>
    <row r="13" spans="1:26">
      <c r="A13" s="296"/>
    </row>
    <row r="14" spans="1:26" ht="16" customHeight="1">
      <c r="A14" s="296"/>
    </row>
    <row r="15" spans="1:26">
      <c r="A15" s="296"/>
    </row>
    <row r="16" spans="1:26">
      <c r="A16" s="296"/>
    </row>
    <row r="17" spans="1:22">
      <c r="A17" s="296"/>
    </row>
    <row r="18" spans="1:22">
      <c r="A18" s="296"/>
    </row>
    <row r="19" spans="1:22" s="143" customFormat="1">
      <c r="A19" s="297"/>
    </row>
    <row r="21" spans="1:22">
      <c r="A21" s="159" t="s">
        <v>234</v>
      </c>
      <c r="C21" s="299" t="s">
        <v>262</v>
      </c>
      <c r="D21" s="300"/>
      <c r="E21" s="300"/>
      <c r="F21" s="300"/>
      <c r="I21" s="261" t="s">
        <v>263</v>
      </c>
      <c r="J21" s="264"/>
      <c r="K21" s="264"/>
      <c r="L21" s="262"/>
      <c r="N21" s="261" t="s">
        <v>264</v>
      </c>
      <c r="O21" s="264"/>
      <c r="P21" s="264"/>
      <c r="Q21" s="262"/>
    </row>
    <row r="22" spans="1:22">
      <c r="A22" s="290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>
      <c r="A23" s="291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>
      <c r="A24" s="291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>
      <c r="A25" s="291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>
      <c r="A26" s="291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-1.5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>
      <c r="A27" s="291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>
      <c r="A28" s="291"/>
      <c r="C28" s="6" t="s">
        <v>149</v>
      </c>
      <c r="D28" s="57" t="s">
        <v>150</v>
      </c>
      <c r="E28" s="52">
        <f>VLOOKUP('Wing Torque'!G23,' n-V diagram'!H42:K47,3,FALSE)</f>
        <v>-1055842.3481634818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>
      <c r="A29" s="291"/>
      <c r="C29" s="6" t="s">
        <v>154</v>
      </c>
      <c r="D29" s="6" t="s">
        <v>155</v>
      </c>
      <c r="E29" s="52">
        <f>E23*K23+E25*E24*9.81*K26-K24*E26*9.81*K26-K25*E27*9.81*K26+E28*1000</f>
        <v>-71743761.563481808</v>
      </c>
      <c r="F29" s="6" t="s">
        <v>156</v>
      </c>
      <c r="N29" s="6" t="s">
        <v>157</v>
      </c>
      <c r="O29" s="6" t="s">
        <v>158</v>
      </c>
      <c r="P29" s="6">
        <f>P30*1000/P28</f>
        <v>-597864679.69568181</v>
      </c>
      <c r="Q29" s="6" t="s">
        <v>80</v>
      </c>
    </row>
    <row r="30" spans="1:22">
      <c r="A30" s="291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-71743761.563481808</v>
      </c>
      <c r="Q30" s="6" t="s">
        <v>151</v>
      </c>
    </row>
    <row r="31" spans="1:22">
      <c r="A31" s="291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>
      <c r="A32" s="291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27">
      <c r="A33" s="292"/>
    </row>
    <row r="34" spans="1:27" s="160" customFormat="1" ht="15" thickBot="1">
      <c r="A34" s="50"/>
    </row>
    <row r="35" spans="1:27" ht="15" thickBot="1">
      <c r="A35" s="163" t="s">
        <v>269</v>
      </c>
      <c r="B35" s="225" t="s">
        <v>325</v>
      </c>
      <c r="D35" s="293" t="s">
        <v>238</v>
      </c>
      <c r="E35" s="294"/>
      <c r="F35" s="294"/>
      <c r="G35" s="295"/>
      <c r="H35" s="293" t="s">
        <v>266</v>
      </c>
      <c r="I35" s="294"/>
      <c r="J35" s="294"/>
      <c r="K35" s="294"/>
      <c r="L35" s="294"/>
      <c r="M35" s="295"/>
      <c r="N35" s="151"/>
    </row>
    <row r="36" spans="1:27" ht="58">
      <c r="A36" s="290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267</v>
      </c>
      <c r="N36" s="209" t="s">
        <v>274</v>
      </c>
      <c r="Y36" s="209" t="s">
        <v>328</v>
      </c>
      <c r="AA36" s="230" t="s">
        <v>329</v>
      </c>
    </row>
    <row r="37" spans="1:27">
      <c r="A37" s="298"/>
      <c r="B37">
        <v>1</v>
      </c>
      <c r="C37" s="149">
        <v>0</v>
      </c>
      <c r="D37" s="85">
        <f>'Wing aero load'!D44*'Wing Torque'!$E$23*B37</f>
        <v>-54960668.613745667</v>
      </c>
      <c r="E37" s="52">
        <f>$E$28*'Wing aero load'!E44/(2*SUM('Wing aero load'!$E$44:$E$80)*0.1)</f>
        <v>-153592.2913861571</v>
      </c>
      <c r="F37" s="52">
        <f>$E$25*B37*$E$24*9.81*$K$26/'Wing aero load'!$D$31</f>
        <v>-3154663.0501535311</v>
      </c>
      <c r="G37" s="211">
        <f>'Wing inertia load'!E46*'Wing Torque'!$E$26*B37/1.65</f>
        <v>0</v>
      </c>
      <c r="H37" s="85">
        <v>-21279.28000000005</v>
      </c>
      <c r="I37" s="52">
        <f>(D38+D37)*(C38-C37)/2</f>
        <v>-27191112.387199573</v>
      </c>
      <c r="J37" s="52">
        <f>(E38+E37)*(C38-C37)/2</f>
        <v>-76784.967391072249</v>
      </c>
      <c r="K37" s="52">
        <f>(F38+F37)*(C38-C37)/2</f>
        <v>-1560842.968278551</v>
      </c>
      <c r="L37" s="52">
        <f>(G38+G37)*(C38-C37)/2</f>
        <v>0</v>
      </c>
      <c r="M37" s="211">
        <f>I37+J37*1000+K37-L37-H37</f>
        <v>-105515643.46655038</v>
      </c>
      <c r="N37" s="67">
        <f>SUM(M37:$M$96)</f>
        <v>-4210305431.6093173</v>
      </c>
      <c r="Y37" s="4">
        <f>N37/1000</f>
        <v>-4210305.4316093177</v>
      </c>
    </row>
    <row r="38" spans="1:27">
      <c r="A38" s="298"/>
      <c r="B38">
        <v>0.9790930992805561</v>
      </c>
      <c r="C38" s="149">
        <v>0.5</v>
      </c>
      <c r="D38" s="85">
        <f>'Wing aero load'!D45*'Wing Torque'!$E$23*B38</f>
        <v>-53803780.935052633</v>
      </c>
      <c r="E38" s="52">
        <f>$E$28*'Wing aero load'!E45/(2*SUM('Wing aero load'!$E$44:$E$80)*0.1)</f>
        <v>-153547.57817813192</v>
      </c>
      <c r="F38" s="52">
        <f>$E$25*B38*$E$24*9.81*$K$26/'Wing aero load'!$D$31</f>
        <v>-3088708.8229606734</v>
      </c>
      <c r="G38" s="211">
        <f>'Wing inertia load'!E47*'Wing Torque'!$E$26*B38/1.65</f>
        <v>0</v>
      </c>
      <c r="H38" s="85">
        <v>-21279.28000000005</v>
      </c>
      <c r="I38" s="52">
        <f t="shared" ref="I38:I96" si="0">(D39+D38)*(C39-C38)/2</f>
        <v>-26608918.861858383</v>
      </c>
      <c r="J38" s="52">
        <f t="shared" ref="J38:J96" si="1">(E39+E38)*(C39-C38)/2</f>
        <v>-76751.422711113613</v>
      </c>
      <c r="K38" s="52">
        <f t="shared" ref="K38:K96" si="2">(F39+F38)*(C39-C38)/2</f>
        <v>-1527865.8546821226</v>
      </c>
      <c r="L38" s="52">
        <f t="shared" ref="L38:L96" si="3">(G39+G38)*(C39-C38)/2</f>
        <v>0</v>
      </c>
      <c r="M38" s="211">
        <f t="shared" ref="M38:M96" si="4">I38+J38*1000+K38-L38-H38</f>
        <v>-104866928.14765412</v>
      </c>
      <c r="N38" s="67">
        <f>SUM(M38:$M$96)</f>
        <v>-4104789788.142767</v>
      </c>
      <c r="Y38" s="4">
        <f t="shared" ref="Y38:Y96" si="5">N38/1000</f>
        <v>-4104789.7881427668</v>
      </c>
    </row>
    <row r="39" spans="1:27">
      <c r="A39" s="298"/>
      <c r="B39">
        <v>0.95818619856111253</v>
      </c>
      <c r="C39" s="149">
        <v>1</v>
      </c>
      <c r="D39" s="85">
        <f>'Wing aero load'!D46*'Wing Torque'!$E$23*B39</f>
        <v>-52631894.512380898</v>
      </c>
      <c r="E39" s="52">
        <f>$E$28*'Wing aero load'!E46/(2*SUM('Wing aero load'!$E$44:$E$80)*0.1)</f>
        <v>-153458.11266632256</v>
      </c>
      <c r="F39" s="52">
        <f>$E$25*B39*$E$24*9.81*$K$26/'Wing aero load'!$D$31</f>
        <v>-3022754.595767817</v>
      </c>
      <c r="G39" s="211">
        <f>'Wing inertia load'!E48*'Wing Torque'!$E$26*B39/1.65</f>
        <v>0</v>
      </c>
      <c r="H39" s="85">
        <v>-21279.28000000005</v>
      </c>
      <c r="I39" s="52">
        <f t="shared" si="0"/>
        <v>-26019471.964384262</v>
      </c>
      <c r="J39" s="52">
        <f t="shared" si="1"/>
        <v>-76695.482288578452</v>
      </c>
      <c r="K39" s="52">
        <f t="shared" si="2"/>
        <v>-1494888.7410856935</v>
      </c>
      <c r="L39" s="52">
        <f t="shared" si="3"/>
        <v>0</v>
      </c>
      <c r="M39" s="211">
        <f t="shared" si="4"/>
        <v>-104188563.7140484</v>
      </c>
      <c r="N39" s="67">
        <f>SUM(M39:$M$96)</f>
        <v>-3999922859.9951134</v>
      </c>
      <c r="Y39" s="4">
        <f t="shared" si="5"/>
        <v>-3999922.8599951132</v>
      </c>
    </row>
    <row r="40" spans="1:27">
      <c r="A40" s="298"/>
      <c r="B40">
        <v>0.93727929784166797</v>
      </c>
      <c r="C40" s="149">
        <v>1.5</v>
      </c>
      <c r="D40" s="85">
        <f>'Wing aero load'!D47*'Wing Torque'!$E$23*B40</f>
        <v>-51445993.345156148</v>
      </c>
      <c r="E40" s="52">
        <f>$E$28*'Wing aero load'!E47/(2*SUM('Wing aero load'!$E$44:$E$80)*0.1)</f>
        <v>-153323.81648799125</v>
      </c>
      <c r="F40" s="52">
        <f>$E$25*B40*$E$24*9.81*$K$26/'Wing aero load'!$D$31</f>
        <v>-2956800.3685749569</v>
      </c>
      <c r="G40" s="211">
        <f>'Wing inertia load'!E49*'Wing Torque'!$E$26*B40/1.65</f>
        <v>0</v>
      </c>
      <c r="H40" s="85">
        <v>-21279.28000000005</v>
      </c>
      <c r="I40" s="52">
        <f t="shared" si="0"/>
        <v>-25423260.904034354</v>
      </c>
      <c r="J40" s="52">
        <f t="shared" si="1"/>
        <v>-76617.097039304819</v>
      </c>
      <c r="K40" s="52">
        <f t="shared" si="2"/>
        <v>-1461911.6274892641</v>
      </c>
      <c r="L40" s="52">
        <f t="shared" si="3"/>
        <v>0</v>
      </c>
      <c r="M40" s="211">
        <f t="shared" si="4"/>
        <v>-103480990.29082844</v>
      </c>
      <c r="N40" s="67">
        <f>SUM(M40:$M$96)</f>
        <v>-3895734296.281065</v>
      </c>
      <c r="Y40" s="4">
        <f t="shared" si="5"/>
        <v>-3895734.2962810649</v>
      </c>
    </row>
    <row r="41" spans="1:27">
      <c r="A41" s="298"/>
      <c r="B41">
        <v>0.91637239712222418</v>
      </c>
      <c r="C41" s="149">
        <v>2</v>
      </c>
      <c r="D41" s="85">
        <f>'Wing aero load'!D48*'Wing Torque'!$E$23*B41</f>
        <v>-50247050.27098126</v>
      </c>
      <c r="E41" s="52">
        <f>$E$28*'Wing aero load'!E48/(2*SUM('Wing aero load'!$E$44:$E$80)*0.1)</f>
        <v>-153144.57166922803</v>
      </c>
      <c r="F41" s="52">
        <f>$E$25*B41*$E$24*9.81*$K$26/'Wing aero load'!$D$31</f>
        <v>-2890846.1413820991</v>
      </c>
      <c r="G41" s="211">
        <f>'Wing inertia load'!E50*'Wing Torque'!$E$26*B41/1.65</f>
        <v>0</v>
      </c>
      <c r="H41" s="85">
        <v>-21279.28000000005</v>
      </c>
      <c r="I41" s="52">
        <f t="shared" si="0"/>
        <v>-24820769.642984569</v>
      </c>
      <c r="J41" s="52">
        <f t="shared" si="1"/>
        <v>-76516.197943368054</v>
      </c>
      <c r="K41" s="52">
        <f t="shared" si="2"/>
        <v>-1428934.5138928352</v>
      </c>
      <c r="L41" s="52">
        <f t="shared" si="3"/>
        <v>0</v>
      </c>
      <c r="M41" s="211">
        <f t="shared" si="4"/>
        <v>-102744622.82024544</v>
      </c>
      <c r="N41" s="67">
        <f>SUM(M41:$M$96)</f>
        <v>-3792253305.9902368</v>
      </c>
      <c r="Y41" s="4">
        <f t="shared" si="5"/>
        <v>-3792253.3059902368</v>
      </c>
    </row>
    <row r="42" spans="1:27">
      <c r="A42" s="298"/>
      <c r="B42">
        <v>0.89546549640278061</v>
      </c>
      <c r="C42" s="149">
        <v>2.5</v>
      </c>
      <c r="D42" s="85">
        <f>'Wing aero load'!D49*'Wing Torque'!$E$23*B42</f>
        <v>-49036028.300957017</v>
      </c>
      <c r="E42" s="52">
        <f>$E$28*'Wing aero load'!E49/(2*SUM('Wing aero load'!$E$44:$E$80)*0.1)</f>
        <v>-152920.22010424422</v>
      </c>
      <c r="F42" s="52">
        <f>$E$25*B42*$E$24*9.81*$K$26/'Wing aero load'!$D$31</f>
        <v>-2824891.9141892418</v>
      </c>
      <c r="G42" s="211">
        <f>'Wing inertia load'!E51*'Wing Torque'!$E$26*B42/1.65</f>
        <v>0</v>
      </c>
      <c r="H42" s="85">
        <v>-21279.28000000005</v>
      </c>
      <c r="I42" s="52">
        <f t="shared" si="0"/>
        <v>-24212477.554847404</v>
      </c>
      <c r="J42" s="52">
        <f t="shared" si="1"/>
        <v>-76392.695739251096</v>
      </c>
      <c r="K42" s="52">
        <f t="shared" si="2"/>
        <v>-1395957.4002964064</v>
      </c>
      <c r="L42" s="52">
        <f t="shared" si="3"/>
        <v>0</v>
      </c>
      <c r="M42" s="211">
        <f t="shared" si="4"/>
        <v>-101979851.4143949</v>
      </c>
      <c r="N42" s="67">
        <f>SUM(M42:$M$96)</f>
        <v>-3689508683.169991</v>
      </c>
      <c r="Y42" s="4">
        <f t="shared" si="5"/>
        <v>-3689508.6831699912</v>
      </c>
    </row>
    <row r="43" spans="1:27">
      <c r="A43" s="298"/>
      <c r="B43">
        <v>0.87455859568333671</v>
      </c>
      <c r="C43" s="149">
        <v>3</v>
      </c>
      <c r="D43" s="85">
        <f>'Wing aero load'!D50*'Wing Torque'!$E$23*B43</f>
        <v>-47813881.918432608</v>
      </c>
      <c r="E43" s="52">
        <f>$E$28*'Wing aero load'!E50/(2*SUM('Wing aero load'!$E$44:$E$80)*0.1)</f>
        <v>-152650.56285276017</v>
      </c>
      <c r="F43" s="52">
        <f>$E$25*B43*$E$24*9.81*$K$26/'Wing aero load'!$D$31</f>
        <v>-2758937.6869963841</v>
      </c>
      <c r="G43" s="211">
        <f>'Wing inertia load'!E52*'Wing Torque'!$E$26*B43/1.65</f>
        <v>0</v>
      </c>
      <c r="H43" s="85">
        <v>-21279.28000000005</v>
      </c>
      <c r="I43" s="52">
        <f t="shared" si="0"/>
        <v>-23598860.066760287</v>
      </c>
      <c r="J43" s="52">
        <f t="shared" si="1"/>
        <v>-76246.480525225677</v>
      </c>
      <c r="K43" s="52">
        <f t="shared" si="2"/>
        <v>-1362980.2866999777</v>
      </c>
      <c r="L43" s="52">
        <f t="shared" si="3"/>
        <v>0</v>
      </c>
      <c r="M43" s="211">
        <f t="shared" si="4"/>
        <v>-101187041.59868595</v>
      </c>
      <c r="N43" s="67">
        <f>SUM(M43:$M$96)</f>
        <v>-3587528831.7555962</v>
      </c>
      <c r="Y43" s="4">
        <f t="shared" si="5"/>
        <v>-3587528.8317555962</v>
      </c>
    </row>
    <row r="44" spans="1:27">
      <c r="A44" s="298"/>
      <c r="B44">
        <v>0.85365169496389304</v>
      </c>
      <c r="C44" s="149">
        <v>3.5</v>
      </c>
      <c r="D44" s="85">
        <f>'Wing aero load'!D51*'Wing Torque'!$E$23*B44</f>
        <v>-46581558.348608546</v>
      </c>
      <c r="E44" s="52">
        <f>$E$28*'Wing aero load'!E51/(2*SUM('Wing aero load'!$E$44:$E$80)*0.1)</f>
        <v>-152335.35924814254</v>
      </c>
      <c r="F44" s="52">
        <f>$E$25*B44*$E$24*9.81*$K$26/'Wing aero load'!$D$31</f>
        <v>-2692983.4598035268</v>
      </c>
      <c r="G44" s="211">
        <f>'Wing inertia load'!E53*'Wing Torque'!$E$26*B44/1.65</f>
        <v>0</v>
      </c>
      <c r="H44" s="85">
        <v>0</v>
      </c>
      <c r="I44" s="52">
        <f t="shared" si="0"/>
        <v>-22980389.288700931</v>
      </c>
      <c r="J44" s="52">
        <f t="shared" si="1"/>
        <v>-76077.4212637491</v>
      </c>
      <c r="K44" s="52">
        <f t="shared" si="2"/>
        <v>-1330003.1731035493</v>
      </c>
      <c r="L44" s="52">
        <f t="shared" si="3"/>
        <v>0</v>
      </c>
      <c r="M44" s="211">
        <f t="shared" si="4"/>
        <v>-100387813.72555359</v>
      </c>
      <c r="N44" s="67">
        <f>SUM(M44:$M$96)</f>
        <v>-3486341790.1569104</v>
      </c>
      <c r="Y44" s="4">
        <f t="shared" si="5"/>
        <v>-3486341.7901569102</v>
      </c>
    </row>
    <row r="45" spans="1:27">
      <c r="B45">
        <v>0.83274479424444947</v>
      </c>
      <c r="C45" s="149">
        <v>4</v>
      </c>
      <c r="D45" s="85">
        <f>'Wing aero load'!D52*'Wing Torque'!$E$23*B45</f>
        <v>-45339998.80619517</v>
      </c>
      <c r="E45" s="52">
        <f>$E$28*'Wing aero load'!E52/(2*SUM('Wing aero load'!$E$44:$E$80)*0.1)</f>
        <v>-151974.32580685389</v>
      </c>
      <c r="F45" s="52">
        <f>$E$25*B45*$E$24*9.81*$K$26/'Wing aero load'!$D$31</f>
        <v>-2627029.2326106704</v>
      </c>
      <c r="G45" s="211">
        <f>'Wing inertia load'!E54*'Wing Torque'!$E$26*B45/1.65</f>
        <v>0</v>
      </c>
      <c r="H45" s="85">
        <v>0</v>
      </c>
      <c r="I45" s="52">
        <f t="shared" si="0"/>
        <v>-22376583.622504368</v>
      </c>
      <c r="J45" s="52">
        <f t="shared" si="1"/>
        <v>-75885.365183588816</v>
      </c>
      <c r="K45" s="52">
        <f t="shared" si="2"/>
        <v>-1298132.5629037144</v>
      </c>
      <c r="L45" s="52">
        <f t="shared" si="3"/>
        <v>0</v>
      </c>
      <c r="M45" s="211">
        <f t="shared" si="4"/>
        <v>-99560081.368996903</v>
      </c>
      <c r="N45" s="67">
        <f>SUM(M45:$M$96)</f>
        <v>-3385953976.4313564</v>
      </c>
      <c r="Y45" s="4">
        <f t="shared" si="5"/>
        <v>-3385953.9764313563</v>
      </c>
    </row>
    <row r="46" spans="1:27">
      <c r="B46">
        <v>0.81324090028547691</v>
      </c>
      <c r="C46" s="149">
        <v>4.5</v>
      </c>
      <c r="D46" s="85">
        <f>'Wing aero load'!D53*'Wing Torque'!$E$23*B46</f>
        <v>-44166335.683822304</v>
      </c>
      <c r="E46" s="52">
        <f>$E$28*'Wing aero load'!E53/(2*SUM('Wing aero load'!$E$44:$E$80)*0.1)</f>
        <v>-151567.13492750135</v>
      </c>
      <c r="F46" s="52">
        <f>$E$25*B46*$E$24*9.81*$K$26/'Wing aero load'!$D$31</f>
        <v>-2565501.0190041866</v>
      </c>
      <c r="G46" s="211">
        <f>'Wing inertia load'!E55*'Wing Torque'!$E$26*B46/1.65</f>
        <v>0</v>
      </c>
      <c r="H46" s="85">
        <v>0</v>
      </c>
      <c r="I46" s="52">
        <f t="shared" si="0"/>
        <v>-21892893.08342912</v>
      </c>
      <c r="J46" s="52">
        <f t="shared" si="1"/>
        <v>-75670.137073192804</v>
      </c>
      <c r="K46" s="52">
        <f t="shared" si="2"/>
        <v>-1273490.2437744348</v>
      </c>
      <c r="L46" s="52">
        <f t="shared" si="3"/>
        <v>0</v>
      </c>
      <c r="M46" s="211">
        <f t="shared" si="4"/>
        <v>-98836520.400396362</v>
      </c>
      <c r="N46" s="67">
        <f>SUM(M46:$M$96)</f>
        <v>-3286393895.0623603</v>
      </c>
      <c r="Y46" s="4">
        <f t="shared" si="5"/>
        <v>-3286393.8950623604</v>
      </c>
    </row>
    <row r="47" spans="1:27">
      <c r="B47">
        <v>0.80149921430451876</v>
      </c>
      <c r="C47" s="149">
        <v>5</v>
      </c>
      <c r="D47" s="85">
        <f>'Wing aero load'!D54*'Wing Torque'!$E$23*B47</f>
        <v>-43405236.649894185</v>
      </c>
      <c r="E47" s="52">
        <f>$E$28*'Wing aero load'!E54/(2*SUM('Wing aero load'!$E$44:$E$80)*0.1)</f>
        <v>-151113.41336526989</v>
      </c>
      <c r="F47" s="52">
        <f>$E$25*B47*$E$24*9.81*$K$26/'Wing aero load'!$D$31</f>
        <v>-2528459.9560935525</v>
      </c>
      <c r="G47" s="211">
        <f>'Wing inertia load'!E56*'Wing Torque'!$E$26*B47/1.65</f>
        <v>0</v>
      </c>
      <c r="H47" s="85">
        <v>0</v>
      </c>
      <c r="I47" s="52">
        <f t="shared" si="0"/>
        <v>-21519800.21581975</v>
      </c>
      <c r="J47" s="52">
        <f t="shared" si="1"/>
        <v>-75431.538457500486</v>
      </c>
      <c r="K47" s="52">
        <f t="shared" si="2"/>
        <v>-1255545.5359188416</v>
      </c>
      <c r="L47" s="52">
        <f t="shared" si="3"/>
        <v>0</v>
      </c>
      <c r="M47" s="211">
        <f t="shared" si="4"/>
        <v>-98206884.209239081</v>
      </c>
      <c r="N47" s="67">
        <f>SUM(M47:$M$96)</f>
        <v>-3187557374.6619639</v>
      </c>
      <c r="Y47" s="4">
        <f t="shared" si="5"/>
        <v>-3187557.3746619639</v>
      </c>
    </row>
    <row r="48" spans="1:27">
      <c r="B48">
        <v>0.7904876520680868</v>
      </c>
      <c r="C48" s="149">
        <v>5.5</v>
      </c>
      <c r="D48" s="85">
        <f>'Wing aero load'!D55*'Wing Torque'!$E$23*B48</f>
        <v>-42673964.213384815</v>
      </c>
      <c r="E48" s="52">
        <f>$E$28*'Wing aero load'!E55/(2*SUM('Wing aero load'!$E$44:$E$80)*0.1)</f>
        <v>-150612.74046473202</v>
      </c>
      <c r="F48" s="52">
        <f>$E$25*B48*$E$24*9.81*$K$26/'Wing aero load'!$D$31</f>
        <v>-2493722.1875818139</v>
      </c>
      <c r="G48" s="211">
        <f>'Wing inertia load'!E57*'Wing Torque'!$E$26*B48/1.65</f>
        <v>0</v>
      </c>
      <c r="H48" s="85">
        <f>K25*9.81*K26*E27</f>
        <v>-78412556.25</v>
      </c>
      <c r="I48" s="52">
        <f t="shared" si="0"/>
        <v>-21151814.635033228</v>
      </c>
      <c r="J48" s="52">
        <f t="shared" si="1"/>
        <v>-75169.346648905441</v>
      </c>
      <c r="K48" s="52">
        <f t="shared" si="2"/>
        <v>-1238176.6516629732</v>
      </c>
      <c r="L48" s="52">
        <f t="shared" si="3"/>
        <v>0</v>
      </c>
      <c r="M48" s="211">
        <f t="shared" si="4"/>
        <v>-19146781.685601652</v>
      </c>
      <c r="N48" s="67">
        <f>SUM(M48:$M$96)</f>
        <v>-3089350490.4527245</v>
      </c>
      <c r="Y48" s="4">
        <f t="shared" si="5"/>
        <v>-3089350.4904527245</v>
      </c>
    </row>
    <row r="49" spans="2:28">
      <c r="B49">
        <v>0.77947608983165562</v>
      </c>
      <c r="C49" s="149">
        <v>6</v>
      </c>
      <c r="D49" s="85">
        <f>'Wing aero load'!D56*'Wing Torque'!$E$23*B49</f>
        <v>-41933294.326748088</v>
      </c>
      <c r="E49" s="52">
        <f>$E$28*'Wing aero load'!E56/(2*SUM('Wing aero load'!$E$44:$E$80)*0.1)</f>
        <v>-150064.64613088974</v>
      </c>
      <c r="F49" s="52">
        <f>$E$25*B49*$E$24*9.81*$K$26/'Wing aero load'!$D$31</f>
        <v>-2458984.419070079</v>
      </c>
      <c r="G49" s="211">
        <f>'Wing inertia load'!E58*'Wing Torque'!$E$26*B49/1.65</f>
        <v>0</v>
      </c>
      <c r="H49" s="85">
        <v>0</v>
      </c>
      <c r="I49" s="52">
        <f t="shared" si="0"/>
        <v>-20779235.677624859</v>
      </c>
      <c r="J49" s="52">
        <f t="shared" si="1"/>
        <v>-74883.313661406661</v>
      </c>
      <c r="K49" s="52">
        <f t="shared" si="2"/>
        <v>-1220807.7674071055</v>
      </c>
      <c r="L49" s="52">
        <f t="shared" si="3"/>
        <v>0</v>
      </c>
      <c r="M49" s="211">
        <f t="shared" si="4"/>
        <v>-96883357.106438622</v>
      </c>
      <c r="N49" s="67">
        <f>SUM(M49:$M$96)</f>
        <v>-3070203708.7671227</v>
      </c>
      <c r="Y49" s="4">
        <f t="shared" si="5"/>
        <v>-3070203.7087671226</v>
      </c>
    </row>
    <row r="50" spans="2:28">
      <c r="B50">
        <v>0.76846452759522432</v>
      </c>
      <c r="C50" s="149">
        <v>6.5</v>
      </c>
      <c r="D50" s="85">
        <f>'Wing aero load'!D57*'Wing Torque'!$E$23*B50</f>
        <v>-41183648.383751348</v>
      </c>
      <c r="E50" s="52">
        <f>$E$28*'Wing aero load'!E57/(2*SUM('Wing aero load'!$E$44:$E$80)*0.1)</f>
        <v>-149468.60851473687</v>
      </c>
      <c r="F50" s="52">
        <f>$E$25*B50*$E$24*9.81*$K$26/'Wing aero load'!$D$31</f>
        <v>-2424246.6505583432</v>
      </c>
      <c r="G50" s="211">
        <f>'Wing inertia load'!E59*'Wing Torque'!$E$26*B50/1.65</f>
        <v>0</v>
      </c>
      <c r="H50" s="85">
        <v>0</v>
      </c>
      <c r="I50" s="52">
        <f t="shared" si="0"/>
        <v>-20402272.402101334</v>
      </c>
      <c r="J50" s="52">
        <f t="shared" si="1"/>
        <v>-74573.164975071733</v>
      </c>
      <c r="K50" s="52">
        <f t="shared" si="2"/>
        <v>-1203438.8831512372</v>
      </c>
      <c r="L50" s="52">
        <f t="shared" si="3"/>
        <v>0</v>
      </c>
      <c r="M50" s="211">
        <f t="shared" si="4"/>
        <v>-96178876.260324299</v>
      </c>
      <c r="N50" s="67">
        <f>SUM(M50:$M$96)</f>
        <v>-2973320351.6606832</v>
      </c>
      <c r="Y50" s="4">
        <f t="shared" si="5"/>
        <v>-2973320.3516606833</v>
      </c>
    </row>
    <row r="51" spans="2:28">
      <c r="B51">
        <v>0.75745296535879258</v>
      </c>
      <c r="C51" s="149">
        <v>7</v>
      </c>
      <c r="D51" s="85">
        <f>'Wing aero load'!D58*'Wing Torque'!$E$23*B51</f>
        <v>-40425441.224653989</v>
      </c>
      <c r="E51" s="52">
        <f>$E$28*'Wing aero load'!E58/(2*SUM('Wing aero load'!$E$44:$E$80)*0.1)</f>
        <v>-148824.05138555006</v>
      </c>
      <c r="F51" s="52">
        <f>$E$25*B51*$E$24*9.81*$K$26/'Wing aero load'!$D$31</f>
        <v>-2389508.8820466055</v>
      </c>
      <c r="G51" s="211">
        <f>'Wing inertia load'!E60*'Wing Torque'!$E$26*B51/1.65</f>
        <v>0</v>
      </c>
      <c r="H51" s="85">
        <v>0</v>
      </c>
      <c r="I51" s="52">
        <f t="shared" si="0"/>
        <v>-20021130.664759301</v>
      </c>
      <c r="J51" s="52">
        <f t="shared" si="1"/>
        <v>-74238.598135739652</v>
      </c>
      <c r="K51" s="52">
        <f t="shared" si="2"/>
        <v>-1186069.9988953685</v>
      </c>
      <c r="L51" s="52">
        <f t="shared" si="3"/>
        <v>0</v>
      </c>
      <c r="M51" s="211">
        <f t="shared" si="4"/>
        <v>-95445798.799394324</v>
      </c>
      <c r="N51" s="67">
        <f>SUM(M51:$M$96)</f>
        <v>-2877141475.4003592</v>
      </c>
      <c r="Y51" s="4">
        <f t="shared" si="5"/>
        <v>-2877141.4754003594</v>
      </c>
    </row>
    <row r="52" spans="2:28">
      <c r="B52">
        <v>0.74644140312236096</v>
      </c>
      <c r="C52" s="149">
        <v>7.5</v>
      </c>
      <c r="D52" s="85">
        <f>'Wing aero load'!D59*'Wing Torque'!$E$23*B52</f>
        <v>-39659081.434383214</v>
      </c>
      <c r="E52" s="52">
        <f>$E$28*'Wing aero load'!E59/(2*SUM('Wing aero load'!$E$44:$E$80)*0.1)</f>
        <v>-148130.34115740852</v>
      </c>
      <c r="F52" s="52">
        <f>$E$25*B52*$E$24*9.81*$K$26/'Wing aero load'!$D$31</f>
        <v>-2354771.1135348692</v>
      </c>
      <c r="G52" s="211">
        <f>'Wing inertia load'!E61*'Wing Torque'!$E$26*B52/1.65</f>
        <v>0</v>
      </c>
      <c r="H52" s="85">
        <v>0</v>
      </c>
      <c r="I52" s="52">
        <f t="shared" si="0"/>
        <v>-19636013.261374254</v>
      </c>
      <c r="J52" s="52">
        <f t="shared" si="1"/>
        <v>-73879.281172347226</v>
      </c>
      <c r="K52" s="52">
        <f t="shared" si="2"/>
        <v>-1168701.1146395004</v>
      </c>
      <c r="L52" s="52">
        <f t="shared" si="3"/>
        <v>0</v>
      </c>
      <c r="M52" s="211">
        <f t="shared" si="4"/>
        <v>-94683995.548360988</v>
      </c>
      <c r="N52" s="67">
        <f>SUM(M52:$M$96)</f>
        <v>-2781695676.6009645</v>
      </c>
      <c r="Y52" s="4">
        <f t="shared" si="5"/>
        <v>-2781695.6766009647</v>
      </c>
    </row>
    <row r="53" spans="2:28">
      <c r="B53">
        <v>0.73542984088592944</v>
      </c>
      <c r="C53" s="149">
        <v>8</v>
      </c>
      <c r="D53" s="85">
        <f>'Wing aero load'!D60*'Wing Torque'!$E$23*B53</f>
        <v>-38884971.611113802</v>
      </c>
      <c r="E53" s="52">
        <f>$E$28*'Wing aero load'!E60/(2*SUM('Wing aero load'!$E$44:$E$80)*0.1)</f>
        <v>-147386.78353198039</v>
      </c>
      <c r="F53" s="52">
        <f>$E$25*B53*$E$24*9.81*$K$26/'Wing aero load'!$D$31</f>
        <v>-2320033.3450231324</v>
      </c>
      <c r="G53" s="211">
        <f>'Wing inertia load'!E62*'Wing Torque'!$E$26*B53/1.65</f>
        <v>0</v>
      </c>
      <c r="H53" s="85">
        <v>0</v>
      </c>
      <c r="I53" s="52">
        <f t="shared" si="0"/>
        <v>-19247120.053945888</v>
      </c>
      <c r="J53" s="52">
        <f t="shared" si="1"/>
        <v>-73494.850811302866</v>
      </c>
      <c r="K53" s="52">
        <f t="shared" si="2"/>
        <v>-1151332.2303836322</v>
      </c>
      <c r="L53" s="52">
        <f t="shared" si="3"/>
        <v>0</v>
      </c>
      <c r="M53" s="211">
        <f t="shared" si="4"/>
        <v>-93893303.095632389</v>
      </c>
      <c r="N53" s="67">
        <f>SUM(M53:$M$96)</f>
        <v>-2687011681.0526032</v>
      </c>
      <c r="V53" s="80"/>
      <c r="Y53" s="4">
        <f t="shared" si="5"/>
        <v>-2687011.6810526033</v>
      </c>
    </row>
    <row r="54" spans="2:28">
      <c r="B54">
        <v>0.72441827864949793</v>
      </c>
      <c r="C54" s="149">
        <v>8.5</v>
      </c>
      <c r="D54" s="85">
        <f>'Wing aero load'!D61*'Wing Torque'!$E$23*B54</f>
        <v>-38103508.60466975</v>
      </c>
      <c r="E54" s="52">
        <f>$E$28*'Wing aero load'!E61/(2*SUM('Wing aero load'!$E$44:$E$80)*0.1)</f>
        <v>-146592.61971323105</v>
      </c>
      <c r="F54" s="52">
        <f>$E$25*B54*$E$24*9.81*$K$26/'Wing aero load'!$D$31</f>
        <v>-2285295.5765113961</v>
      </c>
      <c r="G54" s="211">
        <f>'Wing inertia load'!E63*'Wing Torque'!$E$26*B54/1.65</f>
        <v>0</v>
      </c>
      <c r="H54" s="85">
        <v>0</v>
      </c>
      <c r="I54" s="52">
        <f t="shared" si="0"/>
        <v>-18854648.082091745</v>
      </c>
      <c r="J54" s="52">
        <f t="shared" si="1"/>
        <v>-73084.91046386167</v>
      </c>
      <c r="K54" s="52">
        <f t="shared" si="2"/>
        <v>-1133963.3461277639</v>
      </c>
      <c r="L54" s="52">
        <f t="shared" si="3"/>
        <v>0</v>
      </c>
      <c r="M54" s="211">
        <f t="shared" si="4"/>
        <v>-93073521.892081186</v>
      </c>
      <c r="N54" s="67">
        <f>SUM(M54:$M$96)</f>
        <v>-2593118377.9569712</v>
      </c>
      <c r="Y54" s="4">
        <f t="shared" si="5"/>
        <v>-2593118.3779569711</v>
      </c>
    </row>
    <row r="55" spans="2:28">
      <c r="B55">
        <v>0.71340671641306641</v>
      </c>
      <c r="C55" s="149">
        <v>9</v>
      </c>
      <c r="D55" s="85">
        <f>'Wing aero load'!D62*'Wing Torque'!$E$23*B55</f>
        <v>-37315083.72369723</v>
      </c>
      <c r="E55" s="52">
        <f>$E$28*'Wing aero load'!E62/(2*SUM('Wing aero load'!$E$44:$E$80)*0.1)</f>
        <v>-145747.02214221563</v>
      </c>
      <c r="F55" s="52">
        <f>$E$25*B55*$E$24*9.81*$K$26/'Wing aero load'!$D$31</f>
        <v>-2250557.8079996593</v>
      </c>
      <c r="G55" s="211">
        <f>'Wing inertia load'!E64*'Wing Torque'!$E$26*B55/1.65</f>
        <v>0</v>
      </c>
      <c r="H55" s="85">
        <v>0</v>
      </c>
      <c r="I55" s="52">
        <f t="shared" si="0"/>
        <v>-18458791.658431143</v>
      </c>
      <c r="J55" s="52">
        <f t="shared" si="1"/>
        <v>-72649.027958369959</v>
      </c>
      <c r="K55" s="52">
        <f t="shared" si="2"/>
        <v>-1116594.4618718955</v>
      </c>
      <c r="L55" s="52">
        <f t="shared" si="3"/>
        <v>0</v>
      </c>
      <c r="M55" s="211">
        <f t="shared" si="4"/>
        <v>-92224414.07867299</v>
      </c>
      <c r="N55" s="67">
        <f>SUM(M55:$M$96)</f>
        <v>-2500044856.0648899</v>
      </c>
      <c r="Y55" s="4">
        <f t="shared" si="5"/>
        <v>-2500044.85606489</v>
      </c>
    </row>
    <row r="56" spans="2:28">
      <c r="B56">
        <v>0.70239515417663489</v>
      </c>
      <c r="C56" s="149">
        <v>9.5</v>
      </c>
      <c r="D56" s="85">
        <f>'Wing aero load'!D63*'Wing Torque'!$E$23*B56</f>
        <v>-36520082.91002734</v>
      </c>
      <c r="E56" s="52">
        <f>$E$28*'Wing aero load'!E63/(2*SUM('Wing aero load'!$E$44:$E$80)*0.1)</f>
        <v>-144849.08969126423</v>
      </c>
      <c r="F56" s="52">
        <f>$E$25*B56*$E$24*9.81*$K$26/'Wing aero load'!$D$31</f>
        <v>-2215820.039487923</v>
      </c>
      <c r="G56" s="211">
        <f>'Wing inertia load'!E65*'Wing Torque'!$E$26*B56/1.65</f>
        <v>0</v>
      </c>
      <c r="H56" s="85">
        <v>0</v>
      </c>
      <c r="I56" s="52">
        <f t="shared" si="0"/>
        <v>-18059742.447015524</v>
      </c>
      <c r="J56" s="52">
        <f t="shared" si="1"/>
        <v>-72186.732984405942</v>
      </c>
      <c r="K56" s="52">
        <f t="shared" si="2"/>
        <v>-1099225.5776160276</v>
      </c>
      <c r="L56" s="52">
        <f t="shared" si="3"/>
        <v>0</v>
      </c>
      <c r="M56" s="211">
        <f t="shared" si="4"/>
        <v>-91345701.00903748</v>
      </c>
      <c r="N56" s="67">
        <f>SUM(M56:$M$96)</f>
        <v>-2407820441.9862165</v>
      </c>
      <c r="Y56" s="4">
        <f t="shared" si="5"/>
        <v>-2407820.4419862167</v>
      </c>
    </row>
    <row r="57" spans="2:28">
      <c r="B57">
        <v>0.69138359194020338</v>
      </c>
      <c r="C57" s="149">
        <v>10</v>
      </c>
      <c r="D57" s="85">
        <f>'Wing aero load'!D64*'Wing Torque'!$E$23*B57</f>
        <v>-35718886.878034756</v>
      </c>
      <c r="E57" s="52">
        <f>$E$28*'Wing aero load'!E64/(2*SUM('Wing aero load'!$E$44:$E$80)*0.1)</f>
        <v>-143897.84224635953</v>
      </c>
      <c r="F57" s="52">
        <f>$E$25*B57*$E$24*9.81*$K$26/'Wing aero load'!$D$31</f>
        <v>-2181082.2709761867</v>
      </c>
      <c r="G57" s="211">
        <f>'Wing inertia load'!E66*'Wing Torque'!$E$26*B57/1.65</f>
        <v>0</v>
      </c>
      <c r="H57" s="85">
        <v>0</v>
      </c>
      <c r="I57" s="52">
        <f t="shared" si="0"/>
        <v>-17657689.523529068</v>
      </c>
      <c r="J57" s="52">
        <f t="shared" si="1"/>
        <v>-71697.514210080015</v>
      </c>
      <c r="K57" s="52">
        <f t="shared" si="2"/>
        <v>-1081856.6933601592</v>
      </c>
      <c r="L57" s="52">
        <f t="shared" si="3"/>
        <v>0</v>
      </c>
      <c r="M57" s="211">
        <f t="shared" si="4"/>
        <v>-90437060.426969245</v>
      </c>
      <c r="N57" s="67">
        <f>SUM(M57:$M$96)</f>
        <v>-2316474740.9771791</v>
      </c>
      <c r="Y57" s="4">
        <f t="shared" si="5"/>
        <v>-2316474.7409771793</v>
      </c>
    </row>
    <row r="58" spans="2:28">
      <c r="B58">
        <v>0.68037202970377186</v>
      </c>
      <c r="C58" s="149">
        <v>10.5</v>
      </c>
      <c r="D58" s="85">
        <f>'Wing aero load'!D65*'Wing Torque'!$E$23*B58</f>
        <v>-34911871.216081508</v>
      </c>
      <c r="E58" s="52">
        <f>$E$28*'Wing aero load'!E65/(2*SUM('Wing aero load'!$E$44:$E$80)*0.1)</f>
        <v>-142892.21459396053</v>
      </c>
      <c r="F58" s="52">
        <f>$E$25*B58*$E$24*9.81*$K$26/'Wing aero load'!$D$31</f>
        <v>-2146344.50246445</v>
      </c>
      <c r="G58" s="211">
        <f>'Wing inertia load'!E67*'Wing Torque'!$E$26*B58/1.65</f>
        <v>0</v>
      </c>
      <c r="H58" s="85">
        <v>0</v>
      </c>
      <c r="I58" s="52">
        <f t="shared" si="0"/>
        <v>-17252819.41559203</v>
      </c>
      <c r="J58" s="52">
        <f t="shared" si="1"/>
        <v>-71180.816026859218</v>
      </c>
      <c r="K58" s="52">
        <f t="shared" si="2"/>
        <v>-1064487.8091042908</v>
      </c>
      <c r="L58" s="52">
        <f t="shared" si="3"/>
        <v>0</v>
      </c>
      <c r="M58" s="211">
        <f t="shared" si="4"/>
        <v>-89498123.251555547</v>
      </c>
      <c r="N58" s="67">
        <f>SUM(M58:$M$96)</f>
        <v>-2226037680.5502095</v>
      </c>
      <c r="Y58" s="4">
        <f t="shared" si="5"/>
        <v>-2226037.6805502097</v>
      </c>
      <c r="AA58" s="53"/>
      <c r="AB58" s="53"/>
    </row>
    <row r="59" spans="2:28">
      <c r="B59">
        <v>0.66936046746734001</v>
      </c>
      <c r="C59" s="149">
        <v>11</v>
      </c>
      <c r="D59" s="85">
        <f>'Wing aero load'!D66*'Wing Torque'!$E$23*B59</f>
        <v>-34099406.446286611</v>
      </c>
      <c r="E59" s="52">
        <f>$E$28*'Wing aero load'!E66/(2*SUM('Wing aero load'!$E$44:$E$80)*0.1)</f>
        <v>-141831.04951347635</v>
      </c>
      <c r="F59" s="52">
        <f>$E$25*B59*$E$24*9.81*$K$26/'Wing aero load'!$D$31</f>
        <v>-2111606.7339527127</v>
      </c>
      <c r="G59" s="211">
        <f>'Wing inertia load'!E68*'Wing Torque'!$E$26*B59/1.65</f>
        <v>0</v>
      </c>
      <c r="H59" s="85">
        <v>0</v>
      </c>
      <c r="I59" s="52">
        <f t="shared" si="0"/>
        <v>-16845316.121032935</v>
      </c>
      <c r="J59" s="52">
        <f t="shared" si="1"/>
        <v>-70636.034867977898</v>
      </c>
      <c r="K59" s="52">
        <f t="shared" si="2"/>
        <v>-1047118.9248484222</v>
      </c>
      <c r="L59" s="52">
        <f t="shared" si="3"/>
        <v>0</v>
      </c>
      <c r="M59" s="211">
        <f t="shared" si="4"/>
        <v>-88528469.913859263</v>
      </c>
      <c r="N59" s="67">
        <f>SUM(M59:$M$96)</f>
        <v>-2136539557.2986536</v>
      </c>
      <c r="Y59" s="4">
        <f t="shared" si="5"/>
        <v>-2136539.5572986538</v>
      </c>
      <c r="AA59" s="53"/>
      <c r="AB59" s="53"/>
    </row>
    <row r="60" spans="2:28">
      <c r="B60">
        <v>0.6583489052309085</v>
      </c>
      <c r="C60" s="149">
        <v>11.5</v>
      </c>
      <c r="D60" s="85">
        <f>'Wing aero load'!D67*'Wing Torque'!$E$23*B60</f>
        <v>-33281858.037845124</v>
      </c>
      <c r="E60" s="52">
        <f>$E$28*'Wing aero load'!E67/(2*SUM('Wing aero load'!$E$44:$E$80)*0.1)</f>
        <v>-140713.08995843524</v>
      </c>
      <c r="F60" s="52">
        <f>$E$25*B60*$E$24*9.81*$K$26/'Wing aero load'!$D$31</f>
        <v>-2076868.965440976</v>
      </c>
      <c r="G60" s="211">
        <f>'Wing inertia load'!E69*'Wing Torque'!$E$26*B60/1.65</f>
        <v>0</v>
      </c>
      <c r="H60" s="85">
        <v>0</v>
      </c>
      <c r="I60" s="52">
        <f t="shared" si="0"/>
        <v>-16435361.101433747</v>
      </c>
      <c r="J60" s="52">
        <f t="shared" si="1"/>
        <v>-70062.515036453493</v>
      </c>
      <c r="K60" s="52">
        <f t="shared" si="2"/>
        <v>-1029750.0405925538</v>
      </c>
      <c r="L60" s="52">
        <f t="shared" si="3"/>
        <v>0</v>
      </c>
      <c r="M60" s="211">
        <f t="shared" si="4"/>
        <v>-87527626.178479791</v>
      </c>
      <c r="N60" s="67">
        <f>SUM(M60:$M$96)</f>
        <v>-2048011087.3847945</v>
      </c>
      <c r="Y60" s="4">
        <f t="shared" si="5"/>
        <v>-2048011.0873847944</v>
      </c>
      <c r="AA60" s="54"/>
      <c r="AB60" s="54"/>
    </row>
    <row r="61" spans="2:28">
      <c r="B61">
        <v>0.64733734299447709</v>
      </c>
      <c r="C61" s="149">
        <v>12</v>
      </c>
      <c r="D61" s="85">
        <f>'Wing aero load'!D68*'Wing Torque'!$E$23*B61</f>
        <v>-32459586.367889859</v>
      </c>
      <c r="E61" s="52">
        <f>$E$28*'Wing aero load'!E68/(2*SUM('Wing aero load'!$E$44:$E$80)*0.1)</f>
        <v>-139536.97018737873</v>
      </c>
      <c r="F61" s="52">
        <f>$E$25*B61*$E$24*9.81*$K$26/'Wing aero load'!$D$31</f>
        <v>-2042131.1969292394</v>
      </c>
      <c r="G61" s="211">
        <f>'Wing inertia load'!E70*'Wing Torque'!$E$26*B61/1.65</f>
        <v>0</v>
      </c>
      <c r="H61" s="85">
        <v>0</v>
      </c>
      <c r="I61" s="52">
        <f t="shared" si="0"/>
        <v>-16023133.247569356</v>
      </c>
      <c r="J61" s="52">
        <f t="shared" si="1"/>
        <v>-69459.543966507888</v>
      </c>
      <c r="K61" s="52">
        <f t="shared" si="2"/>
        <v>-1012381.1563366858</v>
      </c>
      <c r="L61" s="52">
        <f t="shared" si="3"/>
        <v>0</v>
      </c>
      <c r="M61" s="211">
        <f t="shared" si="4"/>
        <v>-86495058.370413914</v>
      </c>
      <c r="N61" s="67">
        <f>SUM(M61:$M$96)</f>
        <v>-1960483461.206315</v>
      </c>
      <c r="Y61" s="4">
        <f t="shared" si="5"/>
        <v>-1960483.4612063151</v>
      </c>
      <c r="AA61" s="54"/>
      <c r="AB61" s="54"/>
    </row>
    <row r="62" spans="2:28">
      <c r="B62">
        <v>0.63632578075804558</v>
      </c>
      <c r="C62" s="149">
        <v>12.5</v>
      </c>
      <c r="D62" s="85">
        <f>'Wing aero load'!D69*'Wing Torque'!$E$23*B62</f>
        <v>-31632946.622387569</v>
      </c>
      <c r="E62" s="52">
        <f>$E$28*'Wing aero load'!E69/(2*SUM('Wing aero load'!$E$44:$E$80)*0.1)</f>
        <v>-138301.20567865286</v>
      </c>
      <c r="F62" s="52">
        <f>$E$25*B62*$E$24*9.81*$K$26/'Wing aero load'!$D$31</f>
        <v>-2007393.4284175036</v>
      </c>
      <c r="G62" s="211">
        <f>'Wing inertia load'!E71*'Wing Torque'!$E$26*B62/1.65</f>
        <v>0</v>
      </c>
      <c r="H62" s="85">
        <v>0</v>
      </c>
      <c r="I62" s="52">
        <f t="shared" si="0"/>
        <v>-15608808.812524796</v>
      </c>
      <c r="J62" s="52">
        <f t="shared" si="1"/>
        <v>-68826.346827245899</v>
      </c>
      <c r="K62" s="52">
        <f t="shared" si="2"/>
        <v>-995012.27208081773</v>
      </c>
      <c r="L62" s="52">
        <f t="shared" si="3"/>
        <v>0</v>
      </c>
      <c r="M62" s="211">
        <f t="shared" si="4"/>
        <v>-85430167.911851525</v>
      </c>
      <c r="N62" s="67">
        <f>SUM(M62:$M$96)</f>
        <v>-1873988402.8359008</v>
      </c>
      <c r="Y62" s="4">
        <f t="shared" si="5"/>
        <v>-1873988.4028359009</v>
      </c>
      <c r="AA62" s="54"/>
      <c r="AB62" s="54"/>
    </row>
    <row r="63" spans="2:28">
      <c r="B63">
        <v>0.62531421852161406</v>
      </c>
      <c r="C63" s="149">
        <v>13</v>
      </c>
      <c r="D63" s="85">
        <f>'Wing aero load'!D70*'Wing Torque'!$E$23*B63</f>
        <v>-30802288.627711609</v>
      </c>
      <c r="E63" s="52">
        <f>$E$28*'Wing aero load'!E70/(2*SUM('Wing aero load'!$E$44:$E$80)*0.1)</f>
        <v>-137004.18163033071</v>
      </c>
      <c r="F63" s="52">
        <f>$E$25*B63*$E$24*9.81*$K$26/'Wing aero load'!$D$31</f>
        <v>-1972655.6599057671</v>
      </c>
      <c r="G63" s="211">
        <f>'Wing inertia load'!E72*'Wing Torque'!$E$26*B63/1.65</f>
        <v>0</v>
      </c>
      <c r="H63" s="85">
        <v>0</v>
      </c>
      <c r="I63" s="52">
        <f t="shared" si="0"/>
        <v>-15192561.30723759</v>
      </c>
      <c r="J63" s="52">
        <f t="shared" si="1"/>
        <v>-68162.080359043874</v>
      </c>
      <c r="K63" s="52">
        <f t="shared" si="2"/>
        <v>-977643.38782494934</v>
      </c>
      <c r="L63" s="52">
        <f t="shared" si="3"/>
        <v>0</v>
      </c>
      <c r="M63" s="211">
        <f t="shared" si="4"/>
        <v>-84332285.054106414</v>
      </c>
      <c r="N63" s="67">
        <f>SUM(M63:$M$96)</f>
        <v>-1788558234.9240491</v>
      </c>
      <c r="Y63" s="4">
        <f t="shared" si="5"/>
        <v>-1788558.2349240491</v>
      </c>
      <c r="AA63" s="54"/>
      <c r="AB63" s="54"/>
    </row>
    <row r="64" spans="2:28">
      <c r="B64">
        <v>0.61430265628518255</v>
      </c>
      <c r="C64" s="149">
        <v>13.5</v>
      </c>
      <c r="D64" s="85">
        <f>'Wing aero load'!D71*'Wing Torque'!$E$23*B64</f>
        <v>-29967956.60123875</v>
      </c>
      <c r="E64" s="52">
        <f>$E$28*'Wing aero load'!E71/(2*SUM('Wing aero load'!$E$44:$E$80)*0.1)</f>
        <v>-135644.13980584475</v>
      </c>
      <c r="F64" s="52">
        <f>$E$25*B64*$E$24*9.81*$K$26/'Wing aero load'!$D$31</f>
        <v>-1937917.8913940305</v>
      </c>
      <c r="G64" s="211">
        <f>'Wing inertia load'!E73*'Wing Torque'!$E$26*B64/1.65</f>
        <v>0</v>
      </c>
      <c r="H64" s="85">
        <v>0</v>
      </c>
      <c r="I64" s="52">
        <f t="shared" si="0"/>
        <v>-14774561.351921853</v>
      </c>
      <c r="J64" s="52">
        <f t="shared" si="1"/>
        <v>-67465.82581031564</v>
      </c>
      <c r="K64" s="52">
        <f t="shared" si="2"/>
        <v>-960274.50356908096</v>
      </c>
      <c r="L64" s="52">
        <f t="shared" si="3"/>
        <v>0</v>
      </c>
      <c r="M64" s="211">
        <f t="shared" si="4"/>
        <v>-83200661.665806577</v>
      </c>
      <c r="N64" s="67">
        <f>SUM(M64:$M$96)</f>
        <v>-1704225949.8699429</v>
      </c>
      <c r="Y64" s="4">
        <f t="shared" si="5"/>
        <v>-1704225.9498699429</v>
      </c>
      <c r="AA64" s="54"/>
      <c r="AB64" s="54"/>
    </row>
    <row r="65" spans="1:28">
      <c r="B65">
        <v>0.60329109404875092</v>
      </c>
      <c r="C65" s="149">
        <v>14</v>
      </c>
      <c r="D65" s="85">
        <f>'Wing aero load'!D72*'Wing Torque'!$E$23*B65</f>
        <v>-29130288.806448665</v>
      </c>
      <c r="E65" s="52">
        <f>$E$28*'Wing aero load'!E72/(2*SUM('Wing aero load'!$E$44:$E$80)*0.1)</f>
        <v>-134219.16343541778</v>
      </c>
      <c r="F65" s="52">
        <f>$E$25*B65*$E$24*9.81*$K$26/'Wing aero load'!$D$31</f>
        <v>-1903180.1228822935</v>
      </c>
      <c r="G65" s="211">
        <f>'Wing inertia load'!E74*'Wing Torque'!$E$26*B65/1.65</f>
        <v>0</v>
      </c>
      <c r="H65" s="85">
        <v>0</v>
      </c>
      <c r="I65" s="52">
        <f t="shared" si="0"/>
        <v>-14354976.475209512</v>
      </c>
      <c r="J65" s="52">
        <f t="shared" si="1"/>
        <v>-66736.580813916968</v>
      </c>
      <c r="K65" s="52">
        <f t="shared" si="2"/>
        <v>-942905.61931321258</v>
      </c>
      <c r="L65" s="52">
        <f t="shared" si="3"/>
        <v>0</v>
      </c>
      <c r="M65" s="211">
        <f t="shared" si="4"/>
        <v>-82034462.908439696</v>
      </c>
      <c r="N65" s="67">
        <f>SUM(M65:$M$96)</f>
        <v>-1621025288.2041361</v>
      </c>
      <c r="Y65" s="4">
        <f t="shared" si="5"/>
        <v>-1621025.2882041361</v>
      </c>
      <c r="AA65" s="54"/>
      <c r="AB65" s="54"/>
    </row>
    <row r="66" spans="1:28">
      <c r="B66">
        <v>0.59227953181231929</v>
      </c>
      <c r="C66" s="149">
        <v>14.5</v>
      </c>
      <c r="D66" s="85">
        <f>'Wing aero load'!D73*'Wing Torque'!$E$23*B66</f>
        <v>-28289617.094389379</v>
      </c>
      <c r="E66" s="52">
        <f>$E$28*'Wing aero load'!E73/(2*SUM('Wing aero load'!$E$44:$E$80)*0.1)</f>
        <v>-132727.15982025009</v>
      </c>
      <c r="F66" s="52">
        <f>$E$25*B66*$E$24*9.81*$K$26/'Wing aero load'!$D$31</f>
        <v>-1868442.3543705568</v>
      </c>
      <c r="G66" s="211">
        <f>'Wing inertia load'!E75*'Wing Torque'!$E$26*B66/1.65</f>
        <v>0</v>
      </c>
      <c r="H66" s="85">
        <v>0</v>
      </c>
      <c r="I66" s="52">
        <f t="shared" si="0"/>
        <v>-13933970.850792956</v>
      </c>
      <c r="J66" s="52">
        <f t="shared" si="1"/>
        <v>-65973.250006794406</v>
      </c>
      <c r="K66" s="52">
        <f t="shared" si="2"/>
        <v>-925536.73505734431</v>
      </c>
      <c r="L66" s="52">
        <f t="shared" si="3"/>
        <v>0</v>
      </c>
      <c r="M66" s="211">
        <f t="shared" si="4"/>
        <v>-80832757.592644706</v>
      </c>
      <c r="N66" s="67">
        <f>SUM(M66:$M$96)</f>
        <v>-1538990825.2956965</v>
      </c>
      <c r="Y66" s="4">
        <f t="shared" si="5"/>
        <v>-1538990.8252956965</v>
      </c>
      <c r="AA66" s="54"/>
      <c r="AB66" s="54"/>
    </row>
    <row r="67" spans="1:28">
      <c r="B67">
        <v>0.58126796957588789</v>
      </c>
      <c r="C67" s="149">
        <v>15</v>
      </c>
      <c r="D67" s="85">
        <f>'Wing aero load'!D74*'Wing Torque'!$E$23*B67</f>
        <v>-27446266.30878244</v>
      </c>
      <c r="E67" s="52">
        <f>$E$28*'Wing aero load'!E74/(2*SUM('Wing aero load'!$E$44:$E$80)*0.1)</f>
        <v>-131165.8402069275</v>
      </c>
      <c r="F67" s="52">
        <f>$E$25*B67*$E$24*9.81*$K$26/'Wing aero load'!$D$31</f>
        <v>-1833704.5858588205</v>
      </c>
      <c r="G67" s="211">
        <f>'Wing inertia load'!E76*'Wing Torque'!$E$26*B67/1.65</f>
        <v>0</v>
      </c>
      <c r="H67" s="85">
        <v>0</v>
      </c>
      <c r="I67" s="52">
        <f t="shared" si="0"/>
        <v>-13511704.958738137</v>
      </c>
      <c r="J67" s="52">
        <f t="shared" si="1"/>
        <v>-65174.63415139728</v>
      </c>
      <c r="K67" s="52">
        <f t="shared" si="2"/>
        <v>-908167.85080147604</v>
      </c>
      <c r="L67" s="52">
        <f t="shared" si="3"/>
        <v>0</v>
      </c>
      <c r="M67" s="211">
        <f t="shared" si="4"/>
        <v>-79594506.960936904</v>
      </c>
      <c r="N67" s="67">
        <f>SUM(M67:$M$96)</f>
        <v>-1458158067.7030516</v>
      </c>
      <c r="Y67" s="4">
        <f t="shared" si="5"/>
        <v>-1458158.0677030515</v>
      </c>
      <c r="AA67" s="54"/>
      <c r="AB67" s="54"/>
    </row>
    <row r="68" spans="1:28">
      <c r="B68">
        <v>0.57025640733945637</v>
      </c>
      <c r="C68" s="149">
        <v>15.5</v>
      </c>
      <c r="D68" s="85">
        <f>'Wing aero load'!D75*'Wing Torque'!$E$23*B68</f>
        <v>-26600553.526170108</v>
      </c>
      <c r="E68" s="52">
        <f>$E$28*'Wing aero load'!E75/(2*SUM('Wing aero load'!$E$44:$E$80)*0.1)</f>
        <v>-129532.69639866162</v>
      </c>
      <c r="F68" s="52">
        <f>$E$25*B68*$E$24*9.81*$K$26/'Wing aero load'!$D$31</f>
        <v>-1798966.8173470839</v>
      </c>
      <c r="G68" s="211">
        <f>'Wing inertia load'!E77*'Wing Torque'!$E$26*B68/1.65</f>
        <v>0</v>
      </c>
      <c r="H68" s="85">
        <v>0</v>
      </c>
      <c r="I68" s="52">
        <f t="shared" si="0"/>
        <v>-13088335.155276097</v>
      </c>
      <c r="J68" s="52">
        <f t="shared" si="1"/>
        <v>-64339.41745991433</v>
      </c>
      <c r="K68" s="52">
        <f t="shared" si="2"/>
        <v>-890798.96654560789</v>
      </c>
      <c r="L68" s="52">
        <f t="shared" si="3"/>
        <v>0</v>
      </c>
      <c r="M68" s="211">
        <f t="shared" si="4"/>
        <v>-78318551.581736028</v>
      </c>
      <c r="N68" s="67">
        <f>SUM(M68:$M$96)</f>
        <v>-1378563560.7421148</v>
      </c>
      <c r="Y68" s="4">
        <f t="shared" si="5"/>
        <v>-1378563.5607421147</v>
      </c>
      <c r="AA68" s="54"/>
      <c r="AB68" s="54"/>
    </row>
    <row r="69" spans="1:28">
      <c r="B69">
        <v>0.55924484510302475</v>
      </c>
      <c r="C69" s="149">
        <v>16</v>
      </c>
      <c r="D69" s="85">
        <f>'Wing aero load'!D76*'Wing Torque'!$E$23*B69</f>
        <v>-25752787.094934281</v>
      </c>
      <c r="E69" s="52">
        <f>$E$28*'Wing aero load'!E76/(2*SUM('Wing aero load'!$E$44:$E$80)*0.1)</f>
        <v>-127824.97344099572</v>
      </c>
      <c r="F69" s="52">
        <f>$E$25*B69*$E$24*9.81*$K$26/'Wing aero load'!$D$31</f>
        <v>-1764229.0488353474</v>
      </c>
      <c r="G69" s="211">
        <f>'Wing inertia load'!E78*'Wing Torque'!$E$26*B69/1.65</f>
        <v>0</v>
      </c>
      <c r="H69" s="85">
        <v>0</v>
      </c>
      <c r="I69" s="52">
        <f t="shared" si="0"/>
        <v>-12664013.130525585</v>
      </c>
      <c r="J69" s="52">
        <f t="shared" si="1"/>
        <v>-63466.152748562556</v>
      </c>
      <c r="K69" s="52">
        <f t="shared" si="2"/>
        <v>-873430.08228973951</v>
      </c>
      <c r="L69" s="52">
        <f t="shared" si="3"/>
        <v>0</v>
      </c>
      <c r="M69" s="211">
        <f t="shared" si="4"/>
        <v>-77003595.961377874</v>
      </c>
      <c r="N69" s="67">
        <f>SUM(M69:$M$96)</f>
        <v>-1300245009.1603792</v>
      </c>
      <c r="Y69" s="4">
        <f t="shared" si="5"/>
        <v>-1300245.0091603792</v>
      </c>
      <c r="AA69" s="54"/>
      <c r="AB69" s="54"/>
    </row>
    <row r="70" spans="1:28">
      <c r="B70">
        <v>0.54823328286659312</v>
      </c>
      <c r="C70" s="149">
        <v>16.5</v>
      </c>
      <c r="D70" s="85">
        <f>'Wing aero load'!D77*'Wing Torque'!$E$23*B70</f>
        <v>-24903265.427168064</v>
      </c>
      <c r="E70" s="52">
        <f>$E$28*'Wing aero load'!E77/(2*SUM('Wing aero load'!$E$44:$E$80)*0.1)</f>
        <v>-126039.63755325452</v>
      </c>
      <c r="F70" s="52">
        <f>$E$25*B70*$E$24*9.81*$K$26/'Wing aero load'!$D$31</f>
        <v>-1729491.2803236106</v>
      </c>
      <c r="G70" s="211">
        <f>'Wing inertia load'!E79*'Wing Torque'!$E$26*B70/1.65</f>
        <v>0</v>
      </c>
      <c r="H70" s="85">
        <v>0</v>
      </c>
      <c r="I70" s="52">
        <f t="shared" si="0"/>
        <v>-12238885.227906909</v>
      </c>
      <c r="J70" s="52">
        <f t="shared" si="1"/>
        <v>-62553.243953433441</v>
      </c>
      <c r="K70" s="52">
        <f t="shared" si="2"/>
        <v>-856061.19803387113</v>
      </c>
      <c r="L70" s="52">
        <f t="shared" si="3"/>
        <v>0</v>
      </c>
      <c r="M70" s="211">
        <f t="shared" si="4"/>
        <v>-75648190.379374221</v>
      </c>
      <c r="N70" s="67">
        <f>SUM(M70:$M$96)</f>
        <v>-1223241413.1990016</v>
      </c>
      <c r="Y70" s="4">
        <f t="shared" si="5"/>
        <v>-1223241.4131990015</v>
      </c>
      <c r="AA70" s="54"/>
      <c r="AB70" s="54"/>
    </row>
    <row r="71" spans="1:28">
      <c r="B71">
        <v>0.5372217206301616</v>
      </c>
      <c r="C71" s="149">
        <v>17</v>
      </c>
      <c r="D71" s="85">
        <f>'Wing aero load'!D78*'Wing Torque'!$E$23*B71</f>
        <v>-24052275.484459572</v>
      </c>
      <c r="E71" s="52">
        <f>$E$28*'Wing aero load'!E78/(2*SUM('Wing aero load'!$E$44:$E$80)*0.1)</f>
        <v>-124173.33826047924</v>
      </c>
      <c r="F71" s="52">
        <f>$E$25*B71*$E$24*9.81*$K$26/'Wing aero load'!$D$31</f>
        <v>-1694753.5118118741</v>
      </c>
      <c r="G71" s="211">
        <f>'Wing inertia load'!E80*'Wing Torque'!$E$26*B71/1.65</f>
        <v>0</v>
      </c>
      <c r="H71" s="85">
        <f>K25*9.81*K26*E27</f>
        <v>-78412556.25</v>
      </c>
      <c r="I71" s="52">
        <f t="shared" si="0"/>
        <v>-11813091.591498021</v>
      </c>
      <c r="J71" s="52">
        <f t="shared" si="1"/>
        <v>-61598.925414110636</v>
      </c>
      <c r="K71" s="52">
        <f t="shared" si="2"/>
        <v>-838692.31377800298</v>
      </c>
      <c r="L71" s="52">
        <f t="shared" si="3"/>
        <v>0</v>
      </c>
      <c r="M71" s="211">
        <f t="shared" si="4"/>
        <v>4161846.9306133389</v>
      </c>
      <c r="N71" s="67">
        <f>SUM(M71:$M$96)</f>
        <v>-1147593222.8196273</v>
      </c>
      <c r="Y71" s="4">
        <f t="shared" si="5"/>
        <v>-1147593.2228196273</v>
      </c>
      <c r="AA71" s="54"/>
      <c r="AB71" s="54"/>
    </row>
    <row r="72" spans="1:28">
      <c r="B72">
        <v>0.52621015839373009</v>
      </c>
      <c r="C72" s="149">
        <v>17.5</v>
      </c>
      <c r="D72" s="85">
        <f>'Wing aero load'!D79*'Wing Torque'!$E$23*B72</f>
        <v>-23200090.881532513</v>
      </c>
      <c r="E72" s="52">
        <f>$E$28*'Wing aero load'!E79/(2*SUM('Wing aero load'!$E$44:$E$80)*0.1)</f>
        <v>-122222.36339596329</v>
      </c>
      <c r="F72" s="52">
        <f>$E$25*B72*$E$24*9.81*$K$26/'Wing aero load'!$D$31</f>
        <v>-1660015.7433001376</v>
      </c>
      <c r="G72" s="211">
        <f>'Wing inertia load'!E81*'Wing Torque'!$E$26*B72/1.65</f>
        <v>0</v>
      </c>
      <c r="H72" s="85">
        <v>0</v>
      </c>
      <c r="I72" s="52">
        <f t="shared" si="0"/>
        <v>-11386765.097581282</v>
      </c>
      <c r="J72" s="52">
        <f t="shared" si="1"/>
        <v>-60601.237165593207</v>
      </c>
      <c r="K72" s="52">
        <f t="shared" si="2"/>
        <v>-821323.4295221346</v>
      </c>
      <c r="L72" s="52">
        <f t="shared" si="3"/>
        <v>0</v>
      </c>
      <c r="M72" s="211">
        <f t="shared" si="4"/>
        <v>-72809325.692696631</v>
      </c>
      <c r="N72" s="67">
        <f>SUM(M72:$M$96)</f>
        <v>-1151755069.7502408</v>
      </c>
      <c r="Y72" s="4">
        <f t="shared" si="5"/>
        <v>-1151755.0697502408</v>
      </c>
      <c r="AA72" s="54"/>
      <c r="AB72" s="54"/>
    </row>
    <row r="73" spans="1:28" ht="15" thickBot="1">
      <c r="B73">
        <v>0.51519859615729857</v>
      </c>
      <c r="C73" s="149">
        <v>18</v>
      </c>
      <c r="D73" s="85">
        <f>'Wing aero load'!D80*'Wing Torque'!$E$23*B73</f>
        <v>-22346969.508792616</v>
      </c>
      <c r="E73" s="52">
        <f>$E$28*'Wing aero load'!E80/(2*SUM('Wing aero load'!$E$44:$E$80)*0.1)</f>
        <v>-120182.58526640954</v>
      </c>
      <c r="F73" s="52">
        <f>$E$25*B73*$E$24*9.81*$K$26/'Wing aero load'!$D$31</f>
        <v>-1625277.974788401</v>
      </c>
      <c r="G73" s="211">
        <f>'Wing inertia load'!E82*'Wing Torque'!$E$26*B73/1.65</f>
        <v>0</v>
      </c>
      <c r="H73" s="86">
        <v>0</v>
      </c>
      <c r="I73" s="87">
        <f t="shared" si="0"/>
        <v>-10960030.013164707</v>
      </c>
      <c r="J73" s="87">
        <f t="shared" si="1"/>
        <v>-59557.995257529954</v>
      </c>
      <c r="K73" s="52">
        <f t="shared" si="2"/>
        <v>-803954.54526626645</v>
      </c>
      <c r="L73" s="87">
        <f t="shared" si="3"/>
        <v>0</v>
      </c>
      <c r="M73" s="212">
        <f t="shared" si="4"/>
        <v>-71321979.815960929</v>
      </c>
      <c r="N73" s="67">
        <f>SUM(M73:$M$96)</f>
        <v>-1078945744.0575442</v>
      </c>
      <c r="Y73" s="4">
        <f t="shared" si="5"/>
        <v>-1078945.7440575443</v>
      </c>
      <c r="AA73" s="54"/>
      <c r="AB73" s="54"/>
    </row>
    <row r="74" spans="1:28" ht="15" thickBot="1">
      <c r="B74">
        <v>0.50418703392086706</v>
      </c>
      <c r="C74" s="149">
        <v>18.5</v>
      </c>
      <c r="D74" s="85">
        <f>'Wing aero load'!D81*'Wing Torque'!$E$23*B74</f>
        <v>-21493150.543866206</v>
      </c>
      <c r="E74" s="52">
        <f>$E$28*'Wing aero load'!E81/(2*SUM('Wing aero load'!$E$44:$E$80)*0.1)</f>
        <v>-118049.39576371026</v>
      </c>
      <c r="F74" s="52">
        <f>$E$25*B74*$E$24*9.81*$K$26/'Wing aero load'!$D$31</f>
        <v>-1590540.2062766645</v>
      </c>
      <c r="G74" s="211">
        <f>'Wing inertia load'!E83*'Wing Torque'!$E$26*B74/1.65</f>
        <v>0</v>
      </c>
      <c r="H74" s="86">
        <v>0</v>
      </c>
      <c r="I74" s="52">
        <f t="shared" si="0"/>
        <v>-10533000.305930598</v>
      </c>
      <c r="J74" s="52">
        <f t="shared" si="1"/>
        <v>-58466.755819997517</v>
      </c>
      <c r="K74" s="52">
        <f t="shared" si="2"/>
        <v>-786585.66101039806</v>
      </c>
      <c r="L74" s="52">
        <f t="shared" si="3"/>
        <v>0</v>
      </c>
      <c r="M74" s="211">
        <f t="shared" si="4"/>
        <v>-69786341.786938518</v>
      </c>
      <c r="N74" s="67">
        <f>SUM(M74:$M$96)</f>
        <v>-1007623764.2415837</v>
      </c>
      <c r="Y74" s="4">
        <f t="shared" si="5"/>
        <v>-1007623.7642415838</v>
      </c>
      <c r="AA74" s="54"/>
      <c r="AB74" s="54"/>
    </row>
    <row r="75" spans="1:28" ht="15" thickBot="1">
      <c r="B75">
        <v>0.49317547168443543</v>
      </c>
      <c r="C75" s="149">
        <v>19</v>
      </c>
      <c r="D75" s="85">
        <f>'Wing aero load'!D82*'Wing Torque'!$E$23*B75</f>
        <v>-20638850.679856185</v>
      </c>
      <c r="E75" s="52">
        <f>$E$28*'Wing aero load'!E82/(2*SUM('Wing aero load'!$E$44:$E$80)*0.1)</f>
        <v>-115817.6275162798</v>
      </c>
      <c r="F75" s="52">
        <f>$E$25*B75*$E$24*9.81*$K$26/'Wing aero load'!$D$31</f>
        <v>-1555802.4377649277</v>
      </c>
      <c r="G75" s="211">
        <f>'Wing inertia load'!E84*'Wing Torque'!$E$26*B75/1.65</f>
        <v>0</v>
      </c>
      <c r="H75" s="86">
        <v>0</v>
      </c>
      <c r="I75" s="52">
        <f t="shared" si="0"/>
        <v>-10105777.504801217</v>
      </c>
      <c r="J75" s="52">
        <f t="shared" si="1"/>
        <v>-57324.771184084573</v>
      </c>
      <c r="K75" s="52">
        <f t="shared" si="2"/>
        <v>-769216.7767545298</v>
      </c>
      <c r="L75" s="52">
        <f t="shared" si="3"/>
        <v>0</v>
      </c>
      <c r="M75" s="211">
        <f t="shared" si="4"/>
        <v>-68199765.465640321</v>
      </c>
      <c r="N75" s="67">
        <f>SUM(M75:$M$96)</f>
        <v>-937837422.45464516</v>
      </c>
      <c r="Y75" s="4">
        <f t="shared" si="5"/>
        <v>-937837.42245464516</v>
      </c>
      <c r="AA75" s="54"/>
      <c r="AB75" s="54"/>
    </row>
    <row r="76" spans="1:28" ht="15" thickBot="1">
      <c r="B76">
        <v>0.48216390944800391</v>
      </c>
      <c r="C76" s="149">
        <v>19.5</v>
      </c>
      <c r="D76" s="85">
        <f>'Wing aero load'!D83*'Wing Torque'!$E$23*B76</f>
        <v>-19784259.339348685</v>
      </c>
      <c r="E76" s="52">
        <f>$E$28*'Wing aero load'!E83/(2*SUM('Wing aero load'!$E$44:$E$80)*0.1)</f>
        <v>-113481.4572200585</v>
      </c>
      <c r="F76" s="52">
        <f>$E$25*B76*$E$24*9.81*$K$26/'Wing aero load'!$D$31</f>
        <v>-1521064.6692531914</v>
      </c>
      <c r="G76" s="211">
        <f>'Wing inertia load'!E85*'Wing Torque'!$E$26*B76/1.65</f>
        <v>0</v>
      </c>
      <c r="H76" s="86">
        <v>0</v>
      </c>
      <c r="I76" s="52">
        <f t="shared" si="0"/>
        <v>-9678447.975026818</v>
      </c>
      <c r="J76" s="52">
        <f t="shared" si="1"/>
        <v>-56128.935794062039</v>
      </c>
      <c r="K76" s="52">
        <f t="shared" si="2"/>
        <v>-751847.89249866153</v>
      </c>
      <c r="L76" s="52">
        <f t="shared" si="3"/>
        <v>0</v>
      </c>
      <c r="M76" s="211">
        <f t="shared" si="4"/>
        <v>-66559231.661587521</v>
      </c>
      <c r="N76" s="67">
        <f>SUM(M76:$M$96)</f>
        <v>-869637656.98900473</v>
      </c>
      <c r="Y76" s="4">
        <f t="shared" si="5"/>
        <v>-869637.6569890047</v>
      </c>
      <c r="AA76" s="54"/>
      <c r="AB76" s="54"/>
    </row>
    <row r="77" spans="1:28" ht="15" thickBot="1">
      <c r="B77">
        <v>0.4711523472115724</v>
      </c>
      <c r="C77" s="149">
        <v>20</v>
      </c>
      <c r="D77" s="85">
        <f>'Wing aero load'!D84*'Wing Torque'!$E$23*B77</f>
        <v>-18929532.560758587</v>
      </c>
      <c r="E77" s="52">
        <f>$E$28*'Wing aero load'!E84/(2*SUM('Wing aero load'!$E$44:$E$80)*0.1)</f>
        <v>-111034.28595618968</v>
      </c>
      <c r="F77" s="52">
        <f>$E$25*B77*$E$24*9.81*$K$26/'Wing aero load'!$D$31</f>
        <v>-1486326.9007414544</v>
      </c>
      <c r="G77" s="211">
        <f>'Wing inertia load'!E86*'Wing Torque'!$E$26*B77/1.65</f>
        <v>0</v>
      </c>
      <c r="H77" s="86">
        <v>0</v>
      </c>
      <c r="I77" s="87">
        <f t="shared" si="0"/>
        <v>-9251079.4216993153</v>
      </c>
      <c r="J77" s="87">
        <f t="shared" si="1"/>
        <v>-54875.718840762049</v>
      </c>
      <c r="K77" s="52">
        <f t="shared" si="2"/>
        <v>-734479.00824279315</v>
      </c>
      <c r="L77" s="52">
        <f t="shared" si="3"/>
        <v>0</v>
      </c>
      <c r="M77" s="211">
        <f t="shared" si="4"/>
        <v>-64861277.270704158</v>
      </c>
      <c r="N77" s="67">
        <f>SUM(M77:$M$96)</f>
        <v>-803078425.32741714</v>
      </c>
      <c r="Y77" s="4">
        <f t="shared" si="5"/>
        <v>-803078.42532741709</v>
      </c>
      <c r="AA77" s="54"/>
      <c r="AB77" s="54"/>
    </row>
    <row r="78" spans="1:28" ht="15" thickBot="1">
      <c r="B78">
        <v>0.46014078497514083</v>
      </c>
      <c r="C78" s="149">
        <v>20.5</v>
      </c>
      <c r="D78" s="85">
        <f>'Wing aero load'!D85*'Wing Torque'!$E$23*B78</f>
        <v>-18074785.126038674</v>
      </c>
      <c r="E78" s="52">
        <f>$E$28*'Wing aero load'!E85/(2*SUM('Wing aero load'!$E$44:$E$80)*0.1)</f>
        <v>-108468.58940685852</v>
      </c>
      <c r="F78" s="52">
        <f>$E$25*B78*$E$24*9.81*$K$26/'Wing aero load'!$D$31</f>
        <v>-1451589.1322297179</v>
      </c>
      <c r="G78" s="211">
        <f>'Wing inertia load'!E87*'Wing Torque'!$E$26*B78/1.65</f>
        <v>0</v>
      </c>
      <c r="H78" s="86">
        <v>0</v>
      </c>
      <c r="I78" s="52">
        <f t="shared" si="0"/>
        <v>-8823716.3635948189</v>
      </c>
      <c r="J78" s="52">
        <f t="shared" si="1"/>
        <v>-53561.079386044104</v>
      </c>
      <c r="K78" s="52">
        <f t="shared" si="2"/>
        <v>-717110.12398692477</v>
      </c>
      <c r="L78" s="87">
        <f t="shared" si="3"/>
        <v>0</v>
      </c>
      <c r="M78" s="212">
        <f t="shared" si="4"/>
        <v>-63101905.873625852</v>
      </c>
      <c r="N78" s="67">
        <f>SUM(M78:$M$96)</f>
        <v>-738217148.05671299</v>
      </c>
      <c r="Y78" s="4">
        <f t="shared" si="5"/>
        <v>-738217.14805671293</v>
      </c>
      <c r="AA78" s="54"/>
      <c r="AB78" s="54"/>
    </row>
    <row r="79" spans="1:28" ht="15" thickBot="1">
      <c r="A79" s="142"/>
      <c r="B79">
        <v>0.4491292227387092</v>
      </c>
      <c r="C79" s="149">
        <v>21</v>
      </c>
      <c r="D79" s="85">
        <f>'Wing aero load'!D86*'Wing Torque'!$E$23*B79</f>
        <v>-17220080.328340601</v>
      </c>
      <c r="E79" s="52">
        <f>$E$28*'Wing aero load'!E86/(2*SUM('Wing aero load'!$E$44:$E$80)*0.1)</f>
        <v>-105775.72813731791</v>
      </c>
      <c r="F79" s="52">
        <f>$E$25*B79*$E$24*9.81*$K$26/'Wing aero load'!$D$31</f>
        <v>-1416851.3637179811</v>
      </c>
      <c r="G79" s="211">
        <f>'Wing inertia load'!E88*'Wing Torque'!$E$26*B79/1.65</f>
        <v>0</v>
      </c>
      <c r="H79" s="86">
        <v>0</v>
      </c>
      <c r="I79" s="52">
        <f t="shared" si="0"/>
        <v>-8396374.2137296405</v>
      </c>
      <c r="J79" s="52">
        <f t="shared" si="1"/>
        <v>-52180.35804994416</v>
      </c>
      <c r="K79" s="52">
        <f t="shared" si="2"/>
        <v>-699741.23973105662</v>
      </c>
      <c r="L79" s="52">
        <f t="shared" si="3"/>
        <v>0</v>
      </c>
      <c r="M79" s="211">
        <f t="shared" si="4"/>
        <v>-61276473.503404863</v>
      </c>
      <c r="N79" s="67">
        <f>SUM(M79:$M$96)</f>
        <v>-675115242.18308699</v>
      </c>
      <c r="Y79" s="4">
        <f t="shared" si="5"/>
        <v>-675115.24218308704</v>
      </c>
      <c r="AA79" s="54"/>
      <c r="AB79" s="54"/>
    </row>
    <row r="80" spans="1:28" s="160" customFormat="1" ht="15" thickBot="1">
      <c r="B80">
        <v>0.43811766050227785</v>
      </c>
      <c r="C80" s="149">
        <v>21.5</v>
      </c>
      <c r="D80" s="85">
        <f>'Wing aero load'!D87*'Wing Torque'!$E$23*B80</f>
        <v>-16365416.526577959</v>
      </c>
      <c r="E80" s="52">
        <f>$E$28*'Wing aero load'!E87/(2*SUM('Wing aero load'!$E$44:$E$80)*0.1)</f>
        <v>-102945.70406245874</v>
      </c>
      <c r="F80" s="52">
        <f>$E$25*B80*$E$24*9.81*$K$26/'Wing aero load'!$D$31</f>
        <v>-1382113.5952062455</v>
      </c>
      <c r="G80" s="211">
        <f>'Wing inertia load'!E89*'Wing Torque'!$E$26*B80/1.65</f>
        <v>0</v>
      </c>
      <c r="H80" s="86">
        <v>0</v>
      </c>
      <c r="I80" s="52">
        <f t="shared" si="0"/>
        <v>-7969031.4453218002</v>
      </c>
      <c r="J80" s="52">
        <f t="shared" si="1"/>
        <v>-50728.136792088444</v>
      </c>
      <c r="K80" s="52">
        <f t="shared" si="2"/>
        <v>-682372.35547518847</v>
      </c>
      <c r="L80" s="52">
        <f t="shared" si="3"/>
        <v>0</v>
      </c>
      <c r="M80" s="211">
        <f t="shared" si="4"/>
        <v>-59379540.592885427</v>
      </c>
      <c r="N80" s="67">
        <f>SUM(M80:$M$96)</f>
        <v>-613838768.67968214</v>
      </c>
      <c r="Y80" s="4">
        <f t="shared" si="5"/>
        <v>-613838.76867968217</v>
      </c>
      <c r="AA80" s="162"/>
      <c r="AB80" s="162"/>
    </row>
    <row r="81" spans="1:28" ht="15" thickBot="1">
      <c r="B81">
        <v>0.42710609826584617</v>
      </c>
      <c r="C81" s="149">
        <v>22</v>
      </c>
      <c r="D81" s="85">
        <f>'Wing aero load'!D88*'Wing Torque'!$E$23*B81</f>
        <v>-15510709.254709242</v>
      </c>
      <c r="E81" s="52">
        <f>$E$28*'Wing aero load'!E88/(2*SUM('Wing aero load'!$E$44:$E$80)*0.1)</f>
        <v>-99966.843105895037</v>
      </c>
      <c r="F81" s="52">
        <f>$E$25*B81*$E$24*9.81*$K$26/'Wing aero load'!$D$31</f>
        <v>-1347375.8266945083</v>
      </c>
      <c r="G81" s="211">
        <f>'Wing inertia load'!E90*'Wing Torque'!$E$26*B81/1.65</f>
        <v>0</v>
      </c>
      <c r="H81" s="86">
        <v>0</v>
      </c>
      <c r="I81" s="87">
        <f t="shared" si="0"/>
        <v>-7541619.080990646</v>
      </c>
      <c r="J81" s="87">
        <f t="shared" si="1"/>
        <v>-49198.054428964184</v>
      </c>
      <c r="K81" s="52">
        <f t="shared" si="2"/>
        <v>-665003.47121931997</v>
      </c>
      <c r="L81" s="52">
        <f t="shared" si="3"/>
        <v>0</v>
      </c>
      <c r="M81" s="211">
        <f t="shared" si="4"/>
        <v>-57404676.981174149</v>
      </c>
      <c r="N81" s="67">
        <f>SUM(M81:$M$96)</f>
        <v>-554459228.08679676</v>
      </c>
      <c r="Y81" s="4">
        <f t="shared" si="5"/>
        <v>-554459.22808679671</v>
      </c>
      <c r="AA81" s="54"/>
      <c r="AB81" s="54"/>
    </row>
    <row r="82" spans="1:28" ht="15" thickBot="1">
      <c r="B82">
        <v>0.41609453602941465</v>
      </c>
      <c r="C82" s="149">
        <v>22.5</v>
      </c>
      <c r="D82" s="85">
        <f>'Wing aero load'!D89*'Wing Torque'!$E$23*B82</f>
        <v>-14655767.069253342</v>
      </c>
      <c r="E82" s="52">
        <f>$E$28*'Wing aero load'!E89/(2*SUM('Wing aero load'!$E$44:$E$80)*0.1)</f>
        <v>-96825.374609961684</v>
      </c>
      <c r="F82" s="52">
        <f>$E$25*B82*$E$24*9.81*$K$26/'Wing aero load'!$D$31</f>
        <v>-1312638.0581827716</v>
      </c>
      <c r="G82" s="211">
        <f>'Wing inertia load'!E91*'Wing Torque'!$E$26*B82/1.65</f>
        <v>0</v>
      </c>
      <c r="H82" s="86">
        <v>0</v>
      </c>
      <c r="I82" s="52">
        <f t="shared" si="0"/>
        <v>-7114006.3660173006</v>
      </c>
      <c r="J82" s="52">
        <f t="shared" si="1"/>
        <v>-47582.559409700174</v>
      </c>
      <c r="K82" s="52">
        <f t="shared" si="2"/>
        <v>-647634.5869634517</v>
      </c>
      <c r="L82" s="52">
        <f t="shared" si="3"/>
        <v>0</v>
      </c>
      <c r="M82" s="211">
        <f t="shared" si="4"/>
        <v>-55344200.362680934</v>
      </c>
      <c r="N82" s="67">
        <f>SUM(M82:$M$96)</f>
        <v>-497054551.10562259</v>
      </c>
      <c r="Y82" s="4">
        <f t="shared" si="5"/>
        <v>-497054.55110562261</v>
      </c>
      <c r="AA82" s="54"/>
      <c r="AB82" s="54"/>
    </row>
    <row r="83" spans="1:28" ht="15" thickBot="1">
      <c r="B83">
        <v>0.40508297379298308</v>
      </c>
      <c r="C83" s="149">
        <v>23</v>
      </c>
      <c r="D83" s="85">
        <f>'Wing aero load'!D90*'Wing Torque'!$E$23*B83</f>
        <v>-13800258.394815862</v>
      </c>
      <c r="E83" s="52">
        <f>$E$28*'Wing aero load'!E90/(2*SUM('Wing aero load'!$E$44:$E$80)*0.1)</f>
        <v>-93504.863028838998</v>
      </c>
      <c r="F83" s="52">
        <f>$E$25*B83*$E$24*9.81*$K$26/'Wing aero load'!$D$31</f>
        <v>-1277900.289671035</v>
      </c>
      <c r="G83" s="211">
        <f>'Wing inertia load'!E92*'Wing Torque'!$E$26*B83/1.65</f>
        <v>0</v>
      </c>
      <c r="H83" s="86">
        <v>0</v>
      </c>
      <c r="I83" s="52">
        <f t="shared" si="0"/>
        <v>-6685980.8797797505</v>
      </c>
      <c r="J83" s="52">
        <f t="shared" si="1"/>
        <v>-45872.571450220261</v>
      </c>
      <c r="K83" s="52">
        <f t="shared" si="2"/>
        <v>-630265.70270758343</v>
      </c>
      <c r="L83" s="87">
        <f t="shared" si="3"/>
        <v>0</v>
      </c>
      <c r="M83" s="212">
        <f t="shared" si="4"/>
        <v>-53188818.032707594</v>
      </c>
      <c r="N83" s="67">
        <f>SUM(M83:$M$96)</f>
        <v>-441710350.74294168</v>
      </c>
      <c r="Y83" s="4">
        <f t="shared" si="5"/>
        <v>-441710.35074294166</v>
      </c>
      <c r="AA83" s="54"/>
      <c r="AB83" s="54"/>
    </row>
    <row r="84" spans="1:28" ht="15" thickBot="1">
      <c r="B84">
        <v>0.39407141155655162</v>
      </c>
      <c r="C84" s="149">
        <v>23.5</v>
      </c>
      <c r="D84" s="85">
        <f>'Wing aero load'!D91*'Wing Torque'!$E$23*B84</f>
        <v>-12943665.124303142</v>
      </c>
      <c r="E84" s="52">
        <f>$E$28*'Wing aero load'!E91/(2*SUM('Wing aero load'!$E$44:$E$80)*0.1)</f>
        <v>-89985.422772042031</v>
      </c>
      <c r="F84" s="52">
        <f>$E$25*B84*$E$24*9.81*$K$26/'Wing aero load'!$D$31</f>
        <v>-1243162.5211592987</v>
      </c>
      <c r="G84" s="211">
        <f>'Wing inertia load'!E93*'Wing Torque'!$E$26*B84/1.65</f>
        <v>0</v>
      </c>
      <c r="H84" s="86">
        <v>0</v>
      </c>
      <c r="I84" s="52">
        <f t="shared" si="0"/>
        <v>-6257220.3317252193</v>
      </c>
      <c r="J84" s="52">
        <f t="shared" si="1"/>
        <v>-44057.006960306346</v>
      </c>
      <c r="K84" s="52">
        <f t="shared" si="2"/>
        <v>-612896.81845171517</v>
      </c>
      <c r="L84" s="52">
        <f t="shared" si="3"/>
        <v>0</v>
      </c>
      <c r="M84" s="211">
        <f t="shared" si="4"/>
        <v>-50927124.110483281</v>
      </c>
      <c r="N84" s="67">
        <f>SUM(M84:$M$96)</f>
        <v>-388521532.71023399</v>
      </c>
      <c r="Y84" s="4">
        <f t="shared" si="5"/>
        <v>-388521.53271023399</v>
      </c>
      <c r="AA84" s="54"/>
      <c r="AB84" s="54"/>
    </row>
    <row r="85" spans="1:28" ht="15" thickBot="1">
      <c r="B85">
        <v>0.38305984932011994</v>
      </c>
      <c r="C85" s="149">
        <v>24</v>
      </c>
      <c r="D85" s="85">
        <f>'Wing aero load'!D92*'Wing Torque'!$E$23*B85</f>
        <v>-12085216.202597737</v>
      </c>
      <c r="E85" s="52">
        <f>$E$28*'Wing aero load'!E92/(2*SUM('Wing aero load'!$E$44:$E$80)*0.1)</f>
        <v>-86242.605069183352</v>
      </c>
      <c r="F85" s="52">
        <f>$E$25*B85*$E$24*9.81*$K$26/'Wing aero load'!$D$31</f>
        <v>-1208424.752647562</v>
      </c>
      <c r="G85" s="211">
        <f>'Wing inertia load'!E94*'Wing Torque'!$E$26*B85/1.65</f>
        <v>0</v>
      </c>
      <c r="H85" s="86">
        <v>0</v>
      </c>
      <c r="I85" s="87">
        <f t="shared" si="0"/>
        <v>-5827251.5521247555</v>
      </c>
      <c r="J85" s="87">
        <f t="shared" si="1"/>
        <v>-42122.094042671175</v>
      </c>
      <c r="K85" s="52">
        <f t="shared" si="2"/>
        <v>-595527.93419584678</v>
      </c>
      <c r="L85" s="52">
        <f t="shared" si="3"/>
        <v>0</v>
      </c>
      <c r="M85" s="211">
        <f t="shared" si="4"/>
        <v>-48544873.528991774</v>
      </c>
      <c r="N85" s="67">
        <f>SUM(M85:$M$96)</f>
        <v>-337594408.59975076</v>
      </c>
      <c r="Y85" s="4">
        <f t="shared" si="5"/>
        <v>-337594.40859975078</v>
      </c>
      <c r="AA85" s="54"/>
      <c r="AB85" s="54"/>
    </row>
    <row r="86" spans="1:28" ht="15" thickBot="1">
      <c r="B86">
        <v>0.37204828708368842</v>
      </c>
      <c r="C86" s="149">
        <v>24.5</v>
      </c>
      <c r="D86" s="85">
        <f>'Wing aero load'!D93*'Wing Torque'!$E$23*B86</f>
        <v>-11223790.005901285</v>
      </c>
      <c r="E86" s="52">
        <f>$E$28*'Wing aero load'!E93/(2*SUM('Wing aero load'!$E$44:$E$80)*0.1)</f>
        <v>-82245.771101501363</v>
      </c>
      <c r="F86" s="52">
        <f>$E$25*B86*$E$24*9.81*$K$26/'Wing aero load'!$D$31</f>
        <v>-1173686.9841358254</v>
      </c>
      <c r="G86" s="211">
        <f>'Wing inertia load'!E95*'Wing Torque'!$E$26*B86/1.65</f>
        <v>0</v>
      </c>
      <c r="H86" s="86">
        <v>0</v>
      </c>
      <c r="I86" s="52">
        <f t="shared" si="0"/>
        <v>-5395389.0667352472</v>
      </c>
      <c r="J86" s="52">
        <f t="shared" si="1"/>
        <v>-40050.349316990389</v>
      </c>
      <c r="K86" s="52">
        <f t="shared" si="2"/>
        <v>-578159.04993997852</v>
      </c>
      <c r="L86" s="52">
        <f t="shared" si="3"/>
        <v>0</v>
      </c>
      <c r="M86" s="211">
        <f t="shared" si="4"/>
        <v>-46023897.433665611</v>
      </c>
      <c r="N86" s="67">
        <f>SUM(M86:$M$96)</f>
        <v>-289049535.070759</v>
      </c>
      <c r="Y86" s="4">
        <f t="shared" si="5"/>
        <v>-289049.53507075901</v>
      </c>
      <c r="AA86" s="54"/>
      <c r="AB86" s="54"/>
    </row>
    <row r="87" spans="1:28" ht="15" thickBot="1">
      <c r="B87">
        <v>0.36103672484725691</v>
      </c>
      <c r="C87" s="149">
        <v>25</v>
      </c>
      <c r="D87" s="85">
        <f>'Wing aero load'!D94*'Wing Torque'!$E$23*B87</f>
        <v>-10357766.261039702</v>
      </c>
      <c r="E87" s="52">
        <f>$E$28*'Wing aero load'!E94/(2*SUM('Wing aero load'!$E$44:$E$80)*0.1)</f>
        <v>-77955.626166460192</v>
      </c>
      <c r="F87" s="52">
        <f>$E$25*B87*$E$24*9.81*$K$26/'Wing aero load'!$D$31</f>
        <v>-1138949.2156240887</v>
      </c>
      <c r="G87" s="211">
        <f>'Wing inertia load'!E96*'Wing Torque'!$E$26*B87/1.65</f>
        <v>0</v>
      </c>
      <c r="H87" s="86">
        <v>0</v>
      </c>
      <c r="I87" s="52">
        <f t="shared" si="0"/>
        <v>-4960639.7430602331</v>
      </c>
      <c r="J87" s="52">
        <f t="shared" si="1"/>
        <v>-37818.984687067583</v>
      </c>
      <c r="K87" s="52">
        <f t="shared" si="2"/>
        <v>-560790.16568411025</v>
      </c>
      <c r="L87" s="52">
        <f t="shared" si="3"/>
        <v>0</v>
      </c>
      <c r="M87" s="211">
        <f t="shared" si="4"/>
        <v>-43340414.595811926</v>
      </c>
      <c r="N87" s="67">
        <f>SUM(M87:$M$96)</f>
        <v>-243025637.63709337</v>
      </c>
      <c r="Y87" s="4">
        <f t="shared" si="5"/>
        <v>-243025.63763709337</v>
      </c>
      <c r="AA87" s="54"/>
      <c r="AB87" s="54"/>
    </row>
    <row r="88" spans="1:28" ht="15" thickBot="1">
      <c r="B88">
        <v>0.35002516261082539</v>
      </c>
      <c r="C88" s="149">
        <v>25.5</v>
      </c>
      <c r="D88" s="85">
        <f>'Wing aero load'!D95*'Wing Torque'!$E$23*B88</f>
        <v>-9484792.7112012301</v>
      </c>
      <c r="E88" s="52">
        <f>$E$28*'Wing aero load'!E95/(2*SUM('Wing aero load'!$E$44:$E$80)*0.1)</f>
        <v>-73320.312581810125</v>
      </c>
      <c r="F88" s="52">
        <f>$E$25*B88*$E$24*9.81*$K$26/'Wing aero load'!$D$31</f>
        <v>-1104211.4471123524</v>
      </c>
      <c r="G88" s="211">
        <f>'Wing inertia load'!E97*'Wing Torque'!$E$26*B88/1.65</f>
        <v>0</v>
      </c>
      <c r="H88" s="86">
        <v>0</v>
      </c>
      <c r="I88" s="52">
        <f t="shared" si="0"/>
        <v>-4521548.1375030521</v>
      </c>
      <c r="J88" s="52">
        <f t="shared" si="1"/>
        <v>-35397.294597122222</v>
      </c>
      <c r="K88" s="52">
        <f t="shared" si="2"/>
        <v>-543421.28142824199</v>
      </c>
      <c r="L88" s="87">
        <f t="shared" si="3"/>
        <v>0</v>
      </c>
      <c r="M88" s="212">
        <f t="shared" si="4"/>
        <v>-40462264.016053513</v>
      </c>
      <c r="N88" s="67">
        <f>SUM(M88:$M$96)</f>
        <v>-199685223.04128146</v>
      </c>
      <c r="Y88" s="4">
        <f t="shared" si="5"/>
        <v>-199685.22304128145</v>
      </c>
    </row>
    <row r="89" spans="1:28" s="160" customFormat="1" ht="15" thickBot="1">
      <c r="A89" s="144"/>
      <c r="B89">
        <v>0.33901360037439382</v>
      </c>
      <c r="C89" s="149">
        <v>26</v>
      </c>
      <c r="D89" s="85">
        <f>'Wing aero load'!D96*'Wing Torque'!$E$23*B89</f>
        <v>-8601399.8388109766</v>
      </c>
      <c r="E89" s="52">
        <f>$E$28*'Wing aero load'!E96/(2*SUM('Wing aero load'!$E$44:$E$80)*0.1)</f>
        <v>-68268.865806678747</v>
      </c>
      <c r="F89" s="52">
        <f>$E$25*B89*$E$24*9.81*$K$26/'Wing aero load'!$D$31</f>
        <v>-1069473.6786006156</v>
      </c>
      <c r="G89" s="211">
        <f>'Wing inertia load'!E98*'Wing Torque'!$E$26*B89/1.65</f>
        <v>0</v>
      </c>
      <c r="H89" s="86">
        <v>0</v>
      </c>
      <c r="I89" s="87">
        <f t="shared" si="0"/>
        <v>-4075931.4880165774</v>
      </c>
      <c r="J89" s="87">
        <f t="shared" si="1"/>
        <v>-32742.076734976254</v>
      </c>
      <c r="K89" s="52">
        <f t="shared" si="2"/>
        <v>-526052.39717237372</v>
      </c>
      <c r="L89" s="52">
        <f t="shared" si="3"/>
        <v>0</v>
      </c>
      <c r="M89" s="211">
        <f t="shared" si="4"/>
        <v>-37344060.620165206</v>
      </c>
      <c r="N89" s="67">
        <f>SUM(M89:$M$96)</f>
        <v>-159222959.0252279</v>
      </c>
      <c r="Y89" s="4">
        <f t="shared" si="5"/>
        <v>-159222.9590252279</v>
      </c>
    </row>
    <row r="90" spans="1:28" ht="15" thickBot="1">
      <c r="B90">
        <v>0.3280020381379623</v>
      </c>
      <c r="C90" s="149">
        <v>26.5</v>
      </c>
      <c r="D90" s="85">
        <f>'Wing aero load'!D97*'Wing Torque'!$E$23*B90</f>
        <v>-7702326.1132553341</v>
      </c>
      <c r="E90" s="52">
        <f>$E$28*'Wing aero load'!E97/(2*SUM('Wing aero load'!$E$44:$E$80)*0.1)</f>
        <v>-62699.441133226261</v>
      </c>
      <c r="F90" s="52">
        <f>$E$25*B90*$E$24*9.81*$K$26/'Wing aero load'!$D$31</f>
        <v>-1034735.9100888791</v>
      </c>
      <c r="G90" s="211">
        <f>'Wing inertia load'!E99*'Wing Torque'!$E$26*B90/1.65</f>
        <v>0</v>
      </c>
      <c r="H90" s="86">
        <v>0</v>
      </c>
      <c r="I90" s="52">
        <f t="shared" si="0"/>
        <v>-3620392.1031489605</v>
      </c>
      <c r="J90" s="52">
        <f t="shared" si="1"/>
        <v>-29788.856811902551</v>
      </c>
      <c r="K90" s="52">
        <f t="shared" si="2"/>
        <v>-508683.51291650545</v>
      </c>
      <c r="L90" s="52">
        <f t="shared" si="3"/>
        <v>0</v>
      </c>
      <c r="M90" s="211">
        <f t="shared" si="4"/>
        <v>-33917932.427968018</v>
      </c>
      <c r="N90" s="67">
        <f>SUM(M90:$M$96)</f>
        <v>-121878898.40506268</v>
      </c>
      <c r="Y90" s="4">
        <f t="shared" si="5"/>
        <v>-121878.89840506268</v>
      </c>
    </row>
    <row r="91" spans="1:28" ht="15" thickBot="1">
      <c r="B91">
        <v>0.31699047590153079</v>
      </c>
      <c r="C91" s="149">
        <v>27</v>
      </c>
      <c r="D91" s="85">
        <f>'Wing aero load'!D98*'Wing Torque'!$E$23*B91</f>
        <v>-6779242.299340507</v>
      </c>
      <c r="E91" s="52">
        <f>$E$28*'Wing aero load'!E98/(2*SUM('Wing aero load'!$E$44:$E$80)*0.1)</f>
        <v>-56455.986114383937</v>
      </c>
      <c r="F91" s="52">
        <f>$E$25*B91*$E$24*9.81*$K$26/'Wing aero load'!$D$31</f>
        <v>-999998.14157714264</v>
      </c>
      <c r="G91" s="211">
        <f>'Wing inertia load'!E100*'Wing Torque'!$E$26*B91/1.65</f>
        <v>0</v>
      </c>
      <c r="H91" s="86">
        <v>0</v>
      </c>
      <c r="I91" s="52">
        <f t="shared" si="0"/>
        <v>-3149329.5059063854</v>
      </c>
      <c r="J91" s="52">
        <f t="shared" si="1"/>
        <v>-26432.779124097571</v>
      </c>
      <c r="K91" s="52">
        <f t="shared" si="2"/>
        <v>-491314.62866063713</v>
      </c>
      <c r="L91" s="52">
        <f t="shared" si="3"/>
        <v>0</v>
      </c>
      <c r="M91" s="211">
        <f t="shared" si="4"/>
        <v>-30073423.258664593</v>
      </c>
      <c r="N91" s="67">
        <f>SUM(M91:$M$96)</f>
        <v>-87960965.977094665</v>
      </c>
      <c r="Y91" s="4">
        <f t="shared" si="5"/>
        <v>-87960.96597709466</v>
      </c>
    </row>
    <row r="92" spans="1:28" ht="15" thickBot="1">
      <c r="B92">
        <v>0.30597891366509916</v>
      </c>
      <c r="C92" s="149">
        <v>27.5</v>
      </c>
      <c r="D92" s="85">
        <f>'Wing aero load'!D99*'Wing Torque'!$E$23*B92</f>
        <v>-5818075.7242850345</v>
      </c>
      <c r="E92" s="52">
        <f>$E$28*'Wing aero load'!E99/(2*SUM('Wing aero load'!$E$44:$E$80)*0.1)</f>
        <v>-49275.130382006355</v>
      </c>
      <c r="F92" s="52">
        <f>$E$25*B92*$E$24*9.81*$K$26/'Wing aero load'!$D$31</f>
        <v>-965260.37306540587</v>
      </c>
      <c r="G92" s="211">
        <f>'Wing inertia load'!E101*'Wing Torque'!$E$26*B92/1.65</f>
        <v>0</v>
      </c>
      <c r="H92" s="86">
        <v>0</v>
      </c>
      <c r="I92" s="52">
        <f t="shared" si="0"/>
        <v>-2652640.8083289964</v>
      </c>
      <c r="J92" s="52">
        <f t="shared" si="1"/>
        <v>-22477.525851689672</v>
      </c>
      <c r="K92" s="52">
        <f t="shared" si="2"/>
        <v>-473945.74440476892</v>
      </c>
      <c r="L92" s="52">
        <f t="shared" si="3"/>
        <v>0</v>
      </c>
      <c r="M92" s="211">
        <f t="shared" si="4"/>
        <v>-25604112.404423438</v>
      </c>
      <c r="N92" s="67">
        <f>SUM(M92:$M$96)</f>
        <v>-57887542.718430072</v>
      </c>
      <c r="Y92" s="4">
        <f t="shared" si="5"/>
        <v>-57887.542718430072</v>
      </c>
    </row>
    <row r="93" spans="1:28" ht="15" thickBot="1">
      <c r="B93">
        <v>0.29496735142866776</v>
      </c>
      <c r="C93" s="149">
        <v>28</v>
      </c>
      <c r="D93" s="85">
        <f>'Wing aero load'!D100*'Wing Torque'!$E$23*B93</f>
        <v>-4792487.5090309521</v>
      </c>
      <c r="E93" s="52">
        <f>$E$28*'Wing aero load'!E100/(2*SUM('Wing aero load'!$E$44:$E$80)*0.1)</f>
        <v>-40634.973024752326</v>
      </c>
      <c r="F93" s="52">
        <f>$E$25*B93*$E$24*9.81*$K$26/'Wing aero load'!$D$31</f>
        <v>-930522.60455366969</v>
      </c>
      <c r="G93" s="211">
        <f>'Wing inertia load'!E102*'Wing Torque'!$E$26*B93/1.65</f>
        <v>0</v>
      </c>
      <c r="H93" s="86">
        <v>0</v>
      </c>
      <c r="I93" s="87">
        <f t="shared" si="0"/>
        <v>-2109022.3325092136</v>
      </c>
      <c r="J93" s="87">
        <f t="shared" si="1"/>
        <v>-17426.58196231574</v>
      </c>
      <c r="K93" s="52">
        <f t="shared" si="2"/>
        <v>-456576.86014890054</v>
      </c>
      <c r="L93" s="87">
        <f t="shared" si="3"/>
        <v>0</v>
      </c>
      <c r="M93" s="212">
        <f t="shared" si="4"/>
        <v>-19992181.154973853</v>
      </c>
      <c r="N93" s="67">
        <f>SUM(M93:$M$96)</f>
        <v>-32283430.314006638</v>
      </c>
      <c r="Y93" s="4">
        <f t="shared" si="5"/>
        <v>-32283.430314006637</v>
      </c>
    </row>
    <row r="94" spans="1:28" ht="15" thickBot="1">
      <c r="B94">
        <v>0.28395578919223607</v>
      </c>
      <c r="C94" s="149">
        <v>28.5</v>
      </c>
      <c r="D94" s="85">
        <f>'Wing aero load'!D101*'Wing Torque'!$E$23*B94</f>
        <v>-3643601.8210059018</v>
      </c>
      <c r="E94" s="52">
        <f>$E$28*'Wing aero load'!E101/(2*SUM('Wing aero load'!$E$44:$E$80)*0.1)</f>
        <v>-29071.354824510639</v>
      </c>
      <c r="F94" s="52">
        <f>$E$25*B94*$E$24*9.81*$K$26/'Wing aero load'!$D$31</f>
        <v>-895784.83604193246</v>
      </c>
      <c r="G94" s="211">
        <f>'Wing inertia load'!E103*'Wing Torque'!$E$26*B94/1.65</f>
        <v>0</v>
      </c>
      <c r="H94" s="86">
        <v>0</v>
      </c>
      <c r="I94" s="52">
        <f t="shared" si="0"/>
        <v>-1454904.9377845242</v>
      </c>
      <c r="J94" s="52">
        <f t="shared" si="1"/>
        <v>-8938.9248246140378</v>
      </c>
      <c r="K94" s="52">
        <f t="shared" si="2"/>
        <v>-439207.97589303227</v>
      </c>
      <c r="L94" s="52">
        <f t="shared" si="3"/>
        <v>0</v>
      </c>
      <c r="M94" s="211">
        <f t="shared" si="4"/>
        <v>-10833037.738291595</v>
      </c>
      <c r="N94" s="67">
        <f>SUM(M94:$M$96)</f>
        <v>-12291249.159032784</v>
      </c>
      <c r="Y94" s="4">
        <f t="shared" si="5"/>
        <v>-12291.249159032785</v>
      </c>
    </row>
    <row r="95" spans="1:28" ht="15" thickBot="1">
      <c r="B95">
        <v>0.27294422695580461</v>
      </c>
      <c r="C95" s="149">
        <v>29</v>
      </c>
      <c r="D95" s="85">
        <f>'Wing aero load'!D102*'Wing Torque'!$E$23*B95</f>
        <v>-2176017.9301321954</v>
      </c>
      <c r="E95" s="52">
        <f>$E$28*'Wing aero load'!E102/(2*SUM('Wing aero load'!$E$44:$E$80)*0.1)</f>
        <v>-6684.344473945509</v>
      </c>
      <c r="F95" s="52">
        <f>$E$25*B95*$E$24*9.81*$K$26/'Wing aero load'!$D$31</f>
        <v>-861047.06753019651</v>
      </c>
      <c r="G95" s="211">
        <f>'Wing inertia load'!E104*'Wing Torque'!$E$26*B95/1.65</f>
        <v>0</v>
      </c>
      <c r="H95" s="86">
        <v>0</v>
      </c>
      <c r="I95" s="52">
        <f t="shared" si="0"/>
        <v>-326402.68951983005</v>
      </c>
      <c r="J95" s="52">
        <f t="shared" si="1"/>
        <v>-1002.6516710918287</v>
      </c>
      <c r="K95" s="52">
        <f t="shared" si="2"/>
        <v>-129157.06012952978</v>
      </c>
      <c r="L95" s="52">
        <f t="shared" si="3"/>
        <v>0</v>
      </c>
      <c r="M95" s="211">
        <f t="shared" si="4"/>
        <v>-1458211.4207411886</v>
      </c>
      <c r="N95" s="67">
        <f>SUM(M95:$M$96)</f>
        <v>-1458211.4207411886</v>
      </c>
      <c r="Y95" s="4">
        <f t="shared" si="5"/>
        <v>-1458.2114207411885</v>
      </c>
    </row>
    <row r="96" spans="1:28" ht="15" thickBot="1">
      <c r="B96">
        <v>0</v>
      </c>
      <c r="C96" s="149">
        <v>29.3</v>
      </c>
      <c r="D96" s="85">
        <f>'Wing aero load'!D103*'Wing Torque'!$E$23*B96</f>
        <v>0</v>
      </c>
      <c r="E96" s="52">
        <f>$E$28*'Wing aero load'!E103/(2*SUM('Wing aero load'!$E$44:$E$80)*0.1)</f>
        <v>0</v>
      </c>
      <c r="F96" s="52">
        <f>$E$25*B96*$E$24*9.81*$K$26/'Wing aero load'!$D$31</f>
        <v>0</v>
      </c>
      <c r="G96" s="211">
        <f>'Wing inertia load'!E105*'Wing Torque'!$E$26*B96/1.65</f>
        <v>0</v>
      </c>
      <c r="H96" s="86">
        <v>0</v>
      </c>
      <c r="I96" s="52">
        <f t="shared" si="0"/>
        <v>0</v>
      </c>
      <c r="J96" s="52">
        <f t="shared" si="1"/>
        <v>0</v>
      </c>
      <c r="K96" s="52">
        <f t="shared" si="2"/>
        <v>0</v>
      </c>
      <c r="L96" s="52">
        <f t="shared" si="3"/>
        <v>0</v>
      </c>
      <c r="M96" s="211">
        <f t="shared" si="4"/>
        <v>0</v>
      </c>
      <c r="N96" s="67">
        <f>SUM(M96:$M$96)</f>
        <v>0</v>
      </c>
      <c r="Y96" s="4">
        <f t="shared" si="5"/>
        <v>0</v>
      </c>
    </row>
    <row r="102" spans="1:11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>
      <c r="A103" s="164" t="s">
        <v>271</v>
      </c>
      <c r="C103" s="287" t="s">
        <v>275</v>
      </c>
      <c r="D103" s="289"/>
      <c r="E103" s="289"/>
      <c r="F103" s="288"/>
      <c r="H103" s="287" t="s">
        <v>276</v>
      </c>
      <c r="I103" s="288"/>
    </row>
    <row r="104" spans="1:11">
      <c r="A104" s="290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>
      <c r="A105" s="291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-817447036.10968983</v>
      </c>
    </row>
    <row r="106" spans="1:11">
      <c r="A106" s="291"/>
      <c r="C106" s="6" t="s">
        <v>167</v>
      </c>
      <c r="D106" s="6" t="s">
        <v>168</v>
      </c>
      <c r="E106" s="52">
        <f>E28/2</f>
        <v>-527921.1740817409</v>
      </c>
      <c r="F106" s="6" t="s">
        <v>169</v>
      </c>
      <c r="H106" s="6" t="s">
        <v>167</v>
      </c>
      <c r="I106" s="52">
        <f>SUM(J37:J77)</f>
        <v>-2857516.328141999</v>
      </c>
    </row>
    <row r="107" spans="1:11">
      <c r="A107" s="291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-54938248.715821058</v>
      </c>
    </row>
    <row r="108" spans="1:11">
      <c r="A108" s="291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>
      <c r="A109" s="291"/>
      <c r="C109" s="6" t="s">
        <v>174</v>
      </c>
      <c r="D109" s="6" t="s">
        <v>175</v>
      </c>
      <c r="E109" s="52">
        <f>K25*9.81*E27*K26</f>
        <v>-78412556.25</v>
      </c>
      <c r="F109" s="6" t="s">
        <v>156</v>
      </c>
      <c r="H109" s="6" t="s">
        <v>174</v>
      </c>
      <c r="I109" s="52">
        <f>SUM(H37:H96)</f>
        <v>-156974067.45999998</v>
      </c>
    </row>
    <row r="110" spans="1:11">
      <c r="A110" s="292"/>
    </row>
  </sheetData>
  <mergeCells count="14">
    <mergeCell ref="B1:E1"/>
    <mergeCell ref="F1:G1"/>
    <mergeCell ref="H1:Z1"/>
    <mergeCell ref="C21:F21"/>
    <mergeCell ref="I21:L21"/>
    <mergeCell ref="N21:Q21"/>
    <mergeCell ref="H103:I103"/>
    <mergeCell ref="C103:F103"/>
    <mergeCell ref="A104:A110"/>
    <mergeCell ref="H35:M35"/>
    <mergeCell ref="A4:A19"/>
    <mergeCell ref="A22:A33"/>
    <mergeCell ref="A36:A44"/>
    <mergeCell ref="D35:G35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 n-V diagram'!$H$42:$H$45</xm:f>
          </x14:formula1>
          <xm:sqref>G23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6322-01BF-4D66-81CA-0CA7AEBB6816}">
  <dimension ref="A1:AD110"/>
  <sheetViews>
    <sheetView zoomScale="55" zoomScaleNormal="55" workbookViewId="0">
      <pane xSplit="1" ySplit="1" topLeftCell="J35" activePane="bottomRight" state="frozen"/>
      <selection pane="topRight" activeCell="B1" sqref="B1"/>
      <selection pane="bottomLeft" activeCell="A2" sqref="A2"/>
      <selection pane="bottomRight" activeCell="AO73" sqref="AO73"/>
    </sheetView>
  </sheetViews>
  <sheetFormatPr defaultColWidth="8.83203125" defaultRowHeight="14.5"/>
  <cols>
    <col min="1" max="1" width="25.6640625" style="50" customWidth="1"/>
    <col min="2" max="2" width="8.83203125" style="4"/>
    <col min="3" max="3" width="23.83203125" style="4" bestFit="1" customWidth="1"/>
    <col min="4" max="4" width="12.91406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25" style="4" bestFit="1" customWidth="1"/>
    <col min="12" max="12" width="15.83203125" style="4" customWidth="1"/>
    <col min="13" max="13" width="16.33203125" style="4" bestFit="1" customWidth="1"/>
    <col min="14" max="14" width="15" style="4" bestFit="1" customWidth="1"/>
    <col min="15" max="15" width="16.082031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28" width="8.83203125" style="4" bestFit="1" customWidth="1"/>
    <col min="29" max="29" width="16.33203125" style="4" bestFit="1" customWidth="1"/>
    <col min="30" max="33" width="8.83203125" style="4" bestFit="1" customWidth="1"/>
    <col min="34" max="16384" width="8.83203125" style="4"/>
  </cols>
  <sheetData>
    <row r="1" spans="1:26" s="30" customFormat="1" ht="39" customHeight="1" thickBot="1">
      <c r="A1" s="161"/>
      <c r="B1" s="252" t="s">
        <v>115</v>
      </c>
      <c r="C1" s="252"/>
      <c r="D1" s="252"/>
      <c r="E1" s="253"/>
      <c r="F1" s="254" t="s">
        <v>9</v>
      </c>
      <c r="G1" s="255"/>
      <c r="H1" s="267" t="s">
        <v>277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>
      <c r="A2" s="144"/>
      <c r="V2" s="63"/>
    </row>
    <row r="3" spans="1:26">
      <c r="A3" s="159" t="s">
        <v>225</v>
      </c>
    </row>
    <row r="4" spans="1:26">
      <c r="A4" s="290" t="s">
        <v>268</v>
      </c>
    </row>
    <row r="5" spans="1:26">
      <c r="A5" s="249"/>
    </row>
    <row r="6" spans="1:26">
      <c r="A6" s="249"/>
    </row>
    <row r="7" spans="1:26">
      <c r="A7" s="296"/>
    </row>
    <row r="8" spans="1:26">
      <c r="A8" s="296"/>
    </row>
    <row r="9" spans="1:26">
      <c r="A9" s="296"/>
    </row>
    <row r="10" spans="1:26">
      <c r="A10" s="296"/>
    </row>
    <row r="11" spans="1:26">
      <c r="A11" s="296"/>
    </row>
    <row r="12" spans="1:26">
      <c r="A12" s="296"/>
    </row>
    <row r="13" spans="1:26">
      <c r="A13" s="296"/>
    </row>
    <row r="14" spans="1:26" ht="16" customHeight="1">
      <c r="A14" s="296"/>
    </row>
    <row r="15" spans="1:26">
      <c r="A15" s="296"/>
    </row>
    <row r="16" spans="1:26">
      <c r="A16" s="296"/>
    </row>
    <row r="17" spans="1:22">
      <c r="A17" s="296"/>
    </row>
    <row r="18" spans="1:22">
      <c r="A18" s="296"/>
    </row>
    <row r="19" spans="1:22" s="143" customFormat="1">
      <c r="A19" s="297"/>
    </row>
    <row r="21" spans="1:22">
      <c r="A21" s="159" t="s">
        <v>234</v>
      </c>
      <c r="C21" s="299" t="s">
        <v>262</v>
      </c>
      <c r="D21" s="300"/>
      <c r="E21" s="300"/>
      <c r="F21" s="300"/>
      <c r="I21" s="261" t="s">
        <v>263</v>
      </c>
      <c r="J21" s="264"/>
      <c r="K21" s="264"/>
      <c r="L21" s="262"/>
      <c r="N21" s="261" t="s">
        <v>264</v>
      </c>
      <c r="O21" s="264"/>
      <c r="P21" s="264"/>
      <c r="Q21" s="262"/>
    </row>
    <row r="22" spans="1:22">
      <c r="A22" s="290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>
      <c r="A23" s="291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>
      <c r="A24" s="291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>
      <c r="A25" s="291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>
      <c r="A26" s="291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-1.5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>
      <c r="A27" s="291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>
      <c r="A28" s="291"/>
      <c r="C28" s="6" t="s">
        <v>149</v>
      </c>
      <c r="D28" s="57" t="s">
        <v>150</v>
      </c>
      <c r="E28" s="52">
        <f>VLOOKUP('Wing and Engine Torque'!G23,' n-V diagram'!H42:K47,3,FALSE)</f>
        <v>-1055842.3481634818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>
      <c r="A29" s="291"/>
      <c r="C29" s="6" t="s">
        <v>154</v>
      </c>
      <c r="D29" s="6" t="s">
        <v>155</v>
      </c>
      <c r="E29" s="52">
        <f>E23*K23+E25*E24*9.81*K26-K24*E26*9.81*K26-K25*E27*9.81*K26+E28*1000</f>
        <v>-71743761.563481808</v>
      </c>
      <c r="F29" s="6" t="s">
        <v>156</v>
      </c>
      <c r="N29" s="6" t="s">
        <v>157</v>
      </c>
      <c r="O29" s="6" t="s">
        <v>158</v>
      </c>
      <c r="P29" s="6">
        <f>P30*1000/P28</f>
        <v>-597864679.69568181</v>
      </c>
      <c r="Q29" s="6" t="s">
        <v>80</v>
      </c>
    </row>
    <row r="30" spans="1:22">
      <c r="A30" s="291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-71743761.563481808</v>
      </c>
      <c r="Q30" s="6" t="s">
        <v>151</v>
      </c>
    </row>
    <row r="31" spans="1:22">
      <c r="A31" s="291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>
      <c r="A32" s="291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30">
      <c r="A33" s="292"/>
    </row>
    <row r="34" spans="1:30" s="160" customFormat="1" ht="15" thickBot="1">
      <c r="A34" s="50"/>
    </row>
    <row r="35" spans="1:30" ht="15" thickBot="1">
      <c r="A35" s="163" t="s">
        <v>269</v>
      </c>
      <c r="B35" s="225" t="s">
        <v>325</v>
      </c>
      <c r="D35" s="293" t="s">
        <v>238</v>
      </c>
      <c r="E35" s="294"/>
      <c r="F35" s="294"/>
      <c r="G35" s="295"/>
      <c r="H35" s="293" t="s">
        <v>266</v>
      </c>
      <c r="I35" s="294"/>
      <c r="J35" s="294"/>
      <c r="K35" s="294"/>
      <c r="L35" s="294"/>
      <c r="M35" s="295"/>
      <c r="N35" s="151"/>
    </row>
    <row r="36" spans="1:30" ht="58">
      <c r="A36" s="290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330</v>
      </c>
      <c r="N36" s="218" t="s">
        <v>267</v>
      </c>
      <c r="O36" s="209" t="s">
        <v>274</v>
      </c>
      <c r="Y36" s="209" t="s">
        <v>328</v>
      </c>
      <c r="AA36" s="218" t="s">
        <v>330</v>
      </c>
      <c r="AB36" s="218" t="s">
        <v>267</v>
      </c>
      <c r="AC36" s="209" t="s">
        <v>274</v>
      </c>
    </row>
    <row r="37" spans="1:30">
      <c r="A37" s="298"/>
      <c r="B37">
        <v>1</v>
      </c>
      <c r="C37" s="149">
        <v>0</v>
      </c>
      <c r="D37" s="85">
        <f>'Wing aero load'!D44*'Wing and Engine Torque'!$E$23*B37</f>
        <v>-54960668.613745667</v>
      </c>
      <c r="E37" s="52">
        <f>$E$28*'Wing aero load'!E44/(2*SUM('Wing aero load'!$E$44:$E$80)*0.1)</f>
        <v>-153592.2913861571</v>
      </c>
      <c r="F37" s="52">
        <f>$E$25*B37*$E$24*9.81*$K$26/'Wing aero load'!$D$31</f>
        <v>-3154663.0501535311</v>
      </c>
      <c r="G37" s="211">
        <f>'Wing inertia load'!E46*'Wing and Engine Torque'!$E$26*B37/1.65</f>
        <v>0</v>
      </c>
      <c r="H37" s="85">
        <v>-21279.28000000005</v>
      </c>
      <c r="I37" s="52">
        <f>(D38+D37)*(C38-C37)/2</f>
        <v>-27191112.387199573</v>
      </c>
      <c r="J37" s="52">
        <f>(E38+E37)*(C38-C37)/2</f>
        <v>-76784.967391072249</v>
      </c>
      <c r="K37" s="52">
        <f>(F38+F37)*(C38-C37)/2</f>
        <v>-1560842.968278551</v>
      </c>
      <c r="L37" s="52">
        <f>(G38+G37)*(C38-C37)/2</f>
        <v>0</v>
      </c>
      <c r="M37" s="211">
        <f>0</f>
        <v>0</v>
      </c>
      <c r="N37" s="67">
        <f>I37+J37*1000+K37-L37-H37+M37</f>
        <v>-105515643.46655038</v>
      </c>
      <c r="O37" s="67">
        <f>SUM($N37:N$96)</f>
        <v>-4210305431.6093173</v>
      </c>
      <c r="Y37" s="4">
        <f>O37/1000</f>
        <v>-4210305.4316093177</v>
      </c>
      <c r="AA37" s="211">
        <f>0</f>
        <v>0</v>
      </c>
      <c r="AB37" s="67">
        <f>M37</f>
        <v>0</v>
      </c>
      <c r="AC37" s="67">
        <f>SUM($AB37:AB$96)</f>
        <v>0</v>
      </c>
      <c r="AD37" s="4">
        <f>AC37/1000</f>
        <v>0</v>
      </c>
    </row>
    <row r="38" spans="1:30">
      <c r="A38" s="298"/>
      <c r="B38">
        <v>0.9790930992805561</v>
      </c>
      <c r="C38" s="149">
        <v>0.5</v>
      </c>
      <c r="D38" s="85">
        <f>'Wing aero load'!D45*'Wing and Engine Torque'!$E$23*B38</f>
        <v>-53803780.935052633</v>
      </c>
      <c r="E38" s="52">
        <f>$E$28*'Wing aero load'!E45/(2*SUM('Wing aero load'!$E$44:$E$80)*0.1)</f>
        <v>-153547.57817813192</v>
      </c>
      <c r="F38" s="52">
        <f>$E$25*B38*$E$24*9.81*$K$26/'Wing aero load'!$D$31</f>
        <v>-3088708.8229606734</v>
      </c>
      <c r="G38" s="211">
        <f>'Wing inertia load'!E47*'Wing and Engine Torque'!$E$26*B38/1.65</f>
        <v>0</v>
      </c>
      <c r="H38" s="85">
        <v>-21279.28000000005</v>
      </c>
      <c r="I38" s="52">
        <f t="shared" ref="I38:I96" si="0">(D39+D38)*(C39-C38)/2</f>
        <v>-26608918.861858383</v>
      </c>
      <c r="J38" s="52">
        <f t="shared" ref="J38:J96" si="1">(E39+E38)*(C39-C38)/2</f>
        <v>-76751.422711113613</v>
      </c>
      <c r="K38" s="52">
        <f t="shared" ref="K38:K96" si="2">(F39+F38)*(C39-C38)/2</f>
        <v>-1527865.8546821226</v>
      </c>
      <c r="L38" s="52">
        <f t="shared" ref="L38:L96" si="3">(G39+G38)*(C39-C38)/2</f>
        <v>0</v>
      </c>
      <c r="M38" s="211">
        <f>0</f>
        <v>0</v>
      </c>
      <c r="N38" s="67">
        <f t="shared" ref="N38:N96" si="4">I38+J38*1000+K38-L38-H38+M38</f>
        <v>-104866928.14765412</v>
      </c>
      <c r="O38" s="67">
        <f>SUM($N38:N$96)</f>
        <v>-4104789788.142767</v>
      </c>
      <c r="Y38" s="4">
        <f t="shared" ref="Y38:Y96" si="5">O38/1000</f>
        <v>-4104789.7881427668</v>
      </c>
      <c r="AA38" s="211">
        <f>0</f>
        <v>0</v>
      </c>
      <c r="AB38" s="67">
        <f t="shared" ref="AB38:AB96" si="6">M38</f>
        <v>0</v>
      </c>
      <c r="AC38" s="67">
        <f>SUM($AB38:AB$96)</f>
        <v>0</v>
      </c>
      <c r="AD38" s="4">
        <f t="shared" ref="AD38:AD96" si="7">AC38/1000</f>
        <v>0</v>
      </c>
    </row>
    <row r="39" spans="1:30">
      <c r="A39" s="298"/>
      <c r="B39">
        <v>0.95818619856111253</v>
      </c>
      <c r="C39" s="149">
        <v>1</v>
      </c>
      <c r="D39" s="85">
        <f>'Wing aero load'!D46*'Wing and Engine Torque'!$E$23*B39</f>
        <v>-52631894.512380898</v>
      </c>
      <c r="E39" s="52">
        <f>$E$28*'Wing aero load'!E46/(2*SUM('Wing aero load'!$E$44:$E$80)*0.1)</f>
        <v>-153458.11266632256</v>
      </c>
      <c r="F39" s="52">
        <f>$E$25*B39*$E$24*9.81*$K$26/'Wing aero load'!$D$31</f>
        <v>-3022754.595767817</v>
      </c>
      <c r="G39" s="211">
        <f>'Wing inertia load'!E48*'Wing and Engine Torque'!$E$26*B39/1.65</f>
        <v>0</v>
      </c>
      <c r="H39" s="85">
        <v>-21279.28000000005</v>
      </c>
      <c r="I39" s="52">
        <f t="shared" si="0"/>
        <v>-26019471.964384262</v>
      </c>
      <c r="J39" s="52">
        <f t="shared" si="1"/>
        <v>-76695.482288578452</v>
      </c>
      <c r="K39" s="52">
        <f t="shared" si="2"/>
        <v>-1494888.7410856935</v>
      </c>
      <c r="L39" s="52">
        <f t="shared" si="3"/>
        <v>0</v>
      </c>
      <c r="M39" s="211">
        <f>0</f>
        <v>0</v>
      </c>
      <c r="N39" s="67">
        <f t="shared" si="4"/>
        <v>-104188563.7140484</v>
      </c>
      <c r="O39" s="67">
        <f>SUM($N39:N$96)</f>
        <v>-3999922859.9951134</v>
      </c>
      <c r="Y39" s="4">
        <f t="shared" si="5"/>
        <v>-3999922.8599951132</v>
      </c>
      <c r="AA39" s="211">
        <f>0</f>
        <v>0</v>
      </c>
      <c r="AB39" s="67">
        <f t="shared" si="6"/>
        <v>0</v>
      </c>
      <c r="AC39" s="67">
        <f>SUM($AB39:AB$96)</f>
        <v>0</v>
      </c>
      <c r="AD39" s="4">
        <f t="shared" si="7"/>
        <v>0</v>
      </c>
    </row>
    <row r="40" spans="1:30">
      <c r="A40" s="298"/>
      <c r="B40">
        <v>0.93727929784166797</v>
      </c>
      <c r="C40" s="149">
        <v>1.5</v>
      </c>
      <c r="D40" s="85">
        <f>'Wing aero load'!D47*'Wing and Engine Torque'!$E$23*B40</f>
        <v>-51445993.345156148</v>
      </c>
      <c r="E40" s="52">
        <f>$E$28*'Wing aero load'!E47/(2*SUM('Wing aero load'!$E$44:$E$80)*0.1)</f>
        <v>-153323.81648799125</v>
      </c>
      <c r="F40" s="52">
        <f>$E$25*B40*$E$24*9.81*$K$26/'Wing aero load'!$D$31</f>
        <v>-2956800.3685749569</v>
      </c>
      <c r="G40" s="211">
        <f>'Wing inertia load'!E49*'Wing and Engine Torque'!$E$26*B40/1.65</f>
        <v>0</v>
      </c>
      <c r="H40" s="85">
        <v>-21279.28000000005</v>
      </c>
      <c r="I40" s="52">
        <f t="shared" si="0"/>
        <v>-25423260.904034354</v>
      </c>
      <c r="J40" s="52">
        <f t="shared" si="1"/>
        <v>-76617.097039304819</v>
      </c>
      <c r="K40" s="52">
        <f t="shared" si="2"/>
        <v>-1461911.6274892641</v>
      </c>
      <c r="L40" s="52">
        <f t="shared" si="3"/>
        <v>0</v>
      </c>
      <c r="M40" s="211">
        <f>0</f>
        <v>0</v>
      </c>
      <c r="N40" s="67">
        <f t="shared" si="4"/>
        <v>-103480990.29082844</v>
      </c>
      <c r="O40" s="67">
        <f>SUM($N40:N$96)</f>
        <v>-3895734296.281065</v>
      </c>
      <c r="Y40" s="4">
        <f t="shared" si="5"/>
        <v>-3895734.2962810649</v>
      </c>
      <c r="AA40" s="211">
        <f>0</f>
        <v>0</v>
      </c>
      <c r="AB40" s="67">
        <f t="shared" si="6"/>
        <v>0</v>
      </c>
      <c r="AC40" s="67">
        <f>SUM($AB40:AB$96)</f>
        <v>0</v>
      </c>
      <c r="AD40" s="4">
        <f t="shared" si="7"/>
        <v>0</v>
      </c>
    </row>
    <row r="41" spans="1:30">
      <c r="A41" s="298"/>
      <c r="B41">
        <v>0.91637239712222418</v>
      </c>
      <c r="C41" s="149">
        <v>2</v>
      </c>
      <c r="D41" s="85">
        <f>'Wing aero load'!D48*'Wing and Engine Torque'!$E$23*B41</f>
        <v>-50247050.27098126</v>
      </c>
      <c r="E41" s="52">
        <f>$E$28*'Wing aero load'!E48/(2*SUM('Wing aero load'!$E$44:$E$80)*0.1)</f>
        <v>-153144.57166922803</v>
      </c>
      <c r="F41" s="52">
        <f>$E$25*B41*$E$24*9.81*$K$26/'Wing aero load'!$D$31</f>
        <v>-2890846.1413820991</v>
      </c>
      <c r="G41" s="211">
        <f>'Wing inertia load'!E50*'Wing and Engine Torque'!$E$26*B41/1.65</f>
        <v>0</v>
      </c>
      <c r="H41" s="85">
        <v>-21279.28000000005</v>
      </c>
      <c r="I41" s="52">
        <f t="shared" si="0"/>
        <v>-24820769.642984569</v>
      </c>
      <c r="J41" s="52">
        <f t="shared" si="1"/>
        <v>-76516.197943368054</v>
      </c>
      <c r="K41" s="52">
        <f t="shared" si="2"/>
        <v>-1428934.5138928352</v>
      </c>
      <c r="L41" s="52">
        <f t="shared" si="3"/>
        <v>0</v>
      </c>
      <c r="M41" s="211">
        <f>0</f>
        <v>0</v>
      </c>
      <c r="N41" s="67">
        <f t="shared" si="4"/>
        <v>-102744622.82024544</v>
      </c>
      <c r="O41" s="67">
        <f>SUM($N41:N$96)</f>
        <v>-3792253305.9902368</v>
      </c>
      <c r="Y41" s="4">
        <f t="shared" si="5"/>
        <v>-3792253.3059902368</v>
      </c>
      <c r="AA41" s="211">
        <f>0</f>
        <v>0</v>
      </c>
      <c r="AB41" s="67">
        <f t="shared" si="6"/>
        <v>0</v>
      </c>
      <c r="AC41" s="67">
        <f>SUM($AB41:AB$96)</f>
        <v>0</v>
      </c>
      <c r="AD41" s="4">
        <f t="shared" si="7"/>
        <v>0</v>
      </c>
    </row>
    <row r="42" spans="1:30">
      <c r="A42" s="298"/>
      <c r="B42">
        <v>0.89546549640278061</v>
      </c>
      <c r="C42" s="149">
        <v>2.5</v>
      </c>
      <c r="D42" s="85">
        <f>'Wing aero load'!D49*'Wing and Engine Torque'!$E$23*B42</f>
        <v>-49036028.300957017</v>
      </c>
      <c r="E42" s="52">
        <f>$E$28*'Wing aero load'!E49/(2*SUM('Wing aero load'!$E$44:$E$80)*0.1)</f>
        <v>-152920.22010424422</v>
      </c>
      <c r="F42" s="52">
        <f>$E$25*B42*$E$24*9.81*$K$26/'Wing aero load'!$D$31</f>
        <v>-2824891.9141892418</v>
      </c>
      <c r="G42" s="211">
        <f>'Wing inertia load'!E51*'Wing and Engine Torque'!$E$26*B42/1.65</f>
        <v>0</v>
      </c>
      <c r="H42" s="85">
        <v>-21279.28000000005</v>
      </c>
      <c r="I42" s="52">
        <f t="shared" si="0"/>
        <v>-24212477.554847404</v>
      </c>
      <c r="J42" s="52">
        <f t="shared" si="1"/>
        <v>-76392.695739251096</v>
      </c>
      <c r="K42" s="52">
        <f t="shared" si="2"/>
        <v>-1395957.4002964064</v>
      </c>
      <c r="L42" s="52">
        <f t="shared" si="3"/>
        <v>0</v>
      </c>
      <c r="M42" s="211">
        <f>0</f>
        <v>0</v>
      </c>
      <c r="N42" s="67">
        <f t="shared" si="4"/>
        <v>-101979851.4143949</v>
      </c>
      <c r="O42" s="67">
        <f>SUM($N42:N$96)</f>
        <v>-3689508683.169991</v>
      </c>
      <c r="Y42" s="4">
        <f t="shared" si="5"/>
        <v>-3689508.6831699912</v>
      </c>
      <c r="AA42" s="211">
        <f>0</f>
        <v>0</v>
      </c>
      <c r="AB42" s="67">
        <f t="shared" si="6"/>
        <v>0</v>
      </c>
      <c r="AC42" s="67">
        <f>SUM($AB42:AB$96)</f>
        <v>0</v>
      </c>
      <c r="AD42" s="4">
        <f t="shared" si="7"/>
        <v>0</v>
      </c>
    </row>
    <row r="43" spans="1:30">
      <c r="A43" s="298"/>
      <c r="B43">
        <v>0.87455859568333671</v>
      </c>
      <c r="C43" s="149">
        <v>3</v>
      </c>
      <c r="D43" s="85">
        <f>'Wing aero load'!D50*'Wing and Engine Torque'!$E$23*B43</f>
        <v>-47813881.918432608</v>
      </c>
      <c r="E43" s="52">
        <f>$E$28*'Wing aero load'!E50/(2*SUM('Wing aero load'!$E$44:$E$80)*0.1)</f>
        <v>-152650.56285276017</v>
      </c>
      <c r="F43" s="52">
        <f>$E$25*B43*$E$24*9.81*$K$26/'Wing aero load'!$D$31</f>
        <v>-2758937.6869963841</v>
      </c>
      <c r="G43" s="211">
        <f>'Wing inertia load'!E52*'Wing and Engine Torque'!$E$26*B43/1.65</f>
        <v>0</v>
      </c>
      <c r="H43" s="85">
        <v>-21279.28000000005</v>
      </c>
      <c r="I43" s="52">
        <f t="shared" si="0"/>
        <v>-23598860.066760287</v>
      </c>
      <c r="J43" s="52">
        <f t="shared" si="1"/>
        <v>-76246.480525225677</v>
      </c>
      <c r="K43" s="52">
        <f t="shared" si="2"/>
        <v>-1362980.2866999777</v>
      </c>
      <c r="L43" s="52">
        <f t="shared" si="3"/>
        <v>0</v>
      </c>
      <c r="M43" s="211">
        <f>0</f>
        <v>0</v>
      </c>
      <c r="N43" s="67">
        <f t="shared" si="4"/>
        <v>-101187041.59868595</v>
      </c>
      <c r="O43" s="67">
        <f>SUM($N43:N$96)</f>
        <v>-3587528831.7555962</v>
      </c>
      <c r="Y43" s="4">
        <f t="shared" si="5"/>
        <v>-3587528.8317555962</v>
      </c>
      <c r="AA43" s="211">
        <f>0</f>
        <v>0</v>
      </c>
      <c r="AB43" s="67">
        <f t="shared" si="6"/>
        <v>0</v>
      </c>
      <c r="AC43" s="67">
        <f>SUM($AB43:AB$96)</f>
        <v>0</v>
      </c>
      <c r="AD43" s="4">
        <f t="shared" si="7"/>
        <v>0</v>
      </c>
    </row>
    <row r="44" spans="1:30">
      <c r="A44" s="298"/>
      <c r="B44">
        <v>0.85365169496389304</v>
      </c>
      <c r="C44" s="149">
        <v>3.5</v>
      </c>
      <c r="D44" s="85">
        <f>'Wing aero load'!D51*'Wing and Engine Torque'!$E$23*B44</f>
        <v>-46581558.348608546</v>
      </c>
      <c r="E44" s="52">
        <f>$E$28*'Wing aero load'!E51/(2*SUM('Wing aero load'!$E$44:$E$80)*0.1)</f>
        <v>-152335.35924814254</v>
      </c>
      <c r="F44" s="52">
        <f>$E$25*B44*$E$24*9.81*$K$26/'Wing aero load'!$D$31</f>
        <v>-2692983.4598035268</v>
      </c>
      <c r="G44" s="211">
        <f>'Wing inertia load'!E53*'Wing and Engine Torque'!$E$26*B44/1.65</f>
        <v>0</v>
      </c>
      <c r="H44" s="85">
        <v>0</v>
      </c>
      <c r="I44" s="52">
        <f t="shared" si="0"/>
        <v>-22980389.288700931</v>
      </c>
      <c r="J44" s="52">
        <f t="shared" si="1"/>
        <v>-76077.4212637491</v>
      </c>
      <c r="K44" s="52">
        <f t="shared" si="2"/>
        <v>-1330003.1731035493</v>
      </c>
      <c r="L44" s="52">
        <f t="shared" si="3"/>
        <v>0</v>
      </c>
      <c r="M44" s="211">
        <f>0</f>
        <v>0</v>
      </c>
      <c r="N44" s="67">
        <f t="shared" si="4"/>
        <v>-100387813.72555359</v>
      </c>
      <c r="O44" s="67">
        <f>SUM($N44:N$96)</f>
        <v>-3486341790.1569104</v>
      </c>
      <c r="Y44" s="4">
        <f t="shared" si="5"/>
        <v>-3486341.7901569102</v>
      </c>
      <c r="AA44" s="211">
        <f>0</f>
        <v>0</v>
      </c>
      <c r="AB44" s="67">
        <f t="shared" si="6"/>
        <v>0</v>
      </c>
      <c r="AC44" s="67">
        <f>SUM($AB44:AB$96)</f>
        <v>0</v>
      </c>
      <c r="AD44" s="4">
        <f t="shared" si="7"/>
        <v>0</v>
      </c>
    </row>
    <row r="45" spans="1:30">
      <c r="B45">
        <v>0.83274479424444947</v>
      </c>
      <c r="C45" s="149">
        <v>4</v>
      </c>
      <c r="D45" s="85">
        <f>'Wing aero load'!D52*'Wing and Engine Torque'!$E$23*B45</f>
        <v>-45339998.80619517</v>
      </c>
      <c r="E45" s="52">
        <f>$E$28*'Wing aero load'!E52/(2*SUM('Wing aero load'!$E$44:$E$80)*0.1)</f>
        <v>-151974.32580685389</v>
      </c>
      <c r="F45" s="52">
        <f>$E$25*B45*$E$24*9.81*$K$26/'Wing aero load'!$D$31</f>
        <v>-2627029.2326106704</v>
      </c>
      <c r="G45" s="211">
        <f>'Wing inertia load'!E54*'Wing and Engine Torque'!$E$26*B45/1.65</f>
        <v>0</v>
      </c>
      <c r="H45" s="85">
        <v>0</v>
      </c>
      <c r="I45" s="52">
        <f t="shared" si="0"/>
        <v>-22376583.622504368</v>
      </c>
      <c r="J45" s="52">
        <f t="shared" si="1"/>
        <v>-75885.365183588816</v>
      </c>
      <c r="K45" s="52">
        <f t="shared" si="2"/>
        <v>-1298132.5629037144</v>
      </c>
      <c r="L45" s="52">
        <f t="shared" si="3"/>
        <v>0</v>
      </c>
      <c r="M45" s="211">
        <f>0</f>
        <v>0</v>
      </c>
      <c r="N45" s="67">
        <f t="shared" si="4"/>
        <v>-99560081.368996903</v>
      </c>
      <c r="O45" s="67">
        <f>SUM($N45:N$96)</f>
        <v>-3385953976.4313564</v>
      </c>
      <c r="Y45" s="4">
        <f t="shared" si="5"/>
        <v>-3385953.9764313563</v>
      </c>
      <c r="AA45" s="211">
        <f>0</f>
        <v>0</v>
      </c>
      <c r="AB45" s="67">
        <f t="shared" si="6"/>
        <v>0</v>
      </c>
      <c r="AC45" s="67">
        <f>SUM($AB45:AB$96)</f>
        <v>0</v>
      </c>
      <c r="AD45" s="4">
        <f t="shared" si="7"/>
        <v>0</v>
      </c>
    </row>
    <row r="46" spans="1:30">
      <c r="B46">
        <v>0.81324090028547691</v>
      </c>
      <c r="C46" s="149">
        <v>4.5</v>
      </c>
      <c r="D46" s="85">
        <f>'Wing aero load'!D53*'Wing and Engine Torque'!$E$23*B46</f>
        <v>-44166335.683822304</v>
      </c>
      <c r="E46" s="52">
        <f>$E$28*'Wing aero load'!E53/(2*SUM('Wing aero load'!$E$44:$E$80)*0.1)</f>
        <v>-151567.13492750135</v>
      </c>
      <c r="F46" s="52">
        <f>$E$25*B46*$E$24*9.81*$K$26/'Wing aero load'!$D$31</f>
        <v>-2565501.0190041866</v>
      </c>
      <c r="G46" s="211">
        <f>'Wing inertia load'!E55*'Wing and Engine Torque'!$E$26*B46/1.65</f>
        <v>0</v>
      </c>
      <c r="H46" s="85">
        <v>0</v>
      </c>
      <c r="I46" s="52">
        <f t="shared" si="0"/>
        <v>-21892893.08342912</v>
      </c>
      <c r="J46" s="52">
        <f t="shared" si="1"/>
        <v>-75670.137073192804</v>
      </c>
      <c r="K46" s="52">
        <f t="shared" si="2"/>
        <v>-1273490.2437744348</v>
      </c>
      <c r="L46" s="52">
        <f t="shared" si="3"/>
        <v>0</v>
      </c>
      <c r="M46" s="211">
        <f>0</f>
        <v>0</v>
      </c>
      <c r="N46" s="67">
        <f t="shared" si="4"/>
        <v>-98836520.400396362</v>
      </c>
      <c r="O46" s="67">
        <f>SUM($N46:N$96)</f>
        <v>-3286393895.0623603</v>
      </c>
      <c r="Y46" s="4">
        <f t="shared" si="5"/>
        <v>-3286393.8950623604</v>
      </c>
      <c r="AA46" s="211">
        <f>0</f>
        <v>0</v>
      </c>
      <c r="AB46" s="67">
        <f t="shared" si="6"/>
        <v>0</v>
      </c>
      <c r="AC46" s="67">
        <f>SUM($AB46:AB$96)</f>
        <v>0</v>
      </c>
      <c r="AD46" s="4">
        <f t="shared" si="7"/>
        <v>0</v>
      </c>
    </row>
    <row r="47" spans="1:30">
      <c r="B47">
        <v>0.80149921430451876</v>
      </c>
      <c r="C47" s="149">
        <v>5</v>
      </c>
      <c r="D47" s="85">
        <f>'Wing aero load'!D54*'Wing and Engine Torque'!$E$23*B47</f>
        <v>-43405236.649894185</v>
      </c>
      <c r="E47" s="52">
        <f>$E$28*'Wing aero load'!E54/(2*SUM('Wing aero load'!$E$44:$E$80)*0.1)</f>
        <v>-151113.41336526989</v>
      </c>
      <c r="F47" s="52">
        <f>$E$25*B47*$E$24*9.81*$K$26/'Wing aero load'!$D$31</f>
        <v>-2528459.9560935525</v>
      </c>
      <c r="G47" s="211">
        <f>'Wing inertia load'!E56*'Wing and Engine Torque'!$E$26*B47/1.65</f>
        <v>0</v>
      </c>
      <c r="H47" s="85">
        <v>0</v>
      </c>
      <c r="I47" s="52">
        <f t="shared" si="0"/>
        <v>-21519800.21581975</v>
      </c>
      <c r="J47" s="52">
        <f t="shared" si="1"/>
        <v>-75431.538457500486</v>
      </c>
      <c r="K47" s="52">
        <f t="shared" si="2"/>
        <v>-1255545.5359188416</v>
      </c>
      <c r="L47" s="52">
        <f t="shared" si="3"/>
        <v>0</v>
      </c>
      <c r="M47" s="211">
        <f>0</f>
        <v>0</v>
      </c>
      <c r="N47" s="67">
        <f t="shared" si="4"/>
        <v>-98206884.209239081</v>
      </c>
      <c r="O47" s="67">
        <f>SUM($N47:N$96)</f>
        <v>-3187557374.6619639</v>
      </c>
      <c r="Y47" s="4">
        <f t="shared" si="5"/>
        <v>-3187557.3746619639</v>
      </c>
      <c r="AA47" s="211">
        <f>0</f>
        <v>0</v>
      </c>
      <c r="AB47" s="67">
        <f t="shared" si="6"/>
        <v>0</v>
      </c>
      <c r="AC47" s="67">
        <f>SUM($AB47:AB$96)</f>
        <v>0</v>
      </c>
      <c r="AD47" s="4">
        <f t="shared" si="7"/>
        <v>0</v>
      </c>
    </row>
    <row r="48" spans="1:30">
      <c r="B48">
        <v>0.7904876520680868</v>
      </c>
      <c r="C48" s="149">
        <v>5.5</v>
      </c>
      <c r="D48" s="85">
        <f>'Wing aero load'!D55*'Wing and Engine Torque'!$E$23*B48</f>
        <v>-42673964.213384815</v>
      </c>
      <c r="E48" s="52">
        <f>$E$28*'Wing aero load'!E55/(2*SUM('Wing aero load'!$E$44:$E$80)*0.1)</f>
        <v>-150612.74046473202</v>
      </c>
      <c r="F48" s="52">
        <f>$E$25*B48*$E$24*9.81*$K$26/'Wing aero load'!$D$31</f>
        <v>-2493722.1875818139</v>
      </c>
      <c r="G48" s="211">
        <f>'Wing inertia load'!E57*'Wing and Engine Torque'!$E$26*B48/1.65</f>
        <v>0</v>
      </c>
      <c r="H48" s="85">
        <f>K25*9.81*K26*E27</f>
        <v>-78412556.25</v>
      </c>
      <c r="I48" s="52">
        <f t="shared" si="0"/>
        <v>-21151814.635033228</v>
      </c>
      <c r="J48" s="52">
        <f t="shared" si="1"/>
        <v>-75169.346648905441</v>
      </c>
      <c r="K48" s="52">
        <f t="shared" si="2"/>
        <v>-1238176.6516629732</v>
      </c>
      <c r="L48" s="52">
        <f t="shared" si="3"/>
        <v>0</v>
      </c>
      <c r="M48" s="211">
        <f>0</f>
        <v>0</v>
      </c>
      <c r="N48" s="67">
        <f t="shared" si="4"/>
        <v>-19146781.685601652</v>
      </c>
      <c r="O48" s="67">
        <f>SUM($N48:N$96)</f>
        <v>-3089350490.4527245</v>
      </c>
      <c r="Y48" s="4">
        <f t="shared" si="5"/>
        <v>-3089350.4904527245</v>
      </c>
      <c r="AA48" s="211">
        <f>2356.645 * 289200</f>
        <v>681541734</v>
      </c>
      <c r="AB48" s="67">
        <f>M48</f>
        <v>0</v>
      </c>
      <c r="AC48" s="67">
        <f>SUM($AB48:AB$96)</f>
        <v>0</v>
      </c>
      <c r="AD48" s="4">
        <f t="shared" si="7"/>
        <v>0</v>
      </c>
    </row>
    <row r="49" spans="2:30">
      <c r="B49">
        <v>0.77947608983165562</v>
      </c>
      <c r="C49" s="149">
        <v>6</v>
      </c>
      <c r="D49" s="85">
        <f>'Wing aero load'!D56*'Wing and Engine Torque'!$E$23*B49</f>
        <v>-41933294.326748088</v>
      </c>
      <c r="E49" s="52">
        <f>$E$28*'Wing aero load'!E56/(2*SUM('Wing aero load'!$E$44:$E$80)*0.1)</f>
        <v>-150064.64613088974</v>
      </c>
      <c r="F49" s="52">
        <f>$E$25*B49*$E$24*9.81*$K$26/'Wing aero load'!$D$31</f>
        <v>-2458984.419070079</v>
      </c>
      <c r="G49" s="211">
        <f>'Wing inertia load'!E58*'Wing and Engine Torque'!$E$26*B49/1.65</f>
        <v>0</v>
      </c>
      <c r="H49" s="85">
        <v>0</v>
      </c>
      <c r="I49" s="52">
        <f t="shared" si="0"/>
        <v>-20779235.677624859</v>
      </c>
      <c r="J49" s="52">
        <f t="shared" si="1"/>
        <v>-74883.313661406661</v>
      </c>
      <c r="K49" s="52">
        <f t="shared" si="2"/>
        <v>-1220807.7674071055</v>
      </c>
      <c r="L49" s="52">
        <f t="shared" si="3"/>
        <v>0</v>
      </c>
      <c r="M49" s="211">
        <f>0</f>
        <v>0</v>
      </c>
      <c r="N49" s="67">
        <f t="shared" si="4"/>
        <v>-96883357.106438622</v>
      </c>
      <c r="O49" s="67">
        <f>SUM($N49:N$96)</f>
        <v>-3070203708.7671227</v>
      </c>
      <c r="Y49" s="4">
        <f t="shared" si="5"/>
        <v>-3070203.7087671226</v>
      </c>
      <c r="AA49" s="211">
        <f>0</f>
        <v>0</v>
      </c>
      <c r="AB49" s="67">
        <f t="shared" si="6"/>
        <v>0</v>
      </c>
      <c r="AC49" s="67">
        <f>SUM($AB49:AB$96)</f>
        <v>0</v>
      </c>
      <c r="AD49" s="4">
        <f t="shared" si="7"/>
        <v>0</v>
      </c>
    </row>
    <row r="50" spans="2:30">
      <c r="B50">
        <v>0.76846452759522432</v>
      </c>
      <c r="C50" s="149">
        <v>6.5</v>
      </c>
      <c r="D50" s="85">
        <f>'Wing aero load'!D57*'Wing and Engine Torque'!$E$23*B50</f>
        <v>-41183648.383751348</v>
      </c>
      <c r="E50" s="52">
        <f>$E$28*'Wing aero load'!E57/(2*SUM('Wing aero load'!$E$44:$E$80)*0.1)</f>
        <v>-149468.60851473687</v>
      </c>
      <c r="F50" s="52">
        <f>$E$25*B50*$E$24*9.81*$K$26/'Wing aero load'!$D$31</f>
        <v>-2424246.6505583432</v>
      </c>
      <c r="G50" s="211">
        <f>'Wing inertia load'!E59*'Wing and Engine Torque'!$E$26*B50/1.65</f>
        <v>0</v>
      </c>
      <c r="H50" s="85">
        <v>0</v>
      </c>
      <c r="I50" s="52">
        <f t="shared" si="0"/>
        <v>-20402272.402101334</v>
      </c>
      <c r="J50" s="52">
        <f t="shared" si="1"/>
        <v>-74573.164975071733</v>
      </c>
      <c r="K50" s="52">
        <f t="shared" si="2"/>
        <v>-1203438.8831512372</v>
      </c>
      <c r="L50" s="52">
        <f t="shared" si="3"/>
        <v>0</v>
      </c>
      <c r="M50" s="211">
        <f>0</f>
        <v>0</v>
      </c>
      <c r="N50" s="67">
        <f t="shared" si="4"/>
        <v>-96178876.260324299</v>
      </c>
      <c r="O50" s="67">
        <f>SUM($N50:N$96)</f>
        <v>-2973320351.6606832</v>
      </c>
      <c r="Y50" s="4">
        <f t="shared" si="5"/>
        <v>-2973320.3516606833</v>
      </c>
      <c r="AA50" s="211">
        <f>0</f>
        <v>0</v>
      </c>
      <c r="AB50" s="67">
        <f t="shared" si="6"/>
        <v>0</v>
      </c>
      <c r="AC50" s="67">
        <f>SUM($AB50:AB$96)</f>
        <v>0</v>
      </c>
      <c r="AD50" s="4">
        <f t="shared" si="7"/>
        <v>0</v>
      </c>
    </row>
    <row r="51" spans="2:30">
      <c r="B51">
        <v>0.75745296535879258</v>
      </c>
      <c r="C51" s="149">
        <v>7</v>
      </c>
      <c r="D51" s="85">
        <f>'Wing aero load'!D58*'Wing and Engine Torque'!$E$23*B51</f>
        <v>-40425441.224653989</v>
      </c>
      <c r="E51" s="52">
        <f>$E$28*'Wing aero load'!E58/(2*SUM('Wing aero load'!$E$44:$E$80)*0.1)</f>
        <v>-148824.05138555006</v>
      </c>
      <c r="F51" s="52">
        <f>$E$25*B51*$E$24*9.81*$K$26/'Wing aero load'!$D$31</f>
        <v>-2389508.8820466055</v>
      </c>
      <c r="G51" s="211">
        <f>'Wing inertia load'!E60*'Wing and Engine Torque'!$E$26*B51/1.65</f>
        <v>0</v>
      </c>
      <c r="H51" s="85">
        <v>0</v>
      </c>
      <c r="I51" s="52">
        <f t="shared" si="0"/>
        <v>-20021130.664759301</v>
      </c>
      <c r="J51" s="52">
        <f t="shared" si="1"/>
        <v>-74238.598135739652</v>
      </c>
      <c r="K51" s="52">
        <f t="shared" si="2"/>
        <v>-1186069.9988953685</v>
      </c>
      <c r="L51" s="52">
        <f t="shared" si="3"/>
        <v>0</v>
      </c>
      <c r="M51" s="211">
        <f>0</f>
        <v>0</v>
      </c>
      <c r="N51" s="67">
        <f t="shared" si="4"/>
        <v>-95445798.799394324</v>
      </c>
      <c r="O51" s="67">
        <f>SUM($N51:N$96)</f>
        <v>-2877141475.4003592</v>
      </c>
      <c r="Y51" s="4">
        <f t="shared" si="5"/>
        <v>-2877141.4754003594</v>
      </c>
      <c r="AA51" s="211">
        <f>0</f>
        <v>0</v>
      </c>
      <c r="AB51" s="67">
        <f t="shared" si="6"/>
        <v>0</v>
      </c>
      <c r="AC51" s="67">
        <f>SUM($AB51:AB$96)</f>
        <v>0</v>
      </c>
      <c r="AD51" s="4">
        <f t="shared" si="7"/>
        <v>0</v>
      </c>
    </row>
    <row r="52" spans="2:30">
      <c r="B52">
        <v>0.74644140312236096</v>
      </c>
      <c r="C52" s="149">
        <v>7.5</v>
      </c>
      <c r="D52" s="85">
        <f>'Wing aero load'!D59*'Wing and Engine Torque'!$E$23*B52</f>
        <v>-39659081.434383214</v>
      </c>
      <c r="E52" s="52">
        <f>$E$28*'Wing aero load'!E59/(2*SUM('Wing aero load'!$E$44:$E$80)*0.1)</f>
        <v>-148130.34115740852</v>
      </c>
      <c r="F52" s="52">
        <f>$E$25*B52*$E$24*9.81*$K$26/'Wing aero load'!$D$31</f>
        <v>-2354771.1135348692</v>
      </c>
      <c r="G52" s="211">
        <f>'Wing inertia load'!E61*'Wing and Engine Torque'!$E$26*B52/1.65</f>
        <v>0</v>
      </c>
      <c r="H52" s="85">
        <v>0</v>
      </c>
      <c r="I52" s="52">
        <f t="shared" si="0"/>
        <v>-19636013.261374254</v>
      </c>
      <c r="J52" s="52">
        <f t="shared" si="1"/>
        <v>-73879.281172347226</v>
      </c>
      <c r="K52" s="52">
        <f t="shared" si="2"/>
        <v>-1168701.1146395004</v>
      </c>
      <c r="L52" s="52">
        <f t="shared" si="3"/>
        <v>0</v>
      </c>
      <c r="M52" s="211">
        <f>0</f>
        <v>0</v>
      </c>
      <c r="N52" s="67">
        <f t="shared" si="4"/>
        <v>-94683995.548360988</v>
      </c>
      <c r="O52" s="67">
        <f>SUM($N52:N$96)</f>
        <v>-2781695676.6009645</v>
      </c>
      <c r="Y52" s="4">
        <f t="shared" si="5"/>
        <v>-2781695.6766009647</v>
      </c>
      <c r="AA52" s="211">
        <f>0</f>
        <v>0</v>
      </c>
      <c r="AB52" s="67">
        <f t="shared" si="6"/>
        <v>0</v>
      </c>
      <c r="AC52" s="67">
        <f>SUM($AB52:AB$96)</f>
        <v>0</v>
      </c>
      <c r="AD52" s="4">
        <f t="shared" si="7"/>
        <v>0</v>
      </c>
    </row>
    <row r="53" spans="2:30">
      <c r="B53">
        <v>0.73542984088592944</v>
      </c>
      <c r="C53" s="149">
        <v>8</v>
      </c>
      <c r="D53" s="85">
        <f>'Wing aero load'!D60*'Wing and Engine Torque'!$E$23*B53</f>
        <v>-38884971.611113802</v>
      </c>
      <c r="E53" s="52">
        <f>$E$28*'Wing aero load'!E60/(2*SUM('Wing aero load'!$E$44:$E$80)*0.1)</f>
        <v>-147386.78353198039</v>
      </c>
      <c r="F53" s="52">
        <f>$E$25*B53*$E$24*9.81*$K$26/'Wing aero load'!$D$31</f>
        <v>-2320033.3450231324</v>
      </c>
      <c r="G53" s="211">
        <f>'Wing inertia load'!E62*'Wing and Engine Torque'!$E$26*B53/1.65</f>
        <v>0</v>
      </c>
      <c r="H53" s="85">
        <v>0</v>
      </c>
      <c r="I53" s="52">
        <f t="shared" si="0"/>
        <v>-19247120.053945888</v>
      </c>
      <c r="J53" s="52">
        <f t="shared" si="1"/>
        <v>-73494.850811302866</v>
      </c>
      <c r="K53" s="52">
        <f t="shared" si="2"/>
        <v>-1151332.2303836322</v>
      </c>
      <c r="L53" s="52">
        <f t="shared" si="3"/>
        <v>0</v>
      </c>
      <c r="M53" s="211">
        <f>0</f>
        <v>0</v>
      </c>
      <c r="N53" s="67">
        <f t="shared" si="4"/>
        <v>-93893303.095632389</v>
      </c>
      <c r="O53" s="67">
        <f>SUM($N53:N$96)</f>
        <v>-2687011681.0526032</v>
      </c>
      <c r="V53" s="80"/>
      <c r="Y53" s="4">
        <f t="shared" si="5"/>
        <v>-2687011.6810526033</v>
      </c>
      <c r="AA53" s="211">
        <f>0</f>
        <v>0</v>
      </c>
      <c r="AB53" s="67">
        <f t="shared" si="6"/>
        <v>0</v>
      </c>
      <c r="AC53" s="67">
        <f>SUM($AB53:AB$96)</f>
        <v>0</v>
      </c>
      <c r="AD53" s="4">
        <f t="shared" si="7"/>
        <v>0</v>
      </c>
    </row>
    <row r="54" spans="2:30">
      <c r="B54">
        <v>0.72441827864949793</v>
      </c>
      <c r="C54" s="149">
        <v>8.5</v>
      </c>
      <c r="D54" s="85">
        <f>'Wing aero load'!D61*'Wing and Engine Torque'!$E$23*B54</f>
        <v>-38103508.60466975</v>
      </c>
      <c r="E54" s="52">
        <f>$E$28*'Wing aero load'!E61/(2*SUM('Wing aero load'!$E$44:$E$80)*0.1)</f>
        <v>-146592.61971323105</v>
      </c>
      <c r="F54" s="52">
        <f>$E$25*B54*$E$24*9.81*$K$26/'Wing aero load'!$D$31</f>
        <v>-2285295.5765113961</v>
      </c>
      <c r="G54" s="211">
        <f>'Wing inertia load'!E63*'Wing and Engine Torque'!$E$26*B54/1.65</f>
        <v>0</v>
      </c>
      <c r="H54" s="85">
        <v>0</v>
      </c>
      <c r="I54" s="52">
        <f t="shared" si="0"/>
        <v>-18854648.082091745</v>
      </c>
      <c r="J54" s="52">
        <f t="shared" si="1"/>
        <v>-73084.91046386167</v>
      </c>
      <c r="K54" s="52">
        <f t="shared" si="2"/>
        <v>-1133963.3461277639</v>
      </c>
      <c r="L54" s="52">
        <f t="shared" si="3"/>
        <v>0</v>
      </c>
      <c r="M54" s="211">
        <f>0</f>
        <v>0</v>
      </c>
      <c r="N54" s="67">
        <f t="shared" si="4"/>
        <v>-93073521.892081186</v>
      </c>
      <c r="O54" s="67">
        <f>SUM($N54:N$96)</f>
        <v>-2593118377.9569712</v>
      </c>
      <c r="Y54" s="4">
        <f t="shared" si="5"/>
        <v>-2593118.3779569711</v>
      </c>
      <c r="AA54" s="211">
        <f>0</f>
        <v>0</v>
      </c>
      <c r="AB54" s="67">
        <f t="shared" si="6"/>
        <v>0</v>
      </c>
      <c r="AC54" s="67">
        <f>SUM($AB54:AB$96)</f>
        <v>0</v>
      </c>
      <c r="AD54" s="4">
        <f t="shared" si="7"/>
        <v>0</v>
      </c>
    </row>
    <row r="55" spans="2:30">
      <c r="B55">
        <v>0.71340671641306641</v>
      </c>
      <c r="C55" s="149">
        <v>9</v>
      </c>
      <c r="D55" s="85">
        <f>'Wing aero load'!D62*'Wing and Engine Torque'!$E$23*B55</f>
        <v>-37315083.72369723</v>
      </c>
      <c r="E55" s="52">
        <f>$E$28*'Wing aero load'!E62/(2*SUM('Wing aero load'!$E$44:$E$80)*0.1)</f>
        <v>-145747.02214221563</v>
      </c>
      <c r="F55" s="52">
        <f>$E$25*B55*$E$24*9.81*$K$26/'Wing aero load'!$D$31</f>
        <v>-2250557.8079996593</v>
      </c>
      <c r="G55" s="211">
        <f>'Wing inertia load'!E64*'Wing and Engine Torque'!$E$26*B55/1.65</f>
        <v>0</v>
      </c>
      <c r="H55" s="85">
        <v>0</v>
      </c>
      <c r="I55" s="52">
        <f t="shared" si="0"/>
        <v>-18458791.658431143</v>
      </c>
      <c r="J55" s="52">
        <f t="shared" si="1"/>
        <v>-72649.027958369959</v>
      </c>
      <c r="K55" s="52">
        <f t="shared" si="2"/>
        <v>-1116594.4618718955</v>
      </c>
      <c r="L55" s="52">
        <f t="shared" si="3"/>
        <v>0</v>
      </c>
      <c r="M55" s="211">
        <f>0</f>
        <v>0</v>
      </c>
      <c r="N55" s="67">
        <f t="shared" si="4"/>
        <v>-92224414.07867299</v>
      </c>
      <c r="O55" s="67">
        <f>SUM($N55:N$96)</f>
        <v>-2500044856.0648899</v>
      </c>
      <c r="Y55" s="4">
        <f t="shared" si="5"/>
        <v>-2500044.85606489</v>
      </c>
      <c r="AA55" s="211">
        <f>0</f>
        <v>0</v>
      </c>
      <c r="AB55" s="67">
        <f t="shared" si="6"/>
        <v>0</v>
      </c>
      <c r="AC55" s="67">
        <f>SUM($AB55:AB$96)</f>
        <v>0</v>
      </c>
      <c r="AD55" s="4">
        <f t="shared" si="7"/>
        <v>0</v>
      </c>
    </row>
    <row r="56" spans="2:30">
      <c r="B56">
        <v>0.70239515417663489</v>
      </c>
      <c r="C56" s="149">
        <v>9.5</v>
      </c>
      <c r="D56" s="85">
        <f>'Wing aero load'!D63*'Wing and Engine Torque'!$E$23*B56</f>
        <v>-36520082.91002734</v>
      </c>
      <c r="E56" s="52">
        <f>$E$28*'Wing aero load'!E63/(2*SUM('Wing aero load'!$E$44:$E$80)*0.1)</f>
        <v>-144849.08969126423</v>
      </c>
      <c r="F56" s="52">
        <f>$E$25*B56*$E$24*9.81*$K$26/'Wing aero load'!$D$31</f>
        <v>-2215820.039487923</v>
      </c>
      <c r="G56" s="211">
        <f>'Wing inertia load'!E65*'Wing and Engine Torque'!$E$26*B56/1.65</f>
        <v>0</v>
      </c>
      <c r="H56" s="85">
        <v>0</v>
      </c>
      <c r="I56" s="52">
        <f t="shared" si="0"/>
        <v>-18059742.447015524</v>
      </c>
      <c r="J56" s="52">
        <f t="shared" si="1"/>
        <v>-72186.732984405942</v>
      </c>
      <c r="K56" s="52">
        <f t="shared" si="2"/>
        <v>-1099225.5776160276</v>
      </c>
      <c r="L56" s="52">
        <f t="shared" si="3"/>
        <v>0</v>
      </c>
      <c r="M56" s="211">
        <f>0</f>
        <v>0</v>
      </c>
      <c r="N56" s="67">
        <f t="shared" si="4"/>
        <v>-91345701.00903748</v>
      </c>
      <c r="O56" s="67">
        <f>SUM($N56:N$96)</f>
        <v>-2407820441.9862165</v>
      </c>
      <c r="Y56" s="4">
        <f t="shared" si="5"/>
        <v>-2407820.4419862167</v>
      </c>
      <c r="AA56" s="211">
        <f>0</f>
        <v>0</v>
      </c>
      <c r="AB56" s="67">
        <f t="shared" si="6"/>
        <v>0</v>
      </c>
      <c r="AC56" s="67">
        <f>SUM($AB56:AB$96)</f>
        <v>0</v>
      </c>
      <c r="AD56" s="4">
        <f t="shared" si="7"/>
        <v>0</v>
      </c>
    </row>
    <row r="57" spans="2:30">
      <c r="B57">
        <v>0.69138359194020338</v>
      </c>
      <c r="C57" s="149">
        <v>10</v>
      </c>
      <c r="D57" s="85">
        <f>'Wing aero load'!D64*'Wing and Engine Torque'!$E$23*B57</f>
        <v>-35718886.878034756</v>
      </c>
      <c r="E57" s="52">
        <f>$E$28*'Wing aero load'!E64/(2*SUM('Wing aero load'!$E$44:$E$80)*0.1)</f>
        <v>-143897.84224635953</v>
      </c>
      <c r="F57" s="52">
        <f>$E$25*B57*$E$24*9.81*$K$26/'Wing aero load'!$D$31</f>
        <v>-2181082.2709761867</v>
      </c>
      <c r="G57" s="211">
        <f>'Wing inertia load'!E66*'Wing and Engine Torque'!$E$26*B57/1.65</f>
        <v>0</v>
      </c>
      <c r="H57" s="85">
        <v>0</v>
      </c>
      <c r="I57" s="52">
        <f t="shared" si="0"/>
        <v>-17657689.523529068</v>
      </c>
      <c r="J57" s="52">
        <f t="shared" si="1"/>
        <v>-71697.514210080015</v>
      </c>
      <c r="K57" s="52">
        <f t="shared" si="2"/>
        <v>-1081856.6933601592</v>
      </c>
      <c r="L57" s="52">
        <f t="shared" si="3"/>
        <v>0</v>
      </c>
      <c r="M57" s="211">
        <f>0</f>
        <v>0</v>
      </c>
      <c r="N57" s="67">
        <f t="shared" si="4"/>
        <v>-90437060.426969245</v>
      </c>
      <c r="O57" s="67">
        <f>SUM($N57:N$96)</f>
        <v>-2316474740.9771791</v>
      </c>
      <c r="Y57" s="4">
        <f t="shared" si="5"/>
        <v>-2316474.7409771793</v>
      </c>
      <c r="AA57" s="211">
        <f>0</f>
        <v>0</v>
      </c>
      <c r="AB57" s="67">
        <f t="shared" si="6"/>
        <v>0</v>
      </c>
      <c r="AC57" s="67">
        <f>SUM($AB57:AB$96)</f>
        <v>0</v>
      </c>
      <c r="AD57" s="4">
        <f t="shared" si="7"/>
        <v>0</v>
      </c>
    </row>
    <row r="58" spans="2:30">
      <c r="B58">
        <v>0.68037202970377186</v>
      </c>
      <c r="C58" s="149">
        <v>10.5</v>
      </c>
      <c r="D58" s="85">
        <f>'Wing aero load'!D65*'Wing and Engine Torque'!$E$23*B58</f>
        <v>-34911871.216081508</v>
      </c>
      <c r="E58" s="52">
        <f>$E$28*'Wing aero load'!E65/(2*SUM('Wing aero load'!$E$44:$E$80)*0.1)</f>
        <v>-142892.21459396053</v>
      </c>
      <c r="F58" s="52">
        <f>$E$25*B58*$E$24*9.81*$K$26/'Wing aero load'!$D$31</f>
        <v>-2146344.50246445</v>
      </c>
      <c r="G58" s="211">
        <f>'Wing inertia load'!E67*'Wing and Engine Torque'!$E$26*B58/1.65</f>
        <v>0</v>
      </c>
      <c r="H58" s="85">
        <v>0</v>
      </c>
      <c r="I58" s="52">
        <f t="shared" si="0"/>
        <v>-17252819.41559203</v>
      </c>
      <c r="J58" s="52">
        <f t="shared" si="1"/>
        <v>-71180.816026859218</v>
      </c>
      <c r="K58" s="52">
        <f t="shared" si="2"/>
        <v>-1064487.8091042908</v>
      </c>
      <c r="L58" s="52">
        <f t="shared" si="3"/>
        <v>0</v>
      </c>
      <c r="M58" s="211">
        <f>0</f>
        <v>0</v>
      </c>
      <c r="N58" s="67">
        <f t="shared" si="4"/>
        <v>-89498123.251555547</v>
      </c>
      <c r="O58" s="67">
        <f>SUM($N58:N$96)</f>
        <v>-2226037680.5502095</v>
      </c>
      <c r="Y58" s="4">
        <f t="shared" si="5"/>
        <v>-2226037.6805502097</v>
      </c>
      <c r="AA58" s="211">
        <f>0</f>
        <v>0</v>
      </c>
      <c r="AB58" s="67">
        <f t="shared" si="6"/>
        <v>0</v>
      </c>
      <c r="AC58" s="67">
        <f>SUM($AB58:AB$96)</f>
        <v>0</v>
      </c>
      <c r="AD58" s="4">
        <f t="shared" si="7"/>
        <v>0</v>
      </c>
    </row>
    <row r="59" spans="2:30">
      <c r="B59">
        <v>0.66936046746734001</v>
      </c>
      <c r="C59" s="149">
        <v>11</v>
      </c>
      <c r="D59" s="85">
        <f>'Wing aero load'!D66*'Wing and Engine Torque'!$E$23*B59</f>
        <v>-34099406.446286611</v>
      </c>
      <c r="E59" s="52">
        <f>$E$28*'Wing aero load'!E66/(2*SUM('Wing aero load'!$E$44:$E$80)*0.1)</f>
        <v>-141831.04951347635</v>
      </c>
      <c r="F59" s="52">
        <f>$E$25*B59*$E$24*9.81*$K$26/'Wing aero load'!$D$31</f>
        <v>-2111606.7339527127</v>
      </c>
      <c r="G59" s="211">
        <f>'Wing inertia load'!E68*'Wing and Engine Torque'!$E$26*B59/1.65</f>
        <v>0</v>
      </c>
      <c r="H59" s="85">
        <v>0</v>
      </c>
      <c r="I59" s="52">
        <f t="shared" si="0"/>
        <v>-16845316.121032935</v>
      </c>
      <c r="J59" s="52">
        <f t="shared" si="1"/>
        <v>-70636.034867977898</v>
      </c>
      <c r="K59" s="52">
        <f t="shared" si="2"/>
        <v>-1047118.9248484222</v>
      </c>
      <c r="L59" s="52">
        <f t="shared" si="3"/>
        <v>0</v>
      </c>
      <c r="M59" s="211">
        <f>0</f>
        <v>0</v>
      </c>
      <c r="N59" s="67">
        <f t="shared" si="4"/>
        <v>-88528469.913859263</v>
      </c>
      <c r="O59" s="67">
        <f>SUM($N59:N$96)</f>
        <v>-2136539557.2986536</v>
      </c>
      <c r="Y59" s="4">
        <f t="shared" si="5"/>
        <v>-2136539.5572986538</v>
      </c>
      <c r="AA59" s="211">
        <f>0</f>
        <v>0</v>
      </c>
      <c r="AB59" s="67">
        <f t="shared" si="6"/>
        <v>0</v>
      </c>
      <c r="AC59" s="67">
        <f>SUM($AB59:AB$96)</f>
        <v>0</v>
      </c>
      <c r="AD59" s="4">
        <f t="shared" si="7"/>
        <v>0</v>
      </c>
    </row>
    <row r="60" spans="2:30">
      <c r="B60">
        <v>0.6583489052309085</v>
      </c>
      <c r="C60" s="149">
        <v>11.5</v>
      </c>
      <c r="D60" s="85">
        <f>'Wing aero load'!D67*'Wing and Engine Torque'!$E$23*B60</f>
        <v>-33281858.037845124</v>
      </c>
      <c r="E60" s="52">
        <f>$E$28*'Wing aero load'!E67/(2*SUM('Wing aero load'!$E$44:$E$80)*0.1)</f>
        <v>-140713.08995843524</v>
      </c>
      <c r="F60" s="52">
        <f>$E$25*B60*$E$24*9.81*$K$26/'Wing aero load'!$D$31</f>
        <v>-2076868.965440976</v>
      </c>
      <c r="G60" s="211">
        <f>'Wing inertia load'!E69*'Wing and Engine Torque'!$E$26*B60/1.65</f>
        <v>0</v>
      </c>
      <c r="H60" s="85">
        <v>0</v>
      </c>
      <c r="I60" s="52">
        <f t="shared" si="0"/>
        <v>-16435361.101433747</v>
      </c>
      <c r="J60" s="52">
        <f t="shared" si="1"/>
        <v>-70062.515036453493</v>
      </c>
      <c r="K60" s="52">
        <f t="shared" si="2"/>
        <v>-1029750.0405925538</v>
      </c>
      <c r="L60" s="52">
        <f t="shared" si="3"/>
        <v>0</v>
      </c>
      <c r="M60" s="211">
        <f>0</f>
        <v>0</v>
      </c>
      <c r="N60" s="67">
        <f t="shared" si="4"/>
        <v>-87527626.178479791</v>
      </c>
      <c r="O60" s="67">
        <f>SUM($N60:N$96)</f>
        <v>-2048011087.3847945</v>
      </c>
      <c r="Y60" s="4">
        <f t="shared" si="5"/>
        <v>-2048011.0873847944</v>
      </c>
      <c r="AA60" s="211">
        <f>0</f>
        <v>0</v>
      </c>
      <c r="AB60" s="67">
        <f t="shared" si="6"/>
        <v>0</v>
      </c>
      <c r="AC60" s="67">
        <f>SUM($AB60:AB$96)</f>
        <v>0</v>
      </c>
      <c r="AD60" s="4">
        <f t="shared" si="7"/>
        <v>0</v>
      </c>
    </row>
    <row r="61" spans="2:30">
      <c r="B61">
        <v>0.64733734299447709</v>
      </c>
      <c r="C61" s="149">
        <v>12</v>
      </c>
      <c r="D61" s="85">
        <f>'Wing aero load'!D68*'Wing and Engine Torque'!$E$23*B61</f>
        <v>-32459586.367889859</v>
      </c>
      <c r="E61" s="52">
        <f>$E$28*'Wing aero load'!E68/(2*SUM('Wing aero load'!$E$44:$E$80)*0.1)</f>
        <v>-139536.97018737873</v>
      </c>
      <c r="F61" s="52">
        <f>$E$25*B61*$E$24*9.81*$K$26/'Wing aero load'!$D$31</f>
        <v>-2042131.1969292394</v>
      </c>
      <c r="G61" s="211">
        <f>'Wing inertia load'!E70*'Wing and Engine Torque'!$E$26*B61/1.65</f>
        <v>0</v>
      </c>
      <c r="H61" s="85">
        <v>0</v>
      </c>
      <c r="I61" s="52">
        <f t="shared" si="0"/>
        <v>-16023133.247569356</v>
      </c>
      <c r="J61" s="52">
        <f t="shared" si="1"/>
        <v>-69459.543966507888</v>
      </c>
      <c r="K61" s="52">
        <f t="shared" si="2"/>
        <v>-1012381.1563366858</v>
      </c>
      <c r="L61" s="52">
        <f t="shared" si="3"/>
        <v>0</v>
      </c>
      <c r="M61" s="211">
        <f>0</f>
        <v>0</v>
      </c>
      <c r="N61" s="67">
        <f t="shared" si="4"/>
        <v>-86495058.370413914</v>
      </c>
      <c r="O61" s="67">
        <f>SUM($N61:N$96)</f>
        <v>-1960483461.206315</v>
      </c>
      <c r="Y61" s="4">
        <f t="shared" si="5"/>
        <v>-1960483.4612063151</v>
      </c>
      <c r="AA61" s="211">
        <f>0</f>
        <v>0</v>
      </c>
      <c r="AB61" s="67">
        <f t="shared" si="6"/>
        <v>0</v>
      </c>
      <c r="AC61" s="67">
        <f>SUM($AB61:AB$96)</f>
        <v>0</v>
      </c>
      <c r="AD61" s="4">
        <f t="shared" si="7"/>
        <v>0</v>
      </c>
    </row>
    <row r="62" spans="2:30">
      <c r="B62">
        <v>0.63632578075804558</v>
      </c>
      <c r="C62" s="149">
        <v>12.5</v>
      </c>
      <c r="D62" s="85">
        <f>'Wing aero load'!D69*'Wing and Engine Torque'!$E$23*B62</f>
        <v>-31632946.622387569</v>
      </c>
      <c r="E62" s="52">
        <f>$E$28*'Wing aero load'!E69/(2*SUM('Wing aero load'!$E$44:$E$80)*0.1)</f>
        <v>-138301.20567865286</v>
      </c>
      <c r="F62" s="52">
        <f>$E$25*B62*$E$24*9.81*$K$26/'Wing aero load'!$D$31</f>
        <v>-2007393.4284175036</v>
      </c>
      <c r="G62" s="211">
        <f>'Wing inertia load'!E71*'Wing and Engine Torque'!$E$26*B62/1.65</f>
        <v>0</v>
      </c>
      <c r="H62" s="85">
        <v>0</v>
      </c>
      <c r="I62" s="52">
        <f t="shared" si="0"/>
        <v>-15608808.812524796</v>
      </c>
      <c r="J62" s="52">
        <f t="shared" si="1"/>
        <v>-68826.346827245899</v>
      </c>
      <c r="K62" s="52">
        <f t="shared" si="2"/>
        <v>-995012.27208081773</v>
      </c>
      <c r="L62" s="52">
        <f t="shared" si="3"/>
        <v>0</v>
      </c>
      <c r="M62" s="211">
        <f>0</f>
        <v>0</v>
      </c>
      <c r="N62" s="67">
        <f t="shared" si="4"/>
        <v>-85430167.911851525</v>
      </c>
      <c r="O62" s="67">
        <f>SUM($N62:N$96)</f>
        <v>-1873988402.8359008</v>
      </c>
      <c r="Y62" s="4">
        <f t="shared" si="5"/>
        <v>-1873988.4028359009</v>
      </c>
      <c r="AA62" s="211">
        <f>0</f>
        <v>0</v>
      </c>
      <c r="AB62" s="67">
        <f t="shared" si="6"/>
        <v>0</v>
      </c>
      <c r="AC62" s="67">
        <f>SUM($AB62:AB$96)</f>
        <v>0</v>
      </c>
      <c r="AD62" s="4">
        <f t="shared" si="7"/>
        <v>0</v>
      </c>
    </row>
    <row r="63" spans="2:30">
      <c r="B63">
        <v>0.62531421852161406</v>
      </c>
      <c r="C63" s="149">
        <v>13</v>
      </c>
      <c r="D63" s="85">
        <f>'Wing aero load'!D70*'Wing and Engine Torque'!$E$23*B63</f>
        <v>-30802288.627711609</v>
      </c>
      <c r="E63" s="52">
        <f>$E$28*'Wing aero load'!E70/(2*SUM('Wing aero load'!$E$44:$E$80)*0.1)</f>
        <v>-137004.18163033071</v>
      </c>
      <c r="F63" s="52">
        <f>$E$25*B63*$E$24*9.81*$K$26/'Wing aero load'!$D$31</f>
        <v>-1972655.6599057671</v>
      </c>
      <c r="G63" s="211">
        <f>'Wing inertia load'!E72*'Wing and Engine Torque'!$E$26*B63/1.65</f>
        <v>0</v>
      </c>
      <c r="H63" s="85">
        <v>0</v>
      </c>
      <c r="I63" s="52">
        <f t="shared" si="0"/>
        <v>-15192561.30723759</v>
      </c>
      <c r="J63" s="52">
        <f t="shared" si="1"/>
        <v>-68162.080359043874</v>
      </c>
      <c r="K63" s="52">
        <f t="shared" si="2"/>
        <v>-977643.38782494934</v>
      </c>
      <c r="L63" s="52">
        <f t="shared" si="3"/>
        <v>0</v>
      </c>
      <c r="M63" s="211">
        <f>0</f>
        <v>0</v>
      </c>
      <c r="N63" s="67">
        <f t="shared" si="4"/>
        <v>-84332285.054106414</v>
      </c>
      <c r="O63" s="67">
        <f>SUM($N63:N$96)</f>
        <v>-1788558234.9240491</v>
      </c>
      <c r="Y63" s="4">
        <f t="shared" si="5"/>
        <v>-1788558.2349240491</v>
      </c>
      <c r="AA63" s="211">
        <f>0</f>
        <v>0</v>
      </c>
      <c r="AB63" s="67">
        <f t="shared" si="6"/>
        <v>0</v>
      </c>
      <c r="AC63" s="67">
        <f>SUM($AB63:AB$96)</f>
        <v>0</v>
      </c>
      <c r="AD63" s="4">
        <f t="shared" si="7"/>
        <v>0</v>
      </c>
    </row>
    <row r="64" spans="2:30">
      <c r="B64">
        <v>0.61430265628518255</v>
      </c>
      <c r="C64" s="149">
        <v>13.5</v>
      </c>
      <c r="D64" s="85">
        <f>'Wing aero load'!D71*'Wing and Engine Torque'!$E$23*B64</f>
        <v>-29967956.60123875</v>
      </c>
      <c r="E64" s="52">
        <f>$E$28*'Wing aero load'!E71/(2*SUM('Wing aero load'!$E$44:$E$80)*0.1)</f>
        <v>-135644.13980584475</v>
      </c>
      <c r="F64" s="52">
        <f>$E$25*B64*$E$24*9.81*$K$26/'Wing aero load'!$D$31</f>
        <v>-1937917.8913940305</v>
      </c>
      <c r="G64" s="211">
        <f>'Wing inertia load'!E73*'Wing and Engine Torque'!$E$26*B64/1.65</f>
        <v>0</v>
      </c>
      <c r="H64" s="85">
        <v>0</v>
      </c>
      <c r="I64" s="52">
        <f t="shared" si="0"/>
        <v>-14774561.351921853</v>
      </c>
      <c r="J64" s="52">
        <f t="shared" si="1"/>
        <v>-67465.82581031564</v>
      </c>
      <c r="K64" s="52">
        <f t="shared" si="2"/>
        <v>-960274.50356908096</v>
      </c>
      <c r="L64" s="52">
        <f t="shared" si="3"/>
        <v>0</v>
      </c>
      <c r="M64" s="211">
        <f>0</f>
        <v>0</v>
      </c>
      <c r="N64" s="67">
        <f t="shared" si="4"/>
        <v>-83200661.665806577</v>
      </c>
      <c r="O64" s="67">
        <f>SUM($N64:N$96)</f>
        <v>-1704225949.8699429</v>
      </c>
      <c r="Y64" s="4">
        <f t="shared" si="5"/>
        <v>-1704225.9498699429</v>
      </c>
      <c r="AA64" s="211">
        <f>0</f>
        <v>0</v>
      </c>
      <c r="AB64" s="67">
        <f t="shared" si="6"/>
        <v>0</v>
      </c>
      <c r="AC64" s="67">
        <f>SUM($AB64:AB$96)</f>
        <v>0</v>
      </c>
      <c r="AD64" s="4">
        <f t="shared" si="7"/>
        <v>0</v>
      </c>
    </row>
    <row r="65" spans="1:30">
      <c r="B65">
        <v>0.60329109404875092</v>
      </c>
      <c r="C65" s="149">
        <v>14</v>
      </c>
      <c r="D65" s="85">
        <f>'Wing aero load'!D72*'Wing and Engine Torque'!$E$23*B65</f>
        <v>-29130288.806448665</v>
      </c>
      <c r="E65" s="52">
        <f>$E$28*'Wing aero load'!E72/(2*SUM('Wing aero load'!$E$44:$E$80)*0.1)</f>
        <v>-134219.16343541778</v>
      </c>
      <c r="F65" s="52">
        <f>$E$25*B65*$E$24*9.81*$K$26/'Wing aero load'!$D$31</f>
        <v>-1903180.1228822935</v>
      </c>
      <c r="G65" s="211">
        <f>'Wing inertia load'!E74*'Wing and Engine Torque'!$E$26*B65/1.65</f>
        <v>0</v>
      </c>
      <c r="H65" s="85">
        <v>0</v>
      </c>
      <c r="I65" s="52">
        <f t="shared" si="0"/>
        <v>-14354976.475209512</v>
      </c>
      <c r="J65" s="52">
        <f t="shared" si="1"/>
        <v>-66736.580813916968</v>
      </c>
      <c r="K65" s="52">
        <f t="shared" si="2"/>
        <v>-942905.61931321258</v>
      </c>
      <c r="L65" s="52">
        <f t="shared" si="3"/>
        <v>0</v>
      </c>
      <c r="M65" s="211">
        <f>0</f>
        <v>0</v>
      </c>
      <c r="N65" s="67">
        <f t="shared" si="4"/>
        <v>-82034462.908439696</v>
      </c>
      <c r="O65" s="67">
        <f>SUM($N65:N$96)</f>
        <v>-1621025288.2041361</v>
      </c>
      <c r="Y65" s="4">
        <f t="shared" si="5"/>
        <v>-1621025.2882041361</v>
      </c>
      <c r="AA65" s="211">
        <f>0</f>
        <v>0</v>
      </c>
      <c r="AB65" s="67">
        <f t="shared" si="6"/>
        <v>0</v>
      </c>
      <c r="AC65" s="67">
        <f>SUM($AB65:AB$96)</f>
        <v>0</v>
      </c>
      <c r="AD65" s="4">
        <f t="shared" si="7"/>
        <v>0</v>
      </c>
    </row>
    <row r="66" spans="1:30">
      <c r="B66">
        <v>0.59227953181231929</v>
      </c>
      <c r="C66" s="149">
        <v>14.5</v>
      </c>
      <c r="D66" s="85">
        <f>'Wing aero load'!D73*'Wing and Engine Torque'!$E$23*B66</f>
        <v>-28289617.094389379</v>
      </c>
      <c r="E66" s="52">
        <f>$E$28*'Wing aero load'!E73/(2*SUM('Wing aero load'!$E$44:$E$80)*0.1)</f>
        <v>-132727.15982025009</v>
      </c>
      <c r="F66" s="52">
        <f>$E$25*B66*$E$24*9.81*$K$26/'Wing aero load'!$D$31</f>
        <v>-1868442.3543705568</v>
      </c>
      <c r="G66" s="211">
        <f>'Wing inertia load'!E75*'Wing and Engine Torque'!$E$26*B66/1.65</f>
        <v>0</v>
      </c>
      <c r="H66" s="85">
        <v>0</v>
      </c>
      <c r="I66" s="52">
        <f t="shared" si="0"/>
        <v>-13933970.850792956</v>
      </c>
      <c r="J66" s="52">
        <f t="shared" si="1"/>
        <v>-65973.250006794406</v>
      </c>
      <c r="K66" s="52">
        <f t="shared" si="2"/>
        <v>-925536.73505734431</v>
      </c>
      <c r="L66" s="52">
        <f t="shared" si="3"/>
        <v>0</v>
      </c>
      <c r="M66" s="211">
        <f>0</f>
        <v>0</v>
      </c>
      <c r="N66" s="67">
        <f t="shared" si="4"/>
        <v>-80832757.592644706</v>
      </c>
      <c r="O66" s="67">
        <f>SUM($N66:N$96)</f>
        <v>-1538990825.2956965</v>
      </c>
      <c r="Y66" s="4">
        <f t="shared" si="5"/>
        <v>-1538990.8252956965</v>
      </c>
      <c r="AA66" s="211">
        <f>0</f>
        <v>0</v>
      </c>
      <c r="AB66" s="67">
        <f t="shared" si="6"/>
        <v>0</v>
      </c>
      <c r="AC66" s="67">
        <f>SUM($AB66:AB$96)</f>
        <v>0</v>
      </c>
      <c r="AD66" s="4">
        <f t="shared" si="7"/>
        <v>0</v>
      </c>
    </row>
    <row r="67" spans="1:30">
      <c r="B67">
        <v>0.58126796957588789</v>
      </c>
      <c r="C67" s="149">
        <v>15</v>
      </c>
      <c r="D67" s="85">
        <f>'Wing aero load'!D74*'Wing and Engine Torque'!$E$23*B67</f>
        <v>-27446266.30878244</v>
      </c>
      <c r="E67" s="52">
        <f>$E$28*'Wing aero load'!E74/(2*SUM('Wing aero load'!$E$44:$E$80)*0.1)</f>
        <v>-131165.8402069275</v>
      </c>
      <c r="F67" s="52">
        <f>$E$25*B67*$E$24*9.81*$K$26/'Wing aero load'!$D$31</f>
        <v>-1833704.5858588205</v>
      </c>
      <c r="G67" s="211">
        <f>'Wing inertia load'!E76*'Wing and Engine Torque'!$E$26*B67/1.65</f>
        <v>0</v>
      </c>
      <c r="H67" s="85">
        <v>0</v>
      </c>
      <c r="I67" s="52">
        <f t="shared" si="0"/>
        <v>-13511704.958738137</v>
      </c>
      <c r="J67" s="52">
        <f t="shared" si="1"/>
        <v>-65174.63415139728</v>
      </c>
      <c r="K67" s="52">
        <f t="shared" si="2"/>
        <v>-908167.85080147604</v>
      </c>
      <c r="L67" s="52">
        <f t="shared" si="3"/>
        <v>0</v>
      </c>
      <c r="M67" s="211">
        <f>0</f>
        <v>0</v>
      </c>
      <c r="N67" s="67">
        <f t="shared" si="4"/>
        <v>-79594506.960936904</v>
      </c>
      <c r="O67" s="67">
        <f>SUM($N67:N$96)</f>
        <v>-1458158067.7030516</v>
      </c>
      <c r="Y67" s="4">
        <f t="shared" si="5"/>
        <v>-1458158.0677030515</v>
      </c>
      <c r="AA67" s="211">
        <f>0</f>
        <v>0</v>
      </c>
      <c r="AB67" s="67">
        <f t="shared" si="6"/>
        <v>0</v>
      </c>
      <c r="AC67" s="67">
        <f>SUM($AB67:AB$96)</f>
        <v>0</v>
      </c>
      <c r="AD67" s="4">
        <f t="shared" si="7"/>
        <v>0</v>
      </c>
    </row>
    <row r="68" spans="1:30">
      <c r="B68">
        <v>0.57025640733945637</v>
      </c>
      <c r="C68" s="149">
        <v>15.5</v>
      </c>
      <c r="D68" s="85">
        <f>'Wing aero load'!D75*'Wing and Engine Torque'!$E$23*B68</f>
        <v>-26600553.526170108</v>
      </c>
      <c r="E68" s="52">
        <f>$E$28*'Wing aero load'!E75/(2*SUM('Wing aero load'!$E$44:$E$80)*0.1)</f>
        <v>-129532.69639866162</v>
      </c>
      <c r="F68" s="52">
        <f>$E$25*B68*$E$24*9.81*$K$26/'Wing aero load'!$D$31</f>
        <v>-1798966.8173470839</v>
      </c>
      <c r="G68" s="211">
        <f>'Wing inertia load'!E77*'Wing and Engine Torque'!$E$26*B68/1.65</f>
        <v>0</v>
      </c>
      <c r="H68" s="85">
        <v>0</v>
      </c>
      <c r="I68" s="52">
        <f t="shared" si="0"/>
        <v>-13088335.155276097</v>
      </c>
      <c r="J68" s="52">
        <f t="shared" si="1"/>
        <v>-64339.41745991433</v>
      </c>
      <c r="K68" s="52">
        <f t="shared" si="2"/>
        <v>-890798.96654560789</v>
      </c>
      <c r="L68" s="52">
        <f t="shared" si="3"/>
        <v>0</v>
      </c>
      <c r="M68" s="211">
        <f>0</f>
        <v>0</v>
      </c>
      <c r="N68" s="67">
        <f t="shared" si="4"/>
        <v>-78318551.581736028</v>
      </c>
      <c r="O68" s="67">
        <f>SUM($N68:N$96)</f>
        <v>-1378563560.7421148</v>
      </c>
      <c r="Y68" s="4">
        <f t="shared" si="5"/>
        <v>-1378563.5607421147</v>
      </c>
      <c r="AA68" s="211">
        <f>0</f>
        <v>0</v>
      </c>
      <c r="AB68" s="67">
        <f t="shared" si="6"/>
        <v>0</v>
      </c>
      <c r="AC68" s="67">
        <f>SUM($AB68:AB$96)</f>
        <v>0</v>
      </c>
      <c r="AD68" s="4">
        <f t="shared" si="7"/>
        <v>0</v>
      </c>
    </row>
    <row r="69" spans="1:30">
      <c r="B69">
        <v>0.55924484510302475</v>
      </c>
      <c r="C69" s="149">
        <v>16</v>
      </c>
      <c r="D69" s="85">
        <f>'Wing aero load'!D76*'Wing and Engine Torque'!$E$23*B69</f>
        <v>-25752787.094934281</v>
      </c>
      <c r="E69" s="52">
        <f>$E$28*'Wing aero load'!E76/(2*SUM('Wing aero load'!$E$44:$E$80)*0.1)</f>
        <v>-127824.97344099572</v>
      </c>
      <c r="F69" s="52">
        <f>$E$25*B69*$E$24*9.81*$K$26/'Wing aero load'!$D$31</f>
        <v>-1764229.0488353474</v>
      </c>
      <c r="G69" s="211">
        <f>'Wing inertia load'!E78*'Wing and Engine Torque'!$E$26*B69/1.65</f>
        <v>0</v>
      </c>
      <c r="H69" s="85">
        <v>0</v>
      </c>
      <c r="I69" s="52">
        <f t="shared" si="0"/>
        <v>-12664013.130525585</v>
      </c>
      <c r="J69" s="52">
        <f t="shared" si="1"/>
        <v>-63466.152748562556</v>
      </c>
      <c r="K69" s="52">
        <f t="shared" si="2"/>
        <v>-873430.08228973951</v>
      </c>
      <c r="L69" s="52">
        <f t="shared" si="3"/>
        <v>0</v>
      </c>
      <c r="M69" s="211">
        <f>0</f>
        <v>0</v>
      </c>
      <c r="N69" s="67">
        <f t="shared" si="4"/>
        <v>-77003595.961377874</v>
      </c>
      <c r="O69" s="67">
        <f>SUM($N69:N$96)</f>
        <v>-1300245009.1603792</v>
      </c>
      <c r="Y69" s="4">
        <f t="shared" si="5"/>
        <v>-1300245.0091603792</v>
      </c>
      <c r="AA69" s="211">
        <f>0</f>
        <v>0</v>
      </c>
      <c r="AB69" s="67">
        <f t="shared" si="6"/>
        <v>0</v>
      </c>
      <c r="AC69" s="67">
        <f>SUM($AB69:AB$96)</f>
        <v>0</v>
      </c>
      <c r="AD69" s="4">
        <f t="shared" si="7"/>
        <v>0</v>
      </c>
    </row>
    <row r="70" spans="1:30">
      <c r="B70">
        <v>0.54823328286659312</v>
      </c>
      <c r="C70" s="149">
        <v>16.5</v>
      </c>
      <c r="D70" s="85">
        <f>'Wing aero load'!D77*'Wing and Engine Torque'!$E$23*B70</f>
        <v>-24903265.427168064</v>
      </c>
      <c r="E70" s="52">
        <f>$E$28*'Wing aero load'!E77/(2*SUM('Wing aero load'!$E$44:$E$80)*0.1)</f>
        <v>-126039.63755325452</v>
      </c>
      <c r="F70" s="52">
        <f>$E$25*B70*$E$24*9.81*$K$26/'Wing aero load'!$D$31</f>
        <v>-1729491.2803236106</v>
      </c>
      <c r="G70" s="211">
        <f>'Wing inertia load'!E79*'Wing and Engine Torque'!$E$26*B70/1.65</f>
        <v>0</v>
      </c>
      <c r="H70" s="85">
        <v>0</v>
      </c>
      <c r="I70" s="52">
        <f t="shared" si="0"/>
        <v>-12238885.227906909</v>
      </c>
      <c r="J70" s="52">
        <f t="shared" si="1"/>
        <v>-62553.243953433441</v>
      </c>
      <c r="K70" s="52">
        <f t="shared" si="2"/>
        <v>-856061.19803387113</v>
      </c>
      <c r="L70" s="52">
        <f t="shared" si="3"/>
        <v>0</v>
      </c>
      <c r="M70" s="211">
        <f>0</f>
        <v>0</v>
      </c>
      <c r="N70" s="67">
        <f t="shared" si="4"/>
        <v>-75648190.379374221</v>
      </c>
      <c r="O70" s="67">
        <f>SUM($N70:N$96)</f>
        <v>-1223241413.1990016</v>
      </c>
      <c r="Y70" s="4">
        <f t="shared" si="5"/>
        <v>-1223241.4131990015</v>
      </c>
      <c r="AA70" s="211">
        <f>0</f>
        <v>0</v>
      </c>
      <c r="AB70" s="67">
        <f t="shared" si="6"/>
        <v>0</v>
      </c>
      <c r="AC70" s="67">
        <f>SUM($AB70:AB$96)</f>
        <v>0</v>
      </c>
      <c r="AD70" s="4">
        <f t="shared" si="7"/>
        <v>0</v>
      </c>
    </row>
    <row r="71" spans="1:30">
      <c r="B71">
        <v>0.5372217206301616</v>
      </c>
      <c r="C71" s="149">
        <v>17</v>
      </c>
      <c r="D71" s="85">
        <f>'Wing aero load'!D78*'Wing and Engine Torque'!$E$23*B71</f>
        <v>-24052275.484459572</v>
      </c>
      <c r="E71" s="52">
        <f>$E$28*'Wing aero load'!E78/(2*SUM('Wing aero load'!$E$44:$E$80)*0.1)</f>
        <v>-124173.33826047924</v>
      </c>
      <c r="F71" s="52">
        <f>$E$25*B71*$E$24*9.81*$K$26/'Wing aero load'!$D$31</f>
        <v>-1694753.5118118741</v>
      </c>
      <c r="G71" s="211">
        <f>'Wing inertia load'!E80*'Wing and Engine Torque'!$E$26*B71/1.65</f>
        <v>0</v>
      </c>
      <c r="H71" s="85">
        <f>K25*9.81*K26*E27</f>
        <v>-78412556.25</v>
      </c>
      <c r="I71" s="52">
        <f t="shared" si="0"/>
        <v>-11813091.591498021</v>
      </c>
      <c r="J71" s="52">
        <f t="shared" si="1"/>
        <v>-61598.925414110636</v>
      </c>
      <c r="K71" s="52">
        <f t="shared" si="2"/>
        <v>-838692.31377800298</v>
      </c>
      <c r="L71" s="52">
        <f t="shared" si="3"/>
        <v>0</v>
      </c>
      <c r="M71" s="211">
        <v>0</v>
      </c>
      <c r="N71" s="67">
        <f t="shared" si="4"/>
        <v>4161846.9306133389</v>
      </c>
      <c r="O71" s="67">
        <f>SUM($N71:N$96)</f>
        <v>-1147593222.8196273</v>
      </c>
      <c r="Y71" s="4">
        <f t="shared" si="5"/>
        <v>-1147593.2228196273</v>
      </c>
      <c r="AA71" s="211">
        <f>2256.362 * 289200</f>
        <v>652539890.39999998</v>
      </c>
      <c r="AB71" s="67">
        <f t="shared" si="6"/>
        <v>0</v>
      </c>
      <c r="AC71" s="67">
        <f>SUM($AB71:AB$96)</f>
        <v>0</v>
      </c>
      <c r="AD71" s="4">
        <f t="shared" si="7"/>
        <v>0</v>
      </c>
    </row>
    <row r="72" spans="1:30">
      <c r="B72">
        <v>0.52621015839373009</v>
      </c>
      <c r="C72" s="149">
        <v>17.5</v>
      </c>
      <c r="D72" s="85">
        <f>'Wing aero load'!D79*'Wing and Engine Torque'!$E$23*B72</f>
        <v>-23200090.881532513</v>
      </c>
      <c r="E72" s="52">
        <f>$E$28*'Wing aero load'!E79/(2*SUM('Wing aero load'!$E$44:$E$80)*0.1)</f>
        <v>-122222.36339596329</v>
      </c>
      <c r="F72" s="52">
        <f>$E$25*B72*$E$24*9.81*$K$26/'Wing aero load'!$D$31</f>
        <v>-1660015.7433001376</v>
      </c>
      <c r="G72" s="211">
        <f>'Wing inertia load'!E81*'Wing and Engine Torque'!$E$26*B72/1.65</f>
        <v>0</v>
      </c>
      <c r="H72" s="85">
        <v>0</v>
      </c>
      <c r="I72" s="52">
        <f t="shared" si="0"/>
        <v>-11386765.097581282</v>
      </c>
      <c r="J72" s="52">
        <f t="shared" si="1"/>
        <v>-60601.237165593207</v>
      </c>
      <c r="K72" s="52">
        <f t="shared" si="2"/>
        <v>-821323.4295221346</v>
      </c>
      <c r="L72" s="52">
        <f t="shared" si="3"/>
        <v>0</v>
      </c>
      <c r="M72" s="211">
        <f>0</f>
        <v>0</v>
      </c>
      <c r="N72" s="67">
        <f t="shared" si="4"/>
        <v>-72809325.692696631</v>
      </c>
      <c r="O72" s="67">
        <f>SUM($N72:N$96)</f>
        <v>-1151755069.7502408</v>
      </c>
      <c r="Y72" s="4">
        <f t="shared" si="5"/>
        <v>-1151755.0697502408</v>
      </c>
      <c r="AA72" s="211">
        <f>0</f>
        <v>0</v>
      </c>
      <c r="AB72" s="67">
        <f t="shared" si="6"/>
        <v>0</v>
      </c>
      <c r="AC72" s="67">
        <f>SUM($AB72:AB$96)</f>
        <v>0</v>
      </c>
      <c r="AD72" s="4">
        <f t="shared" si="7"/>
        <v>0</v>
      </c>
    </row>
    <row r="73" spans="1:30" ht="15" thickBot="1">
      <c r="B73">
        <v>0.51519859615729857</v>
      </c>
      <c r="C73" s="149">
        <v>18</v>
      </c>
      <c r="D73" s="85">
        <f>'Wing aero load'!D80*'Wing and Engine Torque'!$E$23*B73</f>
        <v>-22346969.508792616</v>
      </c>
      <c r="E73" s="52">
        <f>$E$28*'Wing aero load'!E80/(2*SUM('Wing aero load'!$E$44:$E$80)*0.1)</f>
        <v>-120182.58526640954</v>
      </c>
      <c r="F73" s="52">
        <f>$E$25*B73*$E$24*9.81*$K$26/'Wing aero load'!$D$31</f>
        <v>-1625277.974788401</v>
      </c>
      <c r="G73" s="211">
        <f>'Wing inertia load'!E82*'Wing and Engine Torque'!$E$26*B73/1.65</f>
        <v>0</v>
      </c>
      <c r="H73" s="86">
        <v>0</v>
      </c>
      <c r="I73" s="87">
        <f t="shared" si="0"/>
        <v>-10960030.013164707</v>
      </c>
      <c r="J73" s="87">
        <f t="shared" si="1"/>
        <v>-59557.995257529954</v>
      </c>
      <c r="K73" s="52">
        <f t="shared" si="2"/>
        <v>-803954.54526626645</v>
      </c>
      <c r="L73" s="87">
        <f t="shared" si="3"/>
        <v>0</v>
      </c>
      <c r="M73" s="211">
        <f>0</f>
        <v>0</v>
      </c>
      <c r="N73" s="67">
        <f t="shared" si="4"/>
        <v>-71321979.815960929</v>
      </c>
      <c r="O73" s="67">
        <f>SUM($N73:N$96)</f>
        <v>-1078945744.0575442</v>
      </c>
      <c r="Y73" s="4">
        <f t="shared" si="5"/>
        <v>-1078945.7440575443</v>
      </c>
      <c r="AA73" s="211">
        <f>0</f>
        <v>0</v>
      </c>
      <c r="AB73" s="67">
        <f t="shared" si="6"/>
        <v>0</v>
      </c>
      <c r="AC73" s="67">
        <f>SUM($AB73:AB$96)</f>
        <v>0</v>
      </c>
      <c r="AD73" s="4">
        <f t="shared" si="7"/>
        <v>0</v>
      </c>
    </row>
    <row r="74" spans="1:30" ht="15" thickBot="1">
      <c r="B74">
        <v>0.50418703392086706</v>
      </c>
      <c r="C74" s="149">
        <v>18.5</v>
      </c>
      <c r="D74" s="85">
        <f>'Wing aero load'!D81*'Wing and Engine Torque'!$E$23*B74</f>
        <v>-21493150.543866206</v>
      </c>
      <c r="E74" s="52">
        <f>$E$28*'Wing aero load'!E81/(2*SUM('Wing aero load'!$E$44:$E$80)*0.1)</f>
        <v>-118049.39576371026</v>
      </c>
      <c r="F74" s="52">
        <f>$E$25*B74*$E$24*9.81*$K$26/'Wing aero load'!$D$31</f>
        <v>-1590540.2062766645</v>
      </c>
      <c r="G74" s="211">
        <f>'Wing inertia load'!E83*'Wing and Engine Torque'!$E$26*B74/1.65</f>
        <v>0</v>
      </c>
      <c r="H74" s="86">
        <v>0</v>
      </c>
      <c r="I74" s="52">
        <f t="shared" si="0"/>
        <v>-10533000.305930598</v>
      </c>
      <c r="J74" s="52">
        <f t="shared" si="1"/>
        <v>-58466.755819997517</v>
      </c>
      <c r="K74" s="52">
        <f t="shared" si="2"/>
        <v>-786585.66101039806</v>
      </c>
      <c r="L74" s="52">
        <f t="shared" si="3"/>
        <v>0</v>
      </c>
      <c r="M74" s="211">
        <f>0</f>
        <v>0</v>
      </c>
      <c r="N74" s="67">
        <f t="shared" si="4"/>
        <v>-69786341.786938518</v>
      </c>
      <c r="O74" s="67">
        <f>SUM($N74:N$96)</f>
        <v>-1007623764.2415837</v>
      </c>
      <c r="Y74" s="4">
        <f t="shared" si="5"/>
        <v>-1007623.7642415838</v>
      </c>
      <c r="AA74" s="211">
        <f>0</f>
        <v>0</v>
      </c>
      <c r="AB74" s="67">
        <f t="shared" si="6"/>
        <v>0</v>
      </c>
      <c r="AC74" s="67">
        <f>SUM($AB74:AB$96)</f>
        <v>0</v>
      </c>
      <c r="AD74" s="4">
        <f t="shared" si="7"/>
        <v>0</v>
      </c>
    </row>
    <row r="75" spans="1:30" ht="15" thickBot="1">
      <c r="B75">
        <v>0.49317547168443543</v>
      </c>
      <c r="C75" s="149">
        <v>19</v>
      </c>
      <c r="D75" s="85">
        <f>'Wing aero load'!D82*'Wing and Engine Torque'!$E$23*B75</f>
        <v>-20638850.679856185</v>
      </c>
      <c r="E75" s="52">
        <f>$E$28*'Wing aero load'!E82/(2*SUM('Wing aero load'!$E$44:$E$80)*0.1)</f>
        <v>-115817.6275162798</v>
      </c>
      <c r="F75" s="52">
        <f>$E$25*B75*$E$24*9.81*$K$26/'Wing aero load'!$D$31</f>
        <v>-1555802.4377649277</v>
      </c>
      <c r="G75" s="211">
        <f>'Wing inertia load'!E84*'Wing and Engine Torque'!$E$26*B75/1.65</f>
        <v>0</v>
      </c>
      <c r="H75" s="86">
        <v>0</v>
      </c>
      <c r="I75" s="52">
        <f t="shared" si="0"/>
        <v>-10105777.504801217</v>
      </c>
      <c r="J75" s="52">
        <f t="shared" si="1"/>
        <v>-57324.771184084573</v>
      </c>
      <c r="K75" s="52">
        <f t="shared" si="2"/>
        <v>-769216.7767545298</v>
      </c>
      <c r="L75" s="52">
        <f t="shared" si="3"/>
        <v>0</v>
      </c>
      <c r="M75" s="211">
        <f>0</f>
        <v>0</v>
      </c>
      <c r="N75" s="67">
        <f t="shared" si="4"/>
        <v>-68199765.465640321</v>
      </c>
      <c r="O75" s="67">
        <f>SUM($N75:N$96)</f>
        <v>-937837422.45464516</v>
      </c>
      <c r="Y75" s="4">
        <f t="shared" si="5"/>
        <v>-937837.42245464516</v>
      </c>
      <c r="AA75" s="211">
        <f>0</f>
        <v>0</v>
      </c>
      <c r="AB75" s="67">
        <f t="shared" si="6"/>
        <v>0</v>
      </c>
      <c r="AC75" s="67">
        <f>SUM($AB75:AB$96)</f>
        <v>0</v>
      </c>
      <c r="AD75" s="4">
        <f t="shared" si="7"/>
        <v>0</v>
      </c>
    </row>
    <row r="76" spans="1:30" ht="15" thickBot="1">
      <c r="B76">
        <v>0.48216390944800391</v>
      </c>
      <c r="C76" s="149">
        <v>19.5</v>
      </c>
      <c r="D76" s="85">
        <f>'Wing aero load'!D83*'Wing and Engine Torque'!$E$23*B76</f>
        <v>-19784259.339348685</v>
      </c>
      <c r="E76" s="52">
        <f>$E$28*'Wing aero load'!E83/(2*SUM('Wing aero load'!$E$44:$E$80)*0.1)</f>
        <v>-113481.4572200585</v>
      </c>
      <c r="F76" s="52">
        <f>$E$25*B76*$E$24*9.81*$K$26/'Wing aero load'!$D$31</f>
        <v>-1521064.6692531914</v>
      </c>
      <c r="G76" s="211">
        <f>'Wing inertia load'!E85*'Wing and Engine Torque'!$E$26*B76/1.65</f>
        <v>0</v>
      </c>
      <c r="H76" s="86">
        <v>0</v>
      </c>
      <c r="I76" s="52">
        <f t="shared" si="0"/>
        <v>-9678447.975026818</v>
      </c>
      <c r="J76" s="52">
        <f t="shared" si="1"/>
        <v>-56128.935794062039</v>
      </c>
      <c r="K76" s="52">
        <f t="shared" si="2"/>
        <v>-751847.89249866153</v>
      </c>
      <c r="L76" s="52">
        <f t="shared" si="3"/>
        <v>0</v>
      </c>
      <c r="M76" s="211">
        <f>0</f>
        <v>0</v>
      </c>
      <c r="N76" s="67">
        <f t="shared" si="4"/>
        <v>-66559231.661587521</v>
      </c>
      <c r="O76" s="67">
        <f>SUM($N76:N$96)</f>
        <v>-869637656.98900473</v>
      </c>
      <c r="Y76" s="4">
        <f t="shared" si="5"/>
        <v>-869637.6569890047</v>
      </c>
      <c r="AA76" s="211">
        <f>0</f>
        <v>0</v>
      </c>
      <c r="AB76" s="67">
        <f t="shared" si="6"/>
        <v>0</v>
      </c>
      <c r="AC76" s="67">
        <f>SUM($AB76:AB$96)</f>
        <v>0</v>
      </c>
      <c r="AD76" s="4">
        <f t="shared" si="7"/>
        <v>0</v>
      </c>
    </row>
    <row r="77" spans="1:30" ht="15" thickBot="1">
      <c r="B77">
        <v>0.4711523472115724</v>
      </c>
      <c r="C77" s="149">
        <v>20</v>
      </c>
      <c r="D77" s="85">
        <f>'Wing aero load'!D84*'Wing and Engine Torque'!$E$23*B77</f>
        <v>-18929532.560758587</v>
      </c>
      <c r="E77" s="52">
        <f>$E$28*'Wing aero load'!E84/(2*SUM('Wing aero load'!$E$44:$E$80)*0.1)</f>
        <v>-111034.28595618968</v>
      </c>
      <c r="F77" s="52">
        <f>$E$25*B77*$E$24*9.81*$K$26/'Wing aero load'!$D$31</f>
        <v>-1486326.9007414544</v>
      </c>
      <c r="G77" s="211">
        <f>'Wing inertia load'!E86*'Wing and Engine Torque'!$E$26*B77/1.65</f>
        <v>0</v>
      </c>
      <c r="H77" s="86">
        <v>0</v>
      </c>
      <c r="I77" s="87">
        <f t="shared" si="0"/>
        <v>-9251079.4216993153</v>
      </c>
      <c r="J77" s="87">
        <f t="shared" si="1"/>
        <v>-54875.718840762049</v>
      </c>
      <c r="K77" s="52">
        <f t="shared" si="2"/>
        <v>-734479.00824279315</v>
      </c>
      <c r="L77" s="52">
        <f t="shared" si="3"/>
        <v>0</v>
      </c>
      <c r="M77" s="211">
        <f>0</f>
        <v>0</v>
      </c>
      <c r="N77" s="67">
        <f t="shared" si="4"/>
        <v>-64861277.270704158</v>
      </c>
      <c r="O77" s="67">
        <f>SUM($N77:N$96)</f>
        <v>-803078425.32741714</v>
      </c>
      <c r="Y77" s="4">
        <f t="shared" si="5"/>
        <v>-803078.42532741709</v>
      </c>
      <c r="AA77" s="211">
        <f>0</f>
        <v>0</v>
      </c>
      <c r="AB77" s="67">
        <f t="shared" si="6"/>
        <v>0</v>
      </c>
      <c r="AC77" s="67">
        <f>SUM($AB77:AB$96)</f>
        <v>0</v>
      </c>
      <c r="AD77" s="4">
        <f t="shared" si="7"/>
        <v>0</v>
      </c>
    </row>
    <row r="78" spans="1:30" ht="15" thickBot="1">
      <c r="B78">
        <v>0.46014078497514083</v>
      </c>
      <c r="C78" s="149">
        <v>20.5</v>
      </c>
      <c r="D78" s="85">
        <f>'Wing aero load'!D85*'Wing and Engine Torque'!$E$23*B78</f>
        <v>-18074785.126038674</v>
      </c>
      <c r="E78" s="52">
        <f>$E$28*'Wing aero load'!E85/(2*SUM('Wing aero load'!$E$44:$E$80)*0.1)</f>
        <v>-108468.58940685852</v>
      </c>
      <c r="F78" s="52">
        <f>$E$25*B78*$E$24*9.81*$K$26/'Wing aero load'!$D$31</f>
        <v>-1451589.1322297179</v>
      </c>
      <c r="G78" s="211">
        <f>'Wing inertia load'!E87*'Wing and Engine Torque'!$E$26*B78/1.65</f>
        <v>0</v>
      </c>
      <c r="H78" s="86">
        <v>0</v>
      </c>
      <c r="I78" s="52">
        <f t="shared" si="0"/>
        <v>-8823716.3635948189</v>
      </c>
      <c r="J78" s="52">
        <f t="shared" si="1"/>
        <v>-53561.079386044104</v>
      </c>
      <c r="K78" s="52">
        <f t="shared" si="2"/>
        <v>-717110.12398692477</v>
      </c>
      <c r="L78" s="87">
        <f t="shared" si="3"/>
        <v>0</v>
      </c>
      <c r="M78" s="211">
        <f>0</f>
        <v>0</v>
      </c>
      <c r="N78" s="67">
        <f t="shared" si="4"/>
        <v>-63101905.873625852</v>
      </c>
      <c r="O78" s="67">
        <f>SUM($N78:N$96)</f>
        <v>-738217148.05671299</v>
      </c>
      <c r="Y78" s="4">
        <f t="shared" si="5"/>
        <v>-738217.14805671293</v>
      </c>
      <c r="AA78" s="211">
        <f>0</f>
        <v>0</v>
      </c>
      <c r="AB78" s="67">
        <f t="shared" si="6"/>
        <v>0</v>
      </c>
      <c r="AC78" s="67">
        <f>SUM($AB78:AB$96)</f>
        <v>0</v>
      </c>
      <c r="AD78" s="4">
        <f t="shared" si="7"/>
        <v>0</v>
      </c>
    </row>
    <row r="79" spans="1:30" ht="15" thickBot="1">
      <c r="A79" s="142"/>
      <c r="B79">
        <v>0.4491292227387092</v>
      </c>
      <c r="C79" s="149">
        <v>21</v>
      </c>
      <c r="D79" s="85">
        <f>'Wing aero load'!D86*'Wing and Engine Torque'!$E$23*B79</f>
        <v>-17220080.328340601</v>
      </c>
      <c r="E79" s="52">
        <f>$E$28*'Wing aero load'!E86/(2*SUM('Wing aero load'!$E$44:$E$80)*0.1)</f>
        <v>-105775.72813731791</v>
      </c>
      <c r="F79" s="52">
        <f>$E$25*B79*$E$24*9.81*$K$26/'Wing aero load'!$D$31</f>
        <v>-1416851.3637179811</v>
      </c>
      <c r="G79" s="211">
        <f>'Wing inertia load'!E88*'Wing and Engine Torque'!$E$26*B79/1.65</f>
        <v>0</v>
      </c>
      <c r="H79" s="86">
        <v>0</v>
      </c>
      <c r="I79" s="52">
        <f t="shared" si="0"/>
        <v>-8396374.2137296405</v>
      </c>
      <c r="J79" s="52">
        <f t="shared" si="1"/>
        <v>-52180.35804994416</v>
      </c>
      <c r="K79" s="52">
        <f t="shared" si="2"/>
        <v>-699741.23973105662</v>
      </c>
      <c r="L79" s="52">
        <f t="shared" si="3"/>
        <v>0</v>
      </c>
      <c r="M79" s="211">
        <f>0</f>
        <v>0</v>
      </c>
      <c r="N79" s="67">
        <f t="shared" si="4"/>
        <v>-61276473.503404863</v>
      </c>
      <c r="O79" s="67">
        <f>SUM($N79:N$96)</f>
        <v>-675115242.18308699</v>
      </c>
      <c r="Y79" s="4">
        <f t="shared" si="5"/>
        <v>-675115.24218308704</v>
      </c>
      <c r="AA79" s="211">
        <f>0</f>
        <v>0</v>
      </c>
      <c r="AB79" s="67">
        <f t="shared" si="6"/>
        <v>0</v>
      </c>
      <c r="AC79" s="67">
        <f>SUM($AB79:AB$96)</f>
        <v>0</v>
      </c>
      <c r="AD79" s="4">
        <f t="shared" si="7"/>
        <v>0</v>
      </c>
    </row>
    <row r="80" spans="1:30" s="160" customFormat="1" ht="15" thickBot="1">
      <c r="B80">
        <v>0.43811766050227785</v>
      </c>
      <c r="C80" s="149">
        <v>21.5</v>
      </c>
      <c r="D80" s="85">
        <f>'Wing aero load'!D87*'Wing and Engine Torque'!$E$23*B80</f>
        <v>-16365416.526577959</v>
      </c>
      <c r="E80" s="52">
        <f>$E$28*'Wing aero load'!E87/(2*SUM('Wing aero load'!$E$44:$E$80)*0.1)</f>
        <v>-102945.70406245874</v>
      </c>
      <c r="F80" s="52">
        <f>$E$25*B80*$E$24*9.81*$K$26/'Wing aero load'!$D$31</f>
        <v>-1382113.5952062455</v>
      </c>
      <c r="G80" s="211">
        <f>'Wing inertia load'!E89*'Wing and Engine Torque'!$E$26*B80/1.65</f>
        <v>0</v>
      </c>
      <c r="H80" s="86">
        <v>0</v>
      </c>
      <c r="I80" s="52">
        <f t="shared" si="0"/>
        <v>-7969031.4453218002</v>
      </c>
      <c r="J80" s="52">
        <f t="shared" si="1"/>
        <v>-50728.136792088444</v>
      </c>
      <c r="K80" s="52">
        <f t="shared" si="2"/>
        <v>-682372.35547518847</v>
      </c>
      <c r="L80" s="52">
        <f t="shared" si="3"/>
        <v>0</v>
      </c>
      <c r="M80" s="211">
        <f>0</f>
        <v>0</v>
      </c>
      <c r="N80" s="67">
        <f t="shared" si="4"/>
        <v>-59379540.592885427</v>
      </c>
      <c r="O80" s="67">
        <f>SUM($N80:N$96)</f>
        <v>-613838768.67968214</v>
      </c>
      <c r="Y80" s="4">
        <f t="shared" si="5"/>
        <v>-613838.76867968217</v>
      </c>
      <c r="AA80" s="211">
        <f>0</f>
        <v>0</v>
      </c>
      <c r="AB80" s="67">
        <f t="shared" si="6"/>
        <v>0</v>
      </c>
      <c r="AC80" s="67">
        <f>SUM($AB80:AB$96)</f>
        <v>0</v>
      </c>
      <c r="AD80" s="4">
        <f t="shared" si="7"/>
        <v>0</v>
      </c>
    </row>
    <row r="81" spans="1:30" ht="15" thickBot="1">
      <c r="B81">
        <v>0.42710609826584617</v>
      </c>
      <c r="C81" s="149">
        <v>22</v>
      </c>
      <c r="D81" s="85">
        <f>'Wing aero load'!D88*'Wing and Engine Torque'!$E$23*B81</f>
        <v>-15510709.254709242</v>
      </c>
      <c r="E81" s="52">
        <f>$E$28*'Wing aero load'!E88/(2*SUM('Wing aero load'!$E$44:$E$80)*0.1)</f>
        <v>-99966.843105895037</v>
      </c>
      <c r="F81" s="52">
        <f>$E$25*B81*$E$24*9.81*$K$26/'Wing aero load'!$D$31</f>
        <v>-1347375.8266945083</v>
      </c>
      <c r="G81" s="211">
        <f>'Wing inertia load'!E90*'Wing and Engine Torque'!$E$26*B81/1.65</f>
        <v>0</v>
      </c>
      <c r="H81" s="86">
        <v>0</v>
      </c>
      <c r="I81" s="87">
        <f t="shared" si="0"/>
        <v>-7541619.080990646</v>
      </c>
      <c r="J81" s="87">
        <f t="shared" si="1"/>
        <v>-49198.054428964184</v>
      </c>
      <c r="K81" s="52">
        <f t="shared" si="2"/>
        <v>-665003.47121931997</v>
      </c>
      <c r="L81" s="52">
        <f t="shared" si="3"/>
        <v>0</v>
      </c>
      <c r="M81" s="211">
        <f>0</f>
        <v>0</v>
      </c>
      <c r="N81" s="67">
        <f t="shared" si="4"/>
        <v>-57404676.981174149</v>
      </c>
      <c r="O81" s="67">
        <f>SUM($N81:N$96)</f>
        <v>-554459228.08679676</v>
      </c>
      <c r="Y81" s="4">
        <f t="shared" si="5"/>
        <v>-554459.22808679671</v>
      </c>
      <c r="AA81" s="211">
        <f>0</f>
        <v>0</v>
      </c>
      <c r="AB81" s="67">
        <f t="shared" si="6"/>
        <v>0</v>
      </c>
      <c r="AC81" s="67">
        <f>SUM($AB81:AB$96)</f>
        <v>0</v>
      </c>
      <c r="AD81" s="4">
        <f t="shared" si="7"/>
        <v>0</v>
      </c>
    </row>
    <row r="82" spans="1:30" ht="15" thickBot="1">
      <c r="B82">
        <v>0.41609453602941465</v>
      </c>
      <c r="C82" s="149">
        <v>22.5</v>
      </c>
      <c r="D82" s="85">
        <f>'Wing aero load'!D89*'Wing and Engine Torque'!$E$23*B82</f>
        <v>-14655767.069253342</v>
      </c>
      <c r="E82" s="52">
        <f>$E$28*'Wing aero load'!E89/(2*SUM('Wing aero load'!$E$44:$E$80)*0.1)</f>
        <v>-96825.374609961684</v>
      </c>
      <c r="F82" s="52">
        <f>$E$25*B82*$E$24*9.81*$K$26/'Wing aero load'!$D$31</f>
        <v>-1312638.0581827716</v>
      </c>
      <c r="G82" s="211">
        <f>'Wing inertia load'!E91*'Wing and Engine Torque'!$E$26*B82/1.65</f>
        <v>0</v>
      </c>
      <c r="H82" s="86">
        <v>0</v>
      </c>
      <c r="I82" s="52">
        <f t="shared" si="0"/>
        <v>-7114006.3660173006</v>
      </c>
      <c r="J82" s="52">
        <f t="shared" si="1"/>
        <v>-47582.559409700174</v>
      </c>
      <c r="K82" s="52">
        <f t="shared" si="2"/>
        <v>-647634.5869634517</v>
      </c>
      <c r="L82" s="52">
        <f t="shared" si="3"/>
        <v>0</v>
      </c>
      <c r="M82" s="211">
        <f>0</f>
        <v>0</v>
      </c>
      <c r="N82" s="67">
        <f t="shared" si="4"/>
        <v>-55344200.362680934</v>
      </c>
      <c r="O82" s="67">
        <f>SUM($N82:N$96)</f>
        <v>-497054551.10562259</v>
      </c>
      <c r="Y82" s="4">
        <f t="shared" si="5"/>
        <v>-497054.55110562261</v>
      </c>
      <c r="AA82" s="211">
        <f>0</f>
        <v>0</v>
      </c>
      <c r="AB82" s="67">
        <f t="shared" si="6"/>
        <v>0</v>
      </c>
      <c r="AC82" s="67">
        <f>SUM($AB82:AB$96)</f>
        <v>0</v>
      </c>
      <c r="AD82" s="4">
        <f t="shared" si="7"/>
        <v>0</v>
      </c>
    </row>
    <row r="83" spans="1:30" ht="15" thickBot="1">
      <c r="B83">
        <v>0.40508297379298308</v>
      </c>
      <c r="C83" s="149">
        <v>23</v>
      </c>
      <c r="D83" s="85">
        <f>'Wing aero load'!D90*'Wing and Engine Torque'!$E$23*B83</f>
        <v>-13800258.394815862</v>
      </c>
      <c r="E83" s="52">
        <f>$E$28*'Wing aero load'!E90/(2*SUM('Wing aero load'!$E$44:$E$80)*0.1)</f>
        <v>-93504.863028838998</v>
      </c>
      <c r="F83" s="52">
        <f>$E$25*B83*$E$24*9.81*$K$26/'Wing aero load'!$D$31</f>
        <v>-1277900.289671035</v>
      </c>
      <c r="G83" s="211">
        <f>'Wing inertia load'!E92*'Wing and Engine Torque'!$E$26*B83/1.65</f>
        <v>0</v>
      </c>
      <c r="H83" s="86">
        <v>0</v>
      </c>
      <c r="I83" s="52">
        <f t="shared" si="0"/>
        <v>-6685980.8797797505</v>
      </c>
      <c r="J83" s="52">
        <f t="shared" si="1"/>
        <v>-45872.571450220261</v>
      </c>
      <c r="K83" s="52">
        <f t="shared" si="2"/>
        <v>-630265.70270758343</v>
      </c>
      <c r="L83" s="87">
        <f t="shared" si="3"/>
        <v>0</v>
      </c>
      <c r="M83" s="211">
        <f>0</f>
        <v>0</v>
      </c>
      <c r="N83" s="67">
        <f t="shared" si="4"/>
        <v>-53188818.032707594</v>
      </c>
      <c r="O83" s="67">
        <f>SUM($N83:N$96)</f>
        <v>-441710350.74294168</v>
      </c>
      <c r="Y83" s="4">
        <f t="shared" si="5"/>
        <v>-441710.35074294166</v>
      </c>
      <c r="AA83" s="211">
        <f>0</f>
        <v>0</v>
      </c>
      <c r="AB83" s="67">
        <f t="shared" si="6"/>
        <v>0</v>
      </c>
      <c r="AC83" s="67">
        <f>SUM($AB83:AB$96)</f>
        <v>0</v>
      </c>
      <c r="AD83" s="4">
        <f t="shared" si="7"/>
        <v>0</v>
      </c>
    </row>
    <row r="84" spans="1:30" ht="15" thickBot="1">
      <c r="B84">
        <v>0.39407141155655162</v>
      </c>
      <c r="C84" s="149">
        <v>23.5</v>
      </c>
      <c r="D84" s="85">
        <f>'Wing aero load'!D91*'Wing and Engine Torque'!$E$23*B84</f>
        <v>-12943665.124303142</v>
      </c>
      <c r="E84" s="52">
        <f>$E$28*'Wing aero load'!E91/(2*SUM('Wing aero load'!$E$44:$E$80)*0.1)</f>
        <v>-89985.422772042031</v>
      </c>
      <c r="F84" s="52">
        <f>$E$25*B84*$E$24*9.81*$K$26/'Wing aero load'!$D$31</f>
        <v>-1243162.5211592987</v>
      </c>
      <c r="G84" s="211">
        <f>'Wing inertia load'!E93*'Wing and Engine Torque'!$E$26*B84/1.65</f>
        <v>0</v>
      </c>
      <c r="H84" s="86">
        <v>0</v>
      </c>
      <c r="I84" s="52">
        <f t="shared" si="0"/>
        <v>-6257220.3317252193</v>
      </c>
      <c r="J84" s="52">
        <f t="shared" si="1"/>
        <v>-44057.006960306346</v>
      </c>
      <c r="K84" s="52">
        <f t="shared" si="2"/>
        <v>-612896.81845171517</v>
      </c>
      <c r="L84" s="52">
        <f t="shared" si="3"/>
        <v>0</v>
      </c>
      <c r="M84" s="211">
        <f>0</f>
        <v>0</v>
      </c>
      <c r="N84" s="67">
        <f t="shared" si="4"/>
        <v>-50927124.110483281</v>
      </c>
      <c r="O84" s="67">
        <f>SUM($N84:N$96)</f>
        <v>-388521532.71023399</v>
      </c>
      <c r="Y84" s="4">
        <f t="shared" si="5"/>
        <v>-388521.53271023399</v>
      </c>
      <c r="AA84" s="211">
        <f>0</f>
        <v>0</v>
      </c>
      <c r="AB84" s="67">
        <f t="shared" si="6"/>
        <v>0</v>
      </c>
      <c r="AC84" s="67">
        <f>SUM($AB84:AB$96)</f>
        <v>0</v>
      </c>
      <c r="AD84" s="4">
        <f t="shared" si="7"/>
        <v>0</v>
      </c>
    </row>
    <row r="85" spans="1:30" ht="15" thickBot="1">
      <c r="B85">
        <v>0.38305984932011994</v>
      </c>
      <c r="C85" s="149">
        <v>24</v>
      </c>
      <c r="D85" s="85">
        <f>'Wing aero load'!D92*'Wing and Engine Torque'!$E$23*B85</f>
        <v>-12085216.202597737</v>
      </c>
      <c r="E85" s="52">
        <f>$E$28*'Wing aero load'!E92/(2*SUM('Wing aero load'!$E$44:$E$80)*0.1)</f>
        <v>-86242.605069183352</v>
      </c>
      <c r="F85" s="52">
        <f>$E$25*B85*$E$24*9.81*$K$26/'Wing aero load'!$D$31</f>
        <v>-1208424.752647562</v>
      </c>
      <c r="G85" s="211">
        <f>'Wing inertia load'!E94*'Wing and Engine Torque'!$E$26*B85/1.65</f>
        <v>0</v>
      </c>
      <c r="H85" s="86">
        <v>0</v>
      </c>
      <c r="I85" s="87">
        <f t="shared" si="0"/>
        <v>-5827251.5521247555</v>
      </c>
      <c r="J85" s="87">
        <f t="shared" si="1"/>
        <v>-42122.094042671175</v>
      </c>
      <c r="K85" s="52">
        <f t="shared" si="2"/>
        <v>-595527.93419584678</v>
      </c>
      <c r="L85" s="52">
        <f t="shared" si="3"/>
        <v>0</v>
      </c>
      <c r="M85" s="211">
        <f>0</f>
        <v>0</v>
      </c>
      <c r="N85" s="67">
        <f t="shared" si="4"/>
        <v>-48544873.528991774</v>
      </c>
      <c r="O85" s="67">
        <f>SUM($N85:N$96)</f>
        <v>-337594408.59975076</v>
      </c>
      <c r="Y85" s="4">
        <f t="shared" si="5"/>
        <v>-337594.40859975078</v>
      </c>
      <c r="AA85" s="211">
        <f>0</f>
        <v>0</v>
      </c>
      <c r="AB85" s="67">
        <f t="shared" si="6"/>
        <v>0</v>
      </c>
      <c r="AC85" s="67">
        <f>SUM($AB85:AB$96)</f>
        <v>0</v>
      </c>
      <c r="AD85" s="4">
        <f t="shared" si="7"/>
        <v>0</v>
      </c>
    </row>
    <row r="86" spans="1:30" ht="15" thickBot="1">
      <c r="B86">
        <v>0.37204828708368842</v>
      </c>
      <c r="C86" s="149">
        <v>24.5</v>
      </c>
      <c r="D86" s="85">
        <f>'Wing aero load'!D93*'Wing and Engine Torque'!$E$23*B86</f>
        <v>-11223790.005901285</v>
      </c>
      <c r="E86" s="52">
        <f>$E$28*'Wing aero load'!E93/(2*SUM('Wing aero load'!$E$44:$E$80)*0.1)</f>
        <v>-82245.771101501363</v>
      </c>
      <c r="F86" s="52">
        <f>$E$25*B86*$E$24*9.81*$K$26/'Wing aero load'!$D$31</f>
        <v>-1173686.9841358254</v>
      </c>
      <c r="G86" s="211">
        <f>'Wing inertia load'!E95*'Wing and Engine Torque'!$E$26*B86/1.65</f>
        <v>0</v>
      </c>
      <c r="H86" s="86">
        <v>0</v>
      </c>
      <c r="I86" s="52">
        <f t="shared" si="0"/>
        <v>-5395389.0667352472</v>
      </c>
      <c r="J86" s="52">
        <f t="shared" si="1"/>
        <v>-40050.349316990389</v>
      </c>
      <c r="K86" s="52">
        <f t="shared" si="2"/>
        <v>-578159.04993997852</v>
      </c>
      <c r="L86" s="52">
        <f t="shared" si="3"/>
        <v>0</v>
      </c>
      <c r="M86" s="211">
        <f>0</f>
        <v>0</v>
      </c>
      <c r="N86" s="67">
        <f t="shared" si="4"/>
        <v>-46023897.433665611</v>
      </c>
      <c r="O86" s="67">
        <f>SUM($N86:N$96)</f>
        <v>-289049535.070759</v>
      </c>
      <c r="Y86" s="4">
        <f t="shared" si="5"/>
        <v>-289049.53507075901</v>
      </c>
      <c r="AA86" s="211">
        <f>0</f>
        <v>0</v>
      </c>
      <c r="AB86" s="67">
        <f t="shared" si="6"/>
        <v>0</v>
      </c>
      <c r="AC86" s="67">
        <f>SUM($AB86:AB$96)</f>
        <v>0</v>
      </c>
      <c r="AD86" s="4">
        <f t="shared" si="7"/>
        <v>0</v>
      </c>
    </row>
    <row r="87" spans="1:30" ht="15" thickBot="1">
      <c r="B87">
        <v>0.36103672484725691</v>
      </c>
      <c r="C87" s="149">
        <v>25</v>
      </c>
      <c r="D87" s="85">
        <f>'Wing aero load'!D94*'Wing and Engine Torque'!$E$23*B87</f>
        <v>-10357766.261039702</v>
      </c>
      <c r="E87" s="52">
        <f>$E$28*'Wing aero load'!E94/(2*SUM('Wing aero load'!$E$44:$E$80)*0.1)</f>
        <v>-77955.626166460192</v>
      </c>
      <c r="F87" s="52">
        <f>$E$25*B87*$E$24*9.81*$K$26/'Wing aero load'!$D$31</f>
        <v>-1138949.2156240887</v>
      </c>
      <c r="G87" s="211">
        <f>'Wing inertia load'!E96*'Wing and Engine Torque'!$E$26*B87/1.65</f>
        <v>0</v>
      </c>
      <c r="H87" s="86">
        <v>0</v>
      </c>
      <c r="I87" s="52">
        <f t="shared" si="0"/>
        <v>-4960639.7430602331</v>
      </c>
      <c r="J87" s="52">
        <f t="shared" si="1"/>
        <v>-37818.984687067583</v>
      </c>
      <c r="K87" s="52">
        <f t="shared" si="2"/>
        <v>-560790.16568411025</v>
      </c>
      <c r="L87" s="52">
        <f t="shared" si="3"/>
        <v>0</v>
      </c>
      <c r="M87" s="211">
        <f>0</f>
        <v>0</v>
      </c>
      <c r="N87" s="67">
        <f t="shared" si="4"/>
        <v>-43340414.595811926</v>
      </c>
      <c r="O87" s="67">
        <f>SUM($N87:N$96)</f>
        <v>-243025637.63709337</v>
      </c>
      <c r="Y87" s="4">
        <f t="shared" si="5"/>
        <v>-243025.63763709337</v>
      </c>
      <c r="AA87" s="211">
        <f>0</f>
        <v>0</v>
      </c>
      <c r="AB87" s="67">
        <f t="shared" si="6"/>
        <v>0</v>
      </c>
      <c r="AC87" s="67">
        <f>SUM($AB87:AB$96)</f>
        <v>0</v>
      </c>
      <c r="AD87" s="4">
        <f t="shared" si="7"/>
        <v>0</v>
      </c>
    </row>
    <row r="88" spans="1:30" ht="15" thickBot="1">
      <c r="B88">
        <v>0.35002516261082539</v>
      </c>
      <c r="C88" s="149">
        <v>25.5</v>
      </c>
      <c r="D88" s="85">
        <f>'Wing aero load'!D95*'Wing and Engine Torque'!$E$23*B88</f>
        <v>-9484792.7112012301</v>
      </c>
      <c r="E88" s="52">
        <f>$E$28*'Wing aero load'!E95/(2*SUM('Wing aero load'!$E$44:$E$80)*0.1)</f>
        <v>-73320.312581810125</v>
      </c>
      <c r="F88" s="52">
        <f>$E$25*B88*$E$24*9.81*$K$26/'Wing aero load'!$D$31</f>
        <v>-1104211.4471123524</v>
      </c>
      <c r="G88" s="211">
        <f>'Wing inertia load'!E97*'Wing and Engine Torque'!$E$26*B88/1.65</f>
        <v>0</v>
      </c>
      <c r="H88" s="86">
        <v>0</v>
      </c>
      <c r="I88" s="52">
        <f t="shared" si="0"/>
        <v>-4521548.1375030521</v>
      </c>
      <c r="J88" s="52">
        <f t="shared" si="1"/>
        <v>-35397.294597122222</v>
      </c>
      <c r="K88" s="52">
        <f t="shared" si="2"/>
        <v>-543421.28142824199</v>
      </c>
      <c r="L88" s="87">
        <f t="shared" si="3"/>
        <v>0</v>
      </c>
      <c r="M88" s="211">
        <f>0</f>
        <v>0</v>
      </c>
      <c r="N88" s="67">
        <f t="shared" si="4"/>
        <v>-40462264.016053513</v>
      </c>
      <c r="O88" s="67">
        <f>SUM($N88:N$96)</f>
        <v>-199685223.04128146</v>
      </c>
      <c r="Y88" s="4">
        <f t="shared" si="5"/>
        <v>-199685.22304128145</v>
      </c>
      <c r="AA88" s="211">
        <f>0</f>
        <v>0</v>
      </c>
      <c r="AB88" s="67">
        <f t="shared" si="6"/>
        <v>0</v>
      </c>
      <c r="AC88" s="67">
        <f>SUM($AB88:AB$96)</f>
        <v>0</v>
      </c>
      <c r="AD88" s="4">
        <f t="shared" si="7"/>
        <v>0</v>
      </c>
    </row>
    <row r="89" spans="1:30" s="160" customFormat="1" ht="15" thickBot="1">
      <c r="A89" s="144"/>
      <c r="B89">
        <v>0.33901360037439382</v>
      </c>
      <c r="C89" s="149">
        <v>26</v>
      </c>
      <c r="D89" s="85">
        <f>'Wing aero load'!D96*'Wing and Engine Torque'!$E$23*B89</f>
        <v>-8601399.8388109766</v>
      </c>
      <c r="E89" s="52">
        <f>$E$28*'Wing aero load'!E96/(2*SUM('Wing aero load'!$E$44:$E$80)*0.1)</f>
        <v>-68268.865806678747</v>
      </c>
      <c r="F89" s="52">
        <f>$E$25*B89*$E$24*9.81*$K$26/'Wing aero load'!$D$31</f>
        <v>-1069473.6786006156</v>
      </c>
      <c r="G89" s="211">
        <f>'Wing inertia load'!E98*'Wing and Engine Torque'!$E$26*B89/1.65</f>
        <v>0</v>
      </c>
      <c r="H89" s="86">
        <v>0</v>
      </c>
      <c r="I89" s="87">
        <f t="shared" si="0"/>
        <v>-4075931.4880165774</v>
      </c>
      <c r="J89" s="87">
        <f t="shared" si="1"/>
        <v>-32742.076734976254</v>
      </c>
      <c r="K89" s="52">
        <f t="shared" si="2"/>
        <v>-526052.39717237372</v>
      </c>
      <c r="L89" s="52">
        <f t="shared" si="3"/>
        <v>0</v>
      </c>
      <c r="M89" s="211">
        <f>0</f>
        <v>0</v>
      </c>
      <c r="N89" s="67">
        <f t="shared" si="4"/>
        <v>-37344060.620165206</v>
      </c>
      <c r="O89" s="67">
        <f>SUM($N89:N$96)</f>
        <v>-159222959.0252279</v>
      </c>
      <c r="Y89" s="4">
        <f t="shared" si="5"/>
        <v>-159222.9590252279</v>
      </c>
      <c r="AA89" s="211">
        <f>0</f>
        <v>0</v>
      </c>
      <c r="AB89" s="67">
        <f t="shared" si="6"/>
        <v>0</v>
      </c>
      <c r="AC89" s="67">
        <f>SUM($AB89:AB$96)</f>
        <v>0</v>
      </c>
      <c r="AD89" s="4">
        <f t="shared" si="7"/>
        <v>0</v>
      </c>
    </row>
    <row r="90" spans="1:30" ht="15" thickBot="1">
      <c r="B90">
        <v>0.3280020381379623</v>
      </c>
      <c r="C90" s="149">
        <v>26.5</v>
      </c>
      <c r="D90" s="85">
        <f>'Wing aero load'!D97*'Wing and Engine Torque'!$E$23*B90</f>
        <v>-7702326.1132553341</v>
      </c>
      <c r="E90" s="52">
        <f>$E$28*'Wing aero load'!E97/(2*SUM('Wing aero load'!$E$44:$E$80)*0.1)</f>
        <v>-62699.441133226261</v>
      </c>
      <c r="F90" s="52">
        <f>$E$25*B90*$E$24*9.81*$K$26/'Wing aero load'!$D$31</f>
        <v>-1034735.9100888791</v>
      </c>
      <c r="G90" s="211">
        <f>'Wing inertia load'!E99*'Wing and Engine Torque'!$E$26*B90/1.65</f>
        <v>0</v>
      </c>
      <c r="H90" s="86">
        <v>0</v>
      </c>
      <c r="I90" s="52">
        <f t="shared" si="0"/>
        <v>-3620392.1031489605</v>
      </c>
      <c r="J90" s="52">
        <f t="shared" si="1"/>
        <v>-29788.856811902551</v>
      </c>
      <c r="K90" s="52">
        <f t="shared" si="2"/>
        <v>-508683.51291650545</v>
      </c>
      <c r="L90" s="52">
        <f t="shared" si="3"/>
        <v>0</v>
      </c>
      <c r="M90" s="211">
        <f>0</f>
        <v>0</v>
      </c>
      <c r="N90" s="67">
        <f t="shared" si="4"/>
        <v>-33917932.427968018</v>
      </c>
      <c r="O90" s="67">
        <f>SUM($N90:N$96)</f>
        <v>-121878898.40506268</v>
      </c>
      <c r="Y90" s="4">
        <f t="shared" si="5"/>
        <v>-121878.89840506268</v>
      </c>
      <c r="AA90" s="211">
        <f>0</f>
        <v>0</v>
      </c>
      <c r="AB90" s="67">
        <f t="shared" si="6"/>
        <v>0</v>
      </c>
      <c r="AC90" s="67">
        <f>SUM($AB90:AB$96)</f>
        <v>0</v>
      </c>
      <c r="AD90" s="4">
        <f t="shared" si="7"/>
        <v>0</v>
      </c>
    </row>
    <row r="91" spans="1:30" ht="15" thickBot="1">
      <c r="B91">
        <v>0.31699047590153079</v>
      </c>
      <c r="C91" s="149">
        <v>27</v>
      </c>
      <c r="D91" s="85">
        <f>'Wing aero load'!D98*'Wing and Engine Torque'!$E$23*B91</f>
        <v>-6779242.299340507</v>
      </c>
      <c r="E91" s="52">
        <f>$E$28*'Wing aero load'!E98/(2*SUM('Wing aero load'!$E$44:$E$80)*0.1)</f>
        <v>-56455.986114383937</v>
      </c>
      <c r="F91" s="52">
        <f>$E$25*B91*$E$24*9.81*$K$26/'Wing aero load'!$D$31</f>
        <v>-999998.14157714264</v>
      </c>
      <c r="G91" s="211">
        <f>'Wing inertia load'!E100*'Wing and Engine Torque'!$E$26*B91/1.65</f>
        <v>0</v>
      </c>
      <c r="H91" s="86">
        <v>0</v>
      </c>
      <c r="I91" s="52">
        <f t="shared" si="0"/>
        <v>-3149329.5059063854</v>
      </c>
      <c r="J91" s="52">
        <f t="shared" si="1"/>
        <v>-26432.779124097571</v>
      </c>
      <c r="K91" s="52">
        <f t="shared" si="2"/>
        <v>-491314.62866063713</v>
      </c>
      <c r="L91" s="52">
        <f t="shared" si="3"/>
        <v>0</v>
      </c>
      <c r="M91" s="211">
        <f>0</f>
        <v>0</v>
      </c>
      <c r="N91" s="67">
        <f t="shared" si="4"/>
        <v>-30073423.258664593</v>
      </c>
      <c r="O91" s="67">
        <f>SUM($N91:N$96)</f>
        <v>-87960965.977094665</v>
      </c>
      <c r="Y91" s="4">
        <f t="shared" si="5"/>
        <v>-87960.96597709466</v>
      </c>
      <c r="AA91" s="211">
        <f>0</f>
        <v>0</v>
      </c>
      <c r="AB91" s="67">
        <f t="shared" si="6"/>
        <v>0</v>
      </c>
      <c r="AC91" s="67">
        <f>SUM($AB91:AB$96)</f>
        <v>0</v>
      </c>
      <c r="AD91" s="4">
        <f t="shared" si="7"/>
        <v>0</v>
      </c>
    </row>
    <row r="92" spans="1:30" ht="15" thickBot="1">
      <c r="B92">
        <v>0.30597891366509916</v>
      </c>
      <c r="C92" s="149">
        <v>27.5</v>
      </c>
      <c r="D92" s="85">
        <f>'Wing aero load'!D99*'Wing and Engine Torque'!$E$23*B92</f>
        <v>-5818075.7242850345</v>
      </c>
      <c r="E92" s="52">
        <f>$E$28*'Wing aero load'!E99/(2*SUM('Wing aero load'!$E$44:$E$80)*0.1)</f>
        <v>-49275.130382006355</v>
      </c>
      <c r="F92" s="52">
        <f>$E$25*B92*$E$24*9.81*$K$26/'Wing aero load'!$D$31</f>
        <v>-965260.37306540587</v>
      </c>
      <c r="G92" s="211">
        <f>'Wing inertia load'!E101*'Wing and Engine Torque'!$E$26*B92/1.65</f>
        <v>0</v>
      </c>
      <c r="H92" s="86">
        <v>0</v>
      </c>
      <c r="I92" s="52">
        <f t="shared" si="0"/>
        <v>-2652640.8083289964</v>
      </c>
      <c r="J92" s="52">
        <f t="shared" si="1"/>
        <v>-22477.525851689672</v>
      </c>
      <c r="K92" s="52">
        <f t="shared" si="2"/>
        <v>-473945.74440476892</v>
      </c>
      <c r="L92" s="52">
        <f t="shared" si="3"/>
        <v>0</v>
      </c>
      <c r="M92" s="211">
        <f>0</f>
        <v>0</v>
      </c>
      <c r="N92" s="67">
        <f t="shared" si="4"/>
        <v>-25604112.404423438</v>
      </c>
      <c r="O92" s="67">
        <f>SUM($N92:N$96)</f>
        <v>-57887542.718430072</v>
      </c>
      <c r="Y92" s="4">
        <f t="shared" si="5"/>
        <v>-57887.542718430072</v>
      </c>
      <c r="AA92" s="211">
        <f>0</f>
        <v>0</v>
      </c>
      <c r="AB92" s="67">
        <f t="shared" si="6"/>
        <v>0</v>
      </c>
      <c r="AC92" s="67">
        <f>SUM($AB92:AB$96)</f>
        <v>0</v>
      </c>
      <c r="AD92" s="4">
        <f t="shared" si="7"/>
        <v>0</v>
      </c>
    </row>
    <row r="93" spans="1:30" ht="15" thickBot="1">
      <c r="B93">
        <v>0.29496735142866776</v>
      </c>
      <c r="C93" s="149">
        <v>28</v>
      </c>
      <c r="D93" s="85">
        <f>'Wing aero load'!D100*'Wing and Engine Torque'!$E$23*B93</f>
        <v>-4792487.5090309521</v>
      </c>
      <c r="E93" s="52">
        <f>$E$28*'Wing aero load'!E100/(2*SUM('Wing aero load'!$E$44:$E$80)*0.1)</f>
        <v>-40634.973024752326</v>
      </c>
      <c r="F93" s="52">
        <f>$E$25*B93*$E$24*9.81*$K$26/'Wing aero load'!$D$31</f>
        <v>-930522.60455366969</v>
      </c>
      <c r="G93" s="211">
        <f>'Wing inertia load'!E102*'Wing and Engine Torque'!$E$26*B93/1.65</f>
        <v>0</v>
      </c>
      <c r="H93" s="86">
        <v>0</v>
      </c>
      <c r="I93" s="87">
        <f t="shared" si="0"/>
        <v>-2109022.3325092136</v>
      </c>
      <c r="J93" s="87">
        <f t="shared" si="1"/>
        <v>-17426.58196231574</v>
      </c>
      <c r="K93" s="52">
        <f t="shared" si="2"/>
        <v>-456576.86014890054</v>
      </c>
      <c r="L93" s="87">
        <f t="shared" si="3"/>
        <v>0</v>
      </c>
      <c r="M93" s="211">
        <f>0</f>
        <v>0</v>
      </c>
      <c r="N93" s="67">
        <f t="shared" si="4"/>
        <v>-19992181.154973853</v>
      </c>
      <c r="O93" s="67">
        <f>SUM($N93:N$96)</f>
        <v>-32283430.314006638</v>
      </c>
      <c r="Y93" s="4">
        <f t="shared" si="5"/>
        <v>-32283.430314006637</v>
      </c>
      <c r="AA93" s="211">
        <f>0</f>
        <v>0</v>
      </c>
      <c r="AB93" s="67">
        <f t="shared" si="6"/>
        <v>0</v>
      </c>
      <c r="AC93" s="67">
        <f>SUM($AB93:AB$96)</f>
        <v>0</v>
      </c>
      <c r="AD93" s="4">
        <f t="shared" si="7"/>
        <v>0</v>
      </c>
    </row>
    <row r="94" spans="1:30" ht="15" thickBot="1">
      <c r="B94">
        <v>0.28395578919223607</v>
      </c>
      <c r="C94" s="149">
        <v>28.5</v>
      </c>
      <c r="D94" s="85">
        <f>'Wing aero load'!D101*'Wing and Engine Torque'!$E$23*B94</f>
        <v>-3643601.8210059018</v>
      </c>
      <c r="E94" s="52">
        <f>$E$28*'Wing aero load'!E101/(2*SUM('Wing aero load'!$E$44:$E$80)*0.1)</f>
        <v>-29071.354824510639</v>
      </c>
      <c r="F94" s="52">
        <f>$E$25*B94*$E$24*9.81*$K$26/'Wing aero load'!$D$31</f>
        <v>-895784.83604193246</v>
      </c>
      <c r="G94" s="211">
        <f>'Wing inertia load'!E103*'Wing and Engine Torque'!$E$26*B94/1.65</f>
        <v>0</v>
      </c>
      <c r="H94" s="86">
        <v>0</v>
      </c>
      <c r="I94" s="52">
        <f t="shared" si="0"/>
        <v>-1454904.9377845242</v>
      </c>
      <c r="J94" s="52">
        <f t="shared" si="1"/>
        <v>-8938.9248246140378</v>
      </c>
      <c r="K94" s="52">
        <f t="shared" si="2"/>
        <v>-439207.97589303227</v>
      </c>
      <c r="L94" s="52">
        <f t="shared" si="3"/>
        <v>0</v>
      </c>
      <c r="M94" s="211">
        <f>0</f>
        <v>0</v>
      </c>
      <c r="N94" s="67">
        <f t="shared" si="4"/>
        <v>-10833037.738291595</v>
      </c>
      <c r="O94" s="67">
        <f>SUM($N94:N$96)</f>
        <v>-12291249.159032784</v>
      </c>
      <c r="Y94" s="4">
        <f t="shared" si="5"/>
        <v>-12291.249159032785</v>
      </c>
      <c r="AA94" s="211">
        <f>0</f>
        <v>0</v>
      </c>
      <c r="AB94" s="67">
        <f t="shared" si="6"/>
        <v>0</v>
      </c>
      <c r="AC94" s="67">
        <f>SUM($AB94:AB$96)</f>
        <v>0</v>
      </c>
      <c r="AD94" s="4">
        <f t="shared" si="7"/>
        <v>0</v>
      </c>
    </row>
    <row r="95" spans="1:30" ht="15" thickBot="1">
      <c r="B95">
        <v>0.27294422695580461</v>
      </c>
      <c r="C95" s="149">
        <v>29</v>
      </c>
      <c r="D95" s="85">
        <f>'Wing aero load'!D102*'Wing and Engine Torque'!$E$23*B95</f>
        <v>-2176017.9301321954</v>
      </c>
      <c r="E95" s="52">
        <f>$E$28*'Wing aero load'!E102/(2*SUM('Wing aero load'!$E$44:$E$80)*0.1)</f>
        <v>-6684.344473945509</v>
      </c>
      <c r="F95" s="52">
        <f>$E$25*B95*$E$24*9.81*$K$26/'Wing aero load'!$D$31</f>
        <v>-861047.06753019651</v>
      </c>
      <c r="G95" s="211">
        <f>'Wing inertia load'!E104*'Wing and Engine Torque'!$E$26*B95/1.65</f>
        <v>0</v>
      </c>
      <c r="H95" s="86">
        <v>0</v>
      </c>
      <c r="I95" s="52">
        <f t="shared" si="0"/>
        <v>-326402.68951983005</v>
      </c>
      <c r="J95" s="52">
        <f t="shared" si="1"/>
        <v>-1002.6516710918287</v>
      </c>
      <c r="K95" s="52">
        <f t="shared" si="2"/>
        <v>-129157.06012952978</v>
      </c>
      <c r="L95" s="52">
        <f t="shared" si="3"/>
        <v>0</v>
      </c>
      <c r="M95" s="211">
        <f>0</f>
        <v>0</v>
      </c>
      <c r="N95" s="67">
        <f t="shared" si="4"/>
        <v>-1458211.4207411886</v>
      </c>
      <c r="O95" s="67">
        <f>SUM($N95:N$96)</f>
        <v>-1458211.4207411886</v>
      </c>
      <c r="Y95" s="4">
        <f t="shared" si="5"/>
        <v>-1458.2114207411885</v>
      </c>
      <c r="AA95" s="211">
        <f>0</f>
        <v>0</v>
      </c>
      <c r="AB95" s="67">
        <f t="shared" si="6"/>
        <v>0</v>
      </c>
      <c r="AC95" s="67">
        <f>SUM($AB95:AB$96)</f>
        <v>0</v>
      </c>
      <c r="AD95" s="4">
        <f t="shared" si="7"/>
        <v>0</v>
      </c>
    </row>
    <row r="96" spans="1:30" ht="15" thickBot="1">
      <c r="B96">
        <v>0</v>
      </c>
      <c r="C96" s="149">
        <v>29.3</v>
      </c>
      <c r="D96" s="85">
        <f>'Wing aero load'!D103*'Wing and Engine Torque'!$E$23*B96</f>
        <v>0</v>
      </c>
      <c r="E96" s="52">
        <f>$E$28*'Wing aero load'!E103/(2*SUM('Wing aero load'!$E$44:$E$80)*0.1)</f>
        <v>0</v>
      </c>
      <c r="F96" s="52">
        <f>$E$25*B96*$E$24*9.81*$K$26/'Wing aero load'!$D$31</f>
        <v>0</v>
      </c>
      <c r="G96" s="211">
        <f>'Wing inertia load'!E105*'Wing and Engine Torque'!$E$26*B96/1.65</f>
        <v>0</v>
      </c>
      <c r="H96" s="86">
        <v>0</v>
      </c>
      <c r="I96" s="52">
        <f t="shared" si="0"/>
        <v>0</v>
      </c>
      <c r="J96" s="52">
        <f t="shared" si="1"/>
        <v>0</v>
      </c>
      <c r="K96" s="52">
        <f t="shared" si="2"/>
        <v>0</v>
      </c>
      <c r="L96" s="52">
        <f t="shared" si="3"/>
        <v>0</v>
      </c>
      <c r="M96" s="211">
        <f>0</f>
        <v>0</v>
      </c>
      <c r="N96" s="67">
        <f t="shared" si="4"/>
        <v>0</v>
      </c>
      <c r="O96" s="67">
        <f>SUM($N96:N$96)</f>
        <v>0</v>
      </c>
      <c r="Y96" s="4">
        <f t="shared" si="5"/>
        <v>0</v>
      </c>
      <c r="AA96" s="211">
        <f>0</f>
        <v>0</v>
      </c>
      <c r="AB96" s="67">
        <f t="shared" si="6"/>
        <v>0</v>
      </c>
      <c r="AC96" s="67">
        <f>SUM($AB96:AB$96)</f>
        <v>0</v>
      </c>
      <c r="AD96" s="4">
        <f t="shared" si="7"/>
        <v>0</v>
      </c>
    </row>
    <row r="102" spans="1:11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>
      <c r="A103" s="164" t="s">
        <v>271</v>
      </c>
      <c r="C103" s="287" t="s">
        <v>275</v>
      </c>
      <c r="D103" s="289"/>
      <c r="E103" s="289"/>
      <c r="F103" s="288"/>
      <c r="H103" s="287" t="s">
        <v>276</v>
      </c>
      <c r="I103" s="288"/>
    </row>
    <row r="104" spans="1:11">
      <c r="A104" s="290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>
      <c r="A105" s="291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-817447036.10968983</v>
      </c>
    </row>
    <row r="106" spans="1:11">
      <c r="A106" s="291"/>
      <c r="C106" s="6" t="s">
        <v>167</v>
      </c>
      <c r="D106" s="6" t="s">
        <v>168</v>
      </c>
      <c r="E106" s="52">
        <f>E28/2</f>
        <v>-527921.1740817409</v>
      </c>
      <c r="F106" s="6" t="s">
        <v>169</v>
      </c>
      <c r="H106" s="6" t="s">
        <v>167</v>
      </c>
      <c r="I106" s="52">
        <f>SUM(J37:J77)</f>
        <v>-2857516.328141999</v>
      </c>
    </row>
    <row r="107" spans="1:11">
      <c r="A107" s="291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-54938248.715821058</v>
      </c>
    </row>
    <row r="108" spans="1:11">
      <c r="A108" s="291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>
      <c r="A109" s="291"/>
      <c r="C109" s="6" t="s">
        <v>174</v>
      </c>
      <c r="D109" s="6" t="s">
        <v>175</v>
      </c>
      <c r="E109" s="52">
        <f>K25*9.81*E27*K26</f>
        <v>-78412556.25</v>
      </c>
      <c r="F109" s="6" t="s">
        <v>156</v>
      </c>
      <c r="H109" s="6" t="s">
        <v>174</v>
      </c>
      <c r="I109" s="52">
        <f>SUM(H37:H96)</f>
        <v>-156974067.45999998</v>
      </c>
    </row>
    <row r="110" spans="1:11">
      <c r="A110" s="292"/>
    </row>
  </sheetData>
  <mergeCells count="14">
    <mergeCell ref="B1:E1"/>
    <mergeCell ref="F1:G1"/>
    <mergeCell ref="H1:Z1"/>
    <mergeCell ref="A4:A19"/>
    <mergeCell ref="C21:F21"/>
    <mergeCell ref="I21:L21"/>
    <mergeCell ref="N21:Q21"/>
    <mergeCell ref="A104:A110"/>
    <mergeCell ref="A22:A33"/>
    <mergeCell ref="D35:G35"/>
    <mergeCell ref="H35:M35"/>
    <mergeCell ref="A36:A44"/>
    <mergeCell ref="C103:F103"/>
    <mergeCell ref="H103:I103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BBC97E-DCEA-4C80-85FC-D143363162D2}">
          <x14:formula1>
            <xm:f>' n-V diagram'!$H$42:$H$45</xm:f>
          </x14:formula1>
          <xm:sqref>G23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B50A-B306-4BF8-9F77-972E309ACAFA}">
  <dimension ref="A1:AM110"/>
  <sheetViews>
    <sheetView zoomScale="130" zoomScaleNormal="130" workbookViewId="0">
      <pane xSplit="1" ySplit="1" topLeftCell="AD37" activePane="bottomRight" state="frozen"/>
      <selection pane="topRight" activeCell="B1" sqref="B1"/>
      <selection pane="bottomLeft" activeCell="A2" sqref="A2"/>
      <selection pane="bottomRight" activeCell="AI54" sqref="AI54"/>
    </sheetView>
  </sheetViews>
  <sheetFormatPr defaultColWidth="8.83203125" defaultRowHeight="14.5"/>
  <cols>
    <col min="1" max="1" width="25.6640625" style="50" customWidth="1"/>
    <col min="2" max="2" width="8.83203125" style="4"/>
    <col min="3" max="3" width="23.83203125" style="4" bestFit="1" customWidth="1"/>
    <col min="4" max="4" width="12.9140625" style="4" bestFit="1" customWidth="1"/>
    <col min="5" max="5" width="17.83203125" style="4" bestFit="1" customWidth="1"/>
    <col min="6" max="6" width="19.33203125" style="4" bestFit="1" customWidth="1"/>
    <col min="7" max="7" width="19" style="4" bestFit="1" customWidth="1"/>
    <col min="8" max="8" width="20.83203125" style="4" bestFit="1" customWidth="1"/>
    <col min="9" max="9" width="14.83203125" style="4" bestFit="1" customWidth="1"/>
    <col min="10" max="10" width="15" style="4" bestFit="1" customWidth="1"/>
    <col min="11" max="11" width="18.25" style="4" bestFit="1" customWidth="1"/>
    <col min="12" max="12" width="15.83203125" style="4" customWidth="1"/>
    <col min="13" max="13" width="16.33203125" style="4" bestFit="1" customWidth="1"/>
    <col min="14" max="14" width="15" style="4" bestFit="1" customWidth="1"/>
    <col min="15" max="15" width="16.08203125" style="4" bestFit="1" customWidth="1"/>
    <col min="16" max="16" width="9.6640625" style="4" customWidth="1"/>
    <col min="17" max="17" width="9.6640625" style="4" bestFit="1" customWidth="1"/>
    <col min="18" max="18" width="17" style="4" customWidth="1"/>
    <col min="19" max="19" width="9" style="4" bestFit="1" customWidth="1"/>
    <col min="20" max="20" width="10.6640625" style="4" bestFit="1" customWidth="1"/>
    <col min="21" max="21" width="9.1640625" style="4" customWidth="1"/>
    <col min="22" max="22" width="9.6640625" style="4" customWidth="1"/>
    <col min="23" max="23" width="9" style="4" bestFit="1" customWidth="1"/>
    <col min="24" max="25" width="9.1640625" style="4" bestFit="1" customWidth="1"/>
    <col min="26" max="26" width="10.1640625" style="4" customWidth="1"/>
    <col min="27" max="33" width="8.83203125" style="4" bestFit="1" customWidth="1"/>
    <col min="34" max="16384" width="8.83203125" style="4"/>
  </cols>
  <sheetData>
    <row r="1" spans="1:26" s="30" customFormat="1" ht="39" customHeight="1" thickBot="1">
      <c r="A1" s="161"/>
      <c r="B1" s="252" t="s">
        <v>115</v>
      </c>
      <c r="C1" s="252"/>
      <c r="D1" s="252"/>
      <c r="E1" s="253"/>
      <c r="F1" s="254" t="s">
        <v>9</v>
      </c>
      <c r="G1" s="255"/>
      <c r="H1" s="267" t="s">
        <v>277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</row>
    <row r="2" spans="1:26">
      <c r="A2" s="144"/>
      <c r="V2" s="63"/>
    </row>
    <row r="3" spans="1:26">
      <c r="A3" s="159" t="s">
        <v>225</v>
      </c>
    </row>
    <row r="4" spans="1:26">
      <c r="A4" s="290" t="s">
        <v>268</v>
      </c>
    </row>
    <row r="5" spans="1:26">
      <c r="A5" s="249"/>
    </row>
    <row r="6" spans="1:26">
      <c r="A6" s="249"/>
    </row>
    <row r="7" spans="1:26">
      <c r="A7" s="296"/>
    </row>
    <row r="8" spans="1:26">
      <c r="A8" s="296"/>
    </row>
    <row r="9" spans="1:26">
      <c r="A9" s="296"/>
    </row>
    <row r="10" spans="1:26">
      <c r="A10" s="296"/>
    </row>
    <row r="11" spans="1:26">
      <c r="A11" s="296"/>
    </row>
    <row r="12" spans="1:26">
      <c r="A12" s="296"/>
    </row>
    <row r="13" spans="1:26">
      <c r="A13" s="296"/>
    </row>
    <row r="14" spans="1:26" ht="16" customHeight="1">
      <c r="A14" s="296"/>
    </row>
    <row r="15" spans="1:26">
      <c r="A15" s="296"/>
    </row>
    <row r="16" spans="1:26">
      <c r="A16" s="296"/>
    </row>
    <row r="17" spans="1:22">
      <c r="A17" s="296"/>
    </row>
    <row r="18" spans="1:22">
      <c r="A18" s="296"/>
    </row>
    <row r="19" spans="1:22" s="143" customFormat="1">
      <c r="A19" s="297"/>
    </row>
    <row r="21" spans="1:22">
      <c r="A21" s="159" t="s">
        <v>234</v>
      </c>
      <c r="C21" s="299" t="s">
        <v>262</v>
      </c>
      <c r="D21" s="300"/>
      <c r="E21" s="300"/>
      <c r="F21" s="300"/>
      <c r="I21" s="261" t="s">
        <v>263</v>
      </c>
      <c r="J21" s="264"/>
      <c r="K21" s="264"/>
      <c r="L21" s="262"/>
      <c r="N21" s="261" t="s">
        <v>264</v>
      </c>
      <c r="O21" s="264"/>
      <c r="P21" s="264"/>
      <c r="Q21" s="262"/>
    </row>
    <row r="22" spans="1:22">
      <c r="A22" s="290" t="s">
        <v>270</v>
      </c>
      <c r="C22" s="65" t="s">
        <v>117</v>
      </c>
      <c r="D22" s="65" t="s">
        <v>118</v>
      </c>
      <c r="E22" s="65" t="s">
        <v>18</v>
      </c>
      <c r="F22" s="65" t="s">
        <v>19</v>
      </c>
      <c r="G22" s="6" t="s">
        <v>116</v>
      </c>
      <c r="I22" s="13" t="s">
        <v>117</v>
      </c>
      <c r="J22" s="13" t="s">
        <v>118</v>
      </c>
      <c r="K22" s="13" t="s">
        <v>18</v>
      </c>
      <c r="L22" s="13" t="s">
        <v>19</v>
      </c>
      <c r="N22" s="13" t="s">
        <v>117</v>
      </c>
      <c r="O22" s="13" t="s">
        <v>118</v>
      </c>
      <c r="P22" s="13" t="s">
        <v>18</v>
      </c>
      <c r="Q22" s="13" t="s">
        <v>19</v>
      </c>
      <c r="V22" s="51"/>
    </row>
    <row r="23" spans="1:22">
      <c r="A23" s="291"/>
      <c r="C23" s="6" t="s">
        <v>119</v>
      </c>
      <c r="D23" s="6" t="s">
        <v>120</v>
      </c>
      <c r="E23" s="52">
        <v>400</v>
      </c>
      <c r="F23" s="6" t="s">
        <v>121</v>
      </c>
      <c r="G23" s="64" t="s">
        <v>37</v>
      </c>
      <c r="I23" s="6" t="s">
        <v>122</v>
      </c>
      <c r="J23" s="6" t="s">
        <v>123</v>
      </c>
      <c r="K23" s="52">
        <f>' n-V diagram'!G8*9.81/2</f>
        <v>2108659.5</v>
      </c>
      <c r="L23" s="6" t="s">
        <v>80</v>
      </c>
      <c r="N23" s="6" t="s">
        <v>124</v>
      </c>
      <c r="O23" s="6" t="s">
        <v>125</v>
      </c>
      <c r="P23" s="6">
        <v>61686.7</v>
      </c>
      <c r="Q23" s="6" t="s">
        <v>126</v>
      </c>
    </row>
    <row r="24" spans="1:22">
      <c r="A24" s="291"/>
      <c r="C24" s="6" t="s">
        <v>127</v>
      </c>
      <c r="D24" s="6" t="s">
        <v>128</v>
      </c>
      <c r="E24" s="52">
        <v>15709</v>
      </c>
      <c r="F24" s="6" t="s">
        <v>129</v>
      </c>
      <c r="I24" s="6" t="s">
        <v>130</v>
      </c>
      <c r="J24" s="6" t="s">
        <v>131</v>
      </c>
      <c r="K24" s="52">
        <f>'Wing inertia load'!D33*'Wing inertia load'!D38/1000</f>
        <v>35040.300000000003</v>
      </c>
      <c r="L24" s="6" t="s">
        <v>129</v>
      </c>
      <c r="N24" s="56" t="s">
        <v>132</v>
      </c>
      <c r="O24" s="6" t="s">
        <v>133</v>
      </c>
      <c r="P24" s="6">
        <v>206516.3</v>
      </c>
      <c r="Q24" s="6" t="s">
        <v>126</v>
      </c>
    </row>
    <row r="25" spans="1:22">
      <c r="A25" s="291"/>
      <c r="C25" s="6" t="s">
        <v>134</v>
      </c>
      <c r="D25" s="6" t="s">
        <v>135</v>
      </c>
      <c r="E25" s="52">
        <v>400</v>
      </c>
      <c r="F25" s="6" t="s">
        <v>121</v>
      </c>
      <c r="I25" s="6" t="s">
        <v>136</v>
      </c>
      <c r="J25" s="6" t="s">
        <v>137</v>
      </c>
      <c r="K25" s="52">
        <f>'Wing inertia load'!I32/9.81</f>
        <v>6125</v>
      </c>
      <c r="L25" s="6" t="s">
        <v>129</v>
      </c>
      <c r="N25" s="147" t="s">
        <v>138</v>
      </c>
      <c r="O25" s="55" t="s">
        <v>139</v>
      </c>
      <c r="P25" s="6">
        <v>791</v>
      </c>
      <c r="Q25" s="6" t="s">
        <v>121</v>
      </c>
    </row>
    <row r="26" spans="1:22">
      <c r="A26" s="291"/>
      <c r="C26" s="6" t="s">
        <v>140</v>
      </c>
      <c r="D26" s="56" t="s">
        <v>141</v>
      </c>
      <c r="E26" s="52">
        <v>300</v>
      </c>
      <c r="F26" s="6" t="s">
        <v>121</v>
      </c>
      <c r="I26" s="6" t="s">
        <v>142</v>
      </c>
      <c r="J26" s="6" t="s">
        <v>143</v>
      </c>
      <c r="K26" s="52">
        <v>2.8199000000000001</v>
      </c>
      <c r="L26" s="6"/>
      <c r="N26" s="148" t="s">
        <v>138</v>
      </c>
      <c r="O26" s="55" t="s">
        <v>144</v>
      </c>
      <c r="P26" s="6">
        <v>2647.6</v>
      </c>
      <c r="Q26" s="6" t="s">
        <v>121</v>
      </c>
    </row>
    <row r="27" spans="1:22">
      <c r="A27" s="291"/>
      <c r="C27" s="66" t="s">
        <v>145</v>
      </c>
      <c r="D27" s="6" t="s">
        <v>146</v>
      </c>
      <c r="E27" s="67">
        <v>870</v>
      </c>
      <c r="F27" s="6" t="s">
        <v>121</v>
      </c>
      <c r="N27" s="57" t="s">
        <v>147</v>
      </c>
      <c r="O27" s="6" t="s">
        <v>148</v>
      </c>
      <c r="P27" s="6">
        <v>260</v>
      </c>
      <c r="Q27" s="6" t="s">
        <v>121</v>
      </c>
    </row>
    <row r="28" spans="1:22">
      <c r="A28" s="291"/>
      <c r="C28" s="6" t="s">
        <v>149</v>
      </c>
      <c r="D28" s="57" t="s">
        <v>150</v>
      </c>
      <c r="E28" s="52">
        <f>VLOOKUP('Wing and Engine Torque Landing'!G23,' n-V diagram'!H42:K47,3,FALSE)</f>
        <v>-1055842.3481634818</v>
      </c>
      <c r="F28" s="6" t="s">
        <v>151</v>
      </c>
      <c r="N28" s="6" t="s">
        <v>152</v>
      </c>
      <c r="O28" s="6" t="s">
        <v>153</v>
      </c>
      <c r="P28" s="6">
        <v>120</v>
      </c>
      <c r="Q28" s="6" t="s">
        <v>121</v>
      </c>
    </row>
    <row r="29" spans="1:22">
      <c r="A29" s="291"/>
      <c r="C29" s="6" t="s">
        <v>154</v>
      </c>
      <c r="D29" s="6" t="s">
        <v>155</v>
      </c>
      <c r="E29" s="52">
        <f>E23*K23+E25*E24*9.81*K26-K24*E26*9.81*K26-K25*E27*9.81*K26+E28*1000</f>
        <v>-476762571.31904185</v>
      </c>
      <c r="F29" s="6" t="s">
        <v>156</v>
      </c>
      <c r="N29" s="6" t="s">
        <v>157</v>
      </c>
      <c r="O29" s="6" t="s">
        <v>158</v>
      </c>
      <c r="P29" s="6">
        <f>P30*1000/P28</f>
        <v>-3973021427.6586823</v>
      </c>
      <c r="Q29" s="6" t="s">
        <v>80</v>
      </c>
    </row>
    <row r="30" spans="1:22">
      <c r="A30" s="291"/>
      <c r="C30" s="6" t="s">
        <v>159</v>
      </c>
      <c r="D30" s="6" t="s">
        <v>160</v>
      </c>
      <c r="E30" s="52">
        <v>15</v>
      </c>
      <c r="F30" s="6" t="s">
        <v>121</v>
      </c>
      <c r="N30" s="6" t="s">
        <v>161</v>
      </c>
      <c r="O30" s="6" t="s">
        <v>155</v>
      </c>
      <c r="P30" s="6">
        <f>E29</f>
        <v>-476762571.31904185</v>
      </c>
      <c r="Q30" s="6" t="s">
        <v>151</v>
      </c>
    </row>
    <row r="31" spans="1:22">
      <c r="A31" s="291"/>
      <c r="C31" s="56" t="s">
        <v>162</v>
      </c>
      <c r="D31" s="56" t="s">
        <v>163</v>
      </c>
      <c r="E31" s="152">
        <v>7</v>
      </c>
      <c r="F31" s="56" t="s">
        <v>121</v>
      </c>
    </row>
    <row r="32" spans="1:22" ht="15" customHeight="1">
      <c r="A32" s="291"/>
      <c r="C32" s="148" t="s">
        <v>162</v>
      </c>
      <c r="D32" s="148" t="s">
        <v>164</v>
      </c>
      <c r="E32" s="150">
        <v>7</v>
      </c>
      <c r="F32" s="148" t="s">
        <v>121</v>
      </c>
      <c r="S32" s="63"/>
    </row>
    <row r="33" spans="1:39">
      <c r="A33" s="292"/>
    </row>
    <row r="34" spans="1:39" s="160" customFormat="1" ht="15" thickBot="1">
      <c r="A34" s="50"/>
    </row>
    <row r="35" spans="1:39" ht="15" thickBot="1">
      <c r="A35" s="163" t="s">
        <v>269</v>
      </c>
      <c r="B35" s="225" t="s">
        <v>325</v>
      </c>
      <c r="D35" s="293" t="s">
        <v>238</v>
      </c>
      <c r="E35" s="294"/>
      <c r="F35" s="294"/>
      <c r="G35" s="295"/>
      <c r="H35" s="293" t="s">
        <v>266</v>
      </c>
      <c r="I35" s="294"/>
      <c r="J35" s="294"/>
      <c r="K35" s="294"/>
      <c r="L35" s="294"/>
      <c r="M35" s="295"/>
      <c r="N35" s="151"/>
    </row>
    <row r="36" spans="1:39" ht="58">
      <c r="A36" s="290" t="s">
        <v>273</v>
      </c>
      <c r="B36" s="226" t="s">
        <v>327</v>
      </c>
      <c r="C36" s="210" t="s">
        <v>226</v>
      </c>
      <c r="D36" s="213" t="s">
        <v>230</v>
      </c>
      <c r="E36" s="214" t="s">
        <v>231</v>
      </c>
      <c r="F36" s="214" t="s">
        <v>232</v>
      </c>
      <c r="G36" s="215" t="s">
        <v>233</v>
      </c>
      <c r="H36" s="216" t="s">
        <v>265</v>
      </c>
      <c r="I36" s="214" t="s">
        <v>165</v>
      </c>
      <c r="J36" s="214" t="s">
        <v>235</v>
      </c>
      <c r="K36" s="214" t="s">
        <v>236</v>
      </c>
      <c r="L36" s="217" t="s">
        <v>237</v>
      </c>
      <c r="M36" s="218" t="s">
        <v>330</v>
      </c>
      <c r="N36" s="218" t="s">
        <v>267</v>
      </c>
      <c r="O36" s="209" t="s">
        <v>274</v>
      </c>
      <c r="Y36" s="209" t="s">
        <v>328</v>
      </c>
      <c r="AA36" s="218" t="s">
        <v>330</v>
      </c>
      <c r="AB36" s="218" t="s">
        <v>267</v>
      </c>
      <c r="AC36" s="209" t="s">
        <v>274</v>
      </c>
    </row>
    <row r="37" spans="1:39">
      <c r="A37" s="298"/>
      <c r="B37">
        <v>1</v>
      </c>
      <c r="C37" s="149">
        <v>0</v>
      </c>
      <c r="D37" s="85">
        <f>0</f>
        <v>0</v>
      </c>
      <c r="E37" s="52">
        <f>0</f>
        <v>0</v>
      </c>
      <c r="F37" s="52">
        <f>$E$25*B37*$E$24*9.81*$K$26/'Wing aero load'!$D$31</f>
        <v>5930556.2234186288</v>
      </c>
      <c r="G37" s="211">
        <f>'Wing inertia load'!E46*'Wing and Engine Torque Landing'!$E$26*B37/1.65</f>
        <v>0</v>
      </c>
      <c r="H37" s="85">
        <v>0</v>
      </c>
      <c r="I37" s="52">
        <f>(D38+D37)*(C38-C37)/2</f>
        <v>0</v>
      </c>
      <c r="J37" s="52">
        <f>(E38+E37)*(C38-C37)/2</f>
        <v>0</v>
      </c>
      <c r="K37" s="52">
        <f>(F38+F37)*(C38-C37)/2</f>
        <v>2934280.7241657907</v>
      </c>
      <c r="L37" s="52">
        <f>(G38+G37)*(C38-C37)/2</f>
        <v>0</v>
      </c>
      <c r="M37" s="211">
        <f>0</f>
        <v>0</v>
      </c>
      <c r="N37" s="67">
        <f>I37+J37*1000+K37-L37-H37+M37</f>
        <v>2934280.7241657907</v>
      </c>
      <c r="O37" s="67">
        <f>SUM($N37:N$96)</f>
        <v>-1682432856.2666709</v>
      </c>
      <c r="Y37" s="4">
        <f>O37/1000</f>
        <v>-1682432.8562666709</v>
      </c>
      <c r="AA37" s="211">
        <f>0</f>
        <v>0</v>
      </c>
      <c r="AB37" s="67">
        <f>M37</f>
        <v>0</v>
      </c>
      <c r="AC37" s="67">
        <f>SUM($AB37:AB$96)</f>
        <v>-301650560</v>
      </c>
      <c r="AD37" s="4">
        <f>AC37/1000</f>
        <v>-301650.56</v>
      </c>
      <c r="AM37" s="4">
        <v>-1380782.296266671</v>
      </c>
    </row>
    <row r="38" spans="1:39">
      <c r="A38" s="298"/>
      <c r="B38">
        <v>0.9790930992805561</v>
      </c>
      <c r="C38" s="149">
        <v>0.5</v>
      </c>
      <c r="D38" s="85">
        <f>0</f>
        <v>0</v>
      </c>
      <c r="E38" s="52">
        <f>0</f>
        <v>0</v>
      </c>
      <c r="F38" s="52">
        <f>$E$25*B38*$E$24*9.81*$K$26/'Wing aero load'!$D$31</f>
        <v>5806566.673244535</v>
      </c>
      <c r="G38" s="211">
        <f>'Wing inertia load'!E47*'Wing and Engine Torque Landing'!$E$26*B38/1.65</f>
        <v>0</v>
      </c>
      <c r="H38" s="85">
        <v>0</v>
      </c>
      <c r="I38" s="52">
        <f t="shared" ref="I38:I96" si="0">(D39+D38)*(C39-C38)/2</f>
        <v>0</v>
      </c>
      <c r="J38" s="52">
        <f t="shared" ref="J38:J96" si="1">(E39+E38)*(C39-C38)/2</f>
        <v>0</v>
      </c>
      <c r="K38" s="52">
        <f t="shared" ref="K38:K96" si="2">(F39+F38)*(C39-C38)/2</f>
        <v>2872285.9490787452</v>
      </c>
      <c r="L38" s="52">
        <f t="shared" ref="L38:L96" si="3">(G39+G38)*(C39-C38)/2</f>
        <v>0</v>
      </c>
      <c r="M38" s="211">
        <f>0</f>
        <v>0</v>
      </c>
      <c r="N38" s="67">
        <f t="shared" ref="N38:N96" si="4">I38+J38*1000+K38-L38-H38+M38</f>
        <v>2872285.9490787452</v>
      </c>
      <c r="O38" s="67">
        <f>SUM($N38:N$96)</f>
        <v>-1685367136.9908366</v>
      </c>
      <c r="Y38" s="4">
        <f t="shared" ref="Y38:Y96" si="5">O38/1000</f>
        <v>-1685367.1369908366</v>
      </c>
      <c r="AA38" s="211">
        <f>0</f>
        <v>0</v>
      </c>
      <c r="AB38" s="67">
        <f t="shared" ref="AB38:AB96" si="6">M38</f>
        <v>0</v>
      </c>
      <c r="AC38" s="67">
        <f>SUM($AB38:AB$96)</f>
        <v>-301650560</v>
      </c>
      <c r="AD38" s="4">
        <f t="shared" ref="AD38:AD96" si="7">AC38/1000</f>
        <v>-301650.56</v>
      </c>
      <c r="AM38" s="4">
        <v>-1383716.5769908365</v>
      </c>
    </row>
    <row r="39" spans="1:39">
      <c r="A39" s="298"/>
      <c r="B39">
        <v>0.95818619856111253</v>
      </c>
      <c r="C39" s="149">
        <v>1</v>
      </c>
      <c r="D39" s="85">
        <f>0</f>
        <v>0</v>
      </c>
      <c r="E39" s="52">
        <f>0</f>
        <v>0</v>
      </c>
      <c r="F39" s="52">
        <f>$E$25*B39*$E$24*9.81*$K$26/'Wing aero load'!$D$31</f>
        <v>5682577.1230704449</v>
      </c>
      <c r="G39" s="211">
        <f>'Wing inertia load'!E48*'Wing and Engine Torque Landing'!$E$26*B39/1.65</f>
        <v>0</v>
      </c>
      <c r="H39" s="85">
        <v>0</v>
      </c>
      <c r="I39" s="52">
        <f t="shared" si="0"/>
        <v>0</v>
      </c>
      <c r="J39" s="52">
        <f t="shared" si="1"/>
        <v>0</v>
      </c>
      <c r="K39" s="52">
        <f t="shared" si="2"/>
        <v>2810291.1739916978</v>
      </c>
      <c r="L39" s="52">
        <f t="shared" si="3"/>
        <v>0</v>
      </c>
      <c r="M39" s="211">
        <f>0</f>
        <v>0</v>
      </c>
      <c r="N39" s="67">
        <f t="shared" si="4"/>
        <v>2810291.1739916978</v>
      </c>
      <c r="O39" s="67">
        <f>SUM($N39:N$96)</f>
        <v>-1688239422.9399154</v>
      </c>
      <c r="Y39" s="4">
        <f t="shared" si="5"/>
        <v>-1688239.4229399154</v>
      </c>
      <c r="AA39" s="211">
        <f>0</f>
        <v>0</v>
      </c>
      <c r="AB39" s="67">
        <f t="shared" si="6"/>
        <v>0</v>
      </c>
      <c r="AC39" s="67">
        <f>SUM($AB39:AB$96)</f>
        <v>-301650560</v>
      </c>
      <c r="AD39" s="4">
        <f t="shared" si="7"/>
        <v>-301650.56</v>
      </c>
      <c r="AM39" s="4">
        <v>-1386588.8629399154</v>
      </c>
    </row>
    <row r="40" spans="1:39">
      <c r="A40" s="298"/>
      <c r="B40">
        <v>0.93727929784166797</v>
      </c>
      <c r="C40" s="149">
        <v>1.5</v>
      </c>
      <c r="D40" s="85">
        <f>0</f>
        <v>0</v>
      </c>
      <c r="E40" s="52">
        <f>0</f>
        <v>0</v>
      </c>
      <c r="F40" s="52">
        <f>$E$25*B40*$E$24*9.81*$K$26/'Wing aero load'!$D$31</f>
        <v>5558587.5728963474</v>
      </c>
      <c r="G40" s="211">
        <f>'Wing inertia load'!E49*'Wing and Engine Torque Landing'!$E$26*B40/1.65</f>
        <v>0</v>
      </c>
      <c r="H40" s="85">
        <v>0</v>
      </c>
      <c r="I40" s="52">
        <f t="shared" si="0"/>
        <v>0</v>
      </c>
      <c r="J40" s="52">
        <f t="shared" si="1"/>
        <v>0</v>
      </c>
      <c r="K40" s="52">
        <f t="shared" si="2"/>
        <v>2748296.3989046505</v>
      </c>
      <c r="L40" s="52">
        <f t="shared" si="3"/>
        <v>0</v>
      </c>
      <c r="M40" s="211">
        <f>0</f>
        <v>0</v>
      </c>
      <c r="N40" s="67">
        <f t="shared" si="4"/>
        <v>2748296.3989046505</v>
      </c>
      <c r="O40" s="67">
        <f>SUM($N40:N$96)</f>
        <v>-1691049714.1139071</v>
      </c>
      <c r="Y40" s="4">
        <f t="shared" si="5"/>
        <v>-1691049.7141139072</v>
      </c>
      <c r="AA40" s="211">
        <f>0</f>
        <v>0</v>
      </c>
      <c r="AB40" s="67">
        <f t="shared" si="6"/>
        <v>0</v>
      </c>
      <c r="AC40" s="67">
        <f>SUM($AB40:AB$96)</f>
        <v>-301650560</v>
      </c>
      <c r="AD40" s="4">
        <f t="shared" si="7"/>
        <v>-301650.56</v>
      </c>
      <c r="AM40" s="4">
        <v>-1389399.1541139071</v>
      </c>
    </row>
    <row r="41" spans="1:39">
      <c r="A41" s="298"/>
      <c r="B41">
        <v>0.91637239712222418</v>
      </c>
      <c r="C41" s="149">
        <v>2</v>
      </c>
      <c r="D41" s="85">
        <f>0</f>
        <v>0</v>
      </c>
      <c r="E41" s="52">
        <f>0</f>
        <v>0</v>
      </c>
      <c r="F41" s="52">
        <f>$E$25*B41*$E$24*9.81*$K$26/'Wing aero load'!$D$31</f>
        <v>5434598.0227222545</v>
      </c>
      <c r="G41" s="211">
        <f>'Wing inertia load'!E50*'Wing and Engine Torque Landing'!$E$26*B41/1.65</f>
        <v>0</v>
      </c>
      <c r="H41" s="85">
        <v>0</v>
      </c>
      <c r="I41" s="52">
        <f t="shared" si="0"/>
        <v>0</v>
      </c>
      <c r="J41" s="52">
        <f t="shared" si="1"/>
        <v>0</v>
      </c>
      <c r="K41" s="52">
        <f t="shared" si="2"/>
        <v>2686301.623817604</v>
      </c>
      <c r="L41" s="52">
        <f t="shared" si="3"/>
        <v>0</v>
      </c>
      <c r="M41" s="211">
        <f>0</f>
        <v>0</v>
      </c>
      <c r="N41" s="67">
        <f t="shared" si="4"/>
        <v>2686301.623817604</v>
      </c>
      <c r="O41" s="67">
        <f>SUM($N41:N$96)</f>
        <v>-1693798010.5128117</v>
      </c>
      <c r="Y41" s="4">
        <f t="shared" si="5"/>
        <v>-1693798.0105128116</v>
      </c>
      <c r="AA41" s="211">
        <f>0</f>
        <v>0</v>
      </c>
      <c r="AB41" s="67">
        <f t="shared" si="6"/>
        <v>0</v>
      </c>
      <c r="AC41" s="67">
        <f>SUM($AB41:AB$96)</f>
        <v>-301650560</v>
      </c>
      <c r="AD41" s="4">
        <f t="shared" si="7"/>
        <v>-301650.56</v>
      </c>
      <c r="AM41" s="4">
        <v>-1392147.4505128118</v>
      </c>
    </row>
    <row r="42" spans="1:39">
      <c r="A42" s="298"/>
      <c r="B42">
        <v>0.89546549640278061</v>
      </c>
      <c r="C42" s="149">
        <v>2.5</v>
      </c>
      <c r="D42" s="85">
        <f>0</f>
        <v>0</v>
      </c>
      <c r="E42" s="52">
        <f>0</f>
        <v>0</v>
      </c>
      <c r="F42" s="52">
        <f>$E$25*B42*$E$24*9.81*$K$26/'Wing aero load'!$D$31</f>
        <v>5310608.4725481616</v>
      </c>
      <c r="G42" s="211">
        <f>'Wing inertia load'!E51*'Wing and Engine Torque Landing'!$E$26*B42/1.65</f>
        <v>0</v>
      </c>
      <c r="H42" s="85">
        <v>0</v>
      </c>
      <c r="I42" s="52">
        <f t="shared" si="0"/>
        <v>0</v>
      </c>
      <c r="J42" s="52">
        <f t="shared" si="1"/>
        <v>0</v>
      </c>
      <c r="K42" s="52">
        <f t="shared" si="2"/>
        <v>2624306.8487305576</v>
      </c>
      <c r="L42" s="52">
        <f t="shared" si="3"/>
        <v>0</v>
      </c>
      <c r="M42" s="211">
        <f>0</f>
        <v>0</v>
      </c>
      <c r="N42" s="67">
        <f t="shared" si="4"/>
        <v>2624306.8487305576</v>
      </c>
      <c r="O42" s="67">
        <f>SUM($N42:N$96)</f>
        <v>-1696484312.1366293</v>
      </c>
      <c r="Y42" s="4">
        <f t="shared" si="5"/>
        <v>-1696484.3121366294</v>
      </c>
      <c r="AA42" s="211">
        <f>0</f>
        <v>0</v>
      </c>
      <c r="AB42" s="67">
        <f t="shared" si="6"/>
        <v>0</v>
      </c>
      <c r="AC42" s="67">
        <f>SUM($AB42:AB$96)</f>
        <v>-301650560</v>
      </c>
      <c r="AD42" s="4">
        <f t="shared" si="7"/>
        <v>-301650.56</v>
      </c>
      <c r="AM42" s="4">
        <v>-1394833.7521366293</v>
      </c>
    </row>
    <row r="43" spans="1:39">
      <c r="A43" s="298"/>
      <c r="B43">
        <v>0.87455859568333671</v>
      </c>
      <c r="C43" s="149">
        <v>3</v>
      </c>
      <c r="D43" s="85">
        <f>0</f>
        <v>0</v>
      </c>
      <c r="E43" s="52">
        <f>0</f>
        <v>0</v>
      </c>
      <c r="F43" s="52">
        <f>$E$25*B43*$E$24*9.81*$K$26/'Wing aero load'!$D$31</f>
        <v>5186618.9223740688</v>
      </c>
      <c r="G43" s="211">
        <f>'Wing inertia load'!E52*'Wing and Engine Torque Landing'!$E$26*B43/1.65</f>
        <v>0</v>
      </c>
      <c r="H43" s="85">
        <f>5946208.92405 * 200</f>
        <v>1189241784.8099999</v>
      </c>
      <c r="I43" s="52">
        <f t="shared" si="0"/>
        <v>0</v>
      </c>
      <c r="J43" s="52">
        <f t="shared" si="1"/>
        <v>0</v>
      </c>
      <c r="K43" s="52">
        <f t="shared" si="2"/>
        <v>2562312.0736435112</v>
      </c>
      <c r="L43" s="52">
        <f t="shared" si="3"/>
        <v>0</v>
      </c>
      <c r="M43" s="211">
        <f>0</f>
        <v>0</v>
      </c>
      <c r="N43" s="67">
        <f t="shared" si="4"/>
        <v>-1186679472.7363565</v>
      </c>
      <c r="O43" s="67">
        <f>SUM($N43:N$96)</f>
        <v>-1699108618.9853599</v>
      </c>
      <c r="Y43" s="4">
        <f t="shared" si="5"/>
        <v>-1699108.61898536</v>
      </c>
      <c r="AA43" s="211">
        <f>0</f>
        <v>0</v>
      </c>
      <c r="AB43" s="67">
        <f t="shared" si="6"/>
        <v>0</v>
      </c>
      <c r="AC43" s="67">
        <f>SUM($AB43:AB$96)</f>
        <v>-301650560</v>
      </c>
      <c r="AD43" s="4">
        <f t="shared" si="7"/>
        <v>-301650.56</v>
      </c>
      <c r="AM43" s="4">
        <v>-1397458.05898536</v>
      </c>
    </row>
    <row r="44" spans="1:39">
      <c r="A44" s="298"/>
      <c r="B44">
        <v>0.85365169496389304</v>
      </c>
      <c r="C44" s="149">
        <v>3.5</v>
      </c>
      <c r="D44" s="85">
        <f>0</f>
        <v>0</v>
      </c>
      <c r="E44" s="52">
        <f>0</f>
        <v>0</v>
      </c>
      <c r="F44" s="52">
        <f>$E$25*B44*$E$24*9.81*$K$26/'Wing aero load'!$D$31</f>
        <v>5062629.3721999768</v>
      </c>
      <c r="G44" s="211">
        <f>'Wing inertia load'!E53*'Wing and Engine Torque Landing'!$E$26*B44/1.65</f>
        <v>0</v>
      </c>
      <c r="H44" s="85">
        <v>0</v>
      </c>
      <c r="I44" s="52">
        <f t="shared" si="0"/>
        <v>0</v>
      </c>
      <c r="J44" s="52">
        <f t="shared" si="1"/>
        <v>0</v>
      </c>
      <c r="K44" s="52">
        <f t="shared" si="2"/>
        <v>2500317.2985564657</v>
      </c>
      <c r="L44" s="52">
        <f t="shared" si="3"/>
        <v>0</v>
      </c>
      <c r="M44" s="211">
        <f>0</f>
        <v>0</v>
      </c>
      <c r="N44" s="67">
        <f t="shared" si="4"/>
        <v>2500317.2985564657</v>
      </c>
      <c r="O44" s="67">
        <f>SUM($N44:N$96)</f>
        <v>-512429146.24900341</v>
      </c>
      <c r="Y44" s="4">
        <f t="shared" si="5"/>
        <v>-512429.14624900342</v>
      </c>
      <c r="AA44" s="211">
        <f>0</f>
        <v>0</v>
      </c>
      <c r="AB44" s="67">
        <f t="shared" si="6"/>
        <v>0</v>
      </c>
      <c r="AC44" s="67">
        <f>SUM($AB44:AB$96)</f>
        <v>-301650560</v>
      </c>
      <c r="AD44" s="4">
        <f t="shared" si="7"/>
        <v>-301650.56</v>
      </c>
      <c r="AM44" s="4">
        <v>-210778.58624900339</v>
      </c>
    </row>
    <row r="45" spans="1:39">
      <c r="B45">
        <v>0.83274479424444947</v>
      </c>
      <c r="C45" s="149">
        <v>4</v>
      </c>
      <c r="D45" s="85">
        <f>0</f>
        <v>0</v>
      </c>
      <c r="E45" s="52">
        <f>0</f>
        <v>0</v>
      </c>
      <c r="F45" s="52">
        <f>$E$25*B45*$E$24*9.81*$K$26/'Wing aero load'!$D$31</f>
        <v>4938639.8220258858</v>
      </c>
      <c r="G45" s="211">
        <f>'Wing inertia load'!E54*'Wing and Engine Torque Landing'!$E$26*B45/1.65</f>
        <v>0</v>
      </c>
      <c r="H45" s="85">
        <v>0</v>
      </c>
      <c r="I45" s="52">
        <f t="shared" si="0"/>
        <v>0</v>
      </c>
      <c r="J45" s="52">
        <f t="shared" si="1"/>
        <v>0</v>
      </c>
      <c r="K45" s="52">
        <f t="shared" si="2"/>
        <v>2440402.6760881227</v>
      </c>
      <c r="L45" s="52">
        <f t="shared" si="3"/>
        <v>0</v>
      </c>
      <c r="M45" s="211">
        <f>0</f>
        <v>0</v>
      </c>
      <c r="N45" s="67">
        <f t="shared" si="4"/>
        <v>2440402.6760881227</v>
      </c>
      <c r="O45" s="67">
        <f>SUM($N45:N$96)</f>
        <v>-514929463.54755992</v>
      </c>
      <c r="Y45" s="4">
        <f t="shared" si="5"/>
        <v>-514929.46354755992</v>
      </c>
      <c r="AA45" s="211">
        <f>0</f>
        <v>0</v>
      </c>
      <c r="AB45" s="67">
        <f t="shared" si="6"/>
        <v>0</v>
      </c>
      <c r="AC45" s="67">
        <f>SUM($AB45:AB$96)</f>
        <v>-301650560</v>
      </c>
      <c r="AD45" s="4">
        <f t="shared" si="7"/>
        <v>-301650.56</v>
      </c>
      <c r="AM45" s="4">
        <v>-213278.90354755984</v>
      </c>
    </row>
    <row r="46" spans="1:39">
      <c r="B46">
        <v>0.81324090028547691</v>
      </c>
      <c r="C46" s="149">
        <v>4.5</v>
      </c>
      <c r="D46" s="85">
        <f>0</f>
        <v>0</v>
      </c>
      <c r="E46" s="52">
        <f>0</f>
        <v>0</v>
      </c>
      <c r="F46" s="52">
        <f>$E$25*B46*$E$24*9.81*$K$26/'Wing aero load'!$D$31</f>
        <v>4822970.8823266039</v>
      </c>
      <c r="G46" s="211">
        <f>'Wing inertia load'!E55*'Wing and Engine Torque Landing'!$E$26*B46/1.65</f>
        <v>0</v>
      </c>
      <c r="H46" s="85">
        <v>0</v>
      </c>
      <c r="I46" s="52">
        <f t="shared" si="0"/>
        <v>0</v>
      </c>
      <c r="J46" s="52">
        <f t="shared" si="1"/>
        <v>0</v>
      </c>
      <c r="K46" s="52">
        <f t="shared" si="2"/>
        <v>2394076.7589463526</v>
      </c>
      <c r="L46" s="52">
        <f t="shared" si="3"/>
        <v>0</v>
      </c>
      <c r="M46" s="211">
        <f>0</f>
        <v>0</v>
      </c>
      <c r="N46" s="67">
        <f t="shared" si="4"/>
        <v>2394076.7589463526</v>
      </c>
      <c r="O46" s="67">
        <f>SUM($N46:N$96)</f>
        <v>-517369866.22364807</v>
      </c>
      <c r="Y46" s="4">
        <f t="shared" si="5"/>
        <v>-517369.86622364807</v>
      </c>
      <c r="AA46" s="211">
        <f>0</f>
        <v>0</v>
      </c>
      <c r="AB46" s="67">
        <f t="shared" si="6"/>
        <v>0</v>
      </c>
      <c r="AC46" s="67">
        <f>SUM($AB46:AB$96)</f>
        <v>-301650560</v>
      </c>
      <c r="AD46" s="4">
        <f t="shared" si="7"/>
        <v>-301650.56</v>
      </c>
      <c r="AM46" s="4">
        <v>-215719.30622364799</v>
      </c>
    </row>
    <row r="47" spans="1:39">
      <c r="B47">
        <v>0.80149921430451876</v>
      </c>
      <c r="C47" s="149">
        <v>5</v>
      </c>
      <c r="D47" s="85">
        <f>0</f>
        <v>0</v>
      </c>
      <c r="E47" s="52">
        <f>0</f>
        <v>0</v>
      </c>
      <c r="F47" s="52">
        <f>$E$25*B47*$E$24*9.81*$K$26/'Wing aero load'!$D$31</f>
        <v>4753336.1534588058</v>
      </c>
      <c r="G47" s="211">
        <f>'Wing inertia load'!E56*'Wing and Engine Torque Landing'!$E$26*B47/1.65</f>
        <v>0</v>
      </c>
      <c r="H47" s="85">
        <v>0</v>
      </c>
      <c r="I47" s="52">
        <f t="shared" si="0"/>
        <v>0</v>
      </c>
      <c r="J47" s="52">
        <f t="shared" si="1"/>
        <v>0</v>
      </c>
      <c r="K47" s="52">
        <f t="shared" si="2"/>
        <v>2360341.9044916946</v>
      </c>
      <c r="L47" s="52">
        <f t="shared" si="3"/>
        <v>0</v>
      </c>
      <c r="M47" s="211">
        <f>0</f>
        <v>0</v>
      </c>
      <c r="N47" s="67">
        <f t="shared" si="4"/>
        <v>2360341.9044916946</v>
      </c>
      <c r="O47" s="67">
        <f>SUM($N47:N$96)</f>
        <v>-519763942.98259425</v>
      </c>
      <c r="Y47" s="4">
        <f t="shared" si="5"/>
        <v>-519763.94298259425</v>
      </c>
      <c r="AA47" s="211">
        <f>0</f>
        <v>0</v>
      </c>
      <c r="AB47" s="67">
        <f t="shared" si="6"/>
        <v>0</v>
      </c>
      <c r="AC47" s="67">
        <f>SUM($AB47:AB$96)</f>
        <v>-301650560</v>
      </c>
      <c r="AD47" s="4">
        <f t="shared" si="7"/>
        <v>-301650.56</v>
      </c>
      <c r="AM47" s="4">
        <v>-218113.38298259434</v>
      </c>
    </row>
    <row r="48" spans="1:39">
      <c r="B48">
        <v>0.7904876520680868</v>
      </c>
      <c r="C48" s="149">
        <v>5.5</v>
      </c>
      <c r="D48" s="85">
        <f>0</f>
        <v>0</v>
      </c>
      <c r="E48" s="52">
        <f>0</f>
        <v>0</v>
      </c>
      <c r="F48" s="52">
        <f>$E$25*B48*$E$24*9.81*$K$26/'Wing aero load'!$D$31</f>
        <v>4688031.4645079719</v>
      </c>
      <c r="G48" s="211">
        <f>'Wing inertia load'!E57*'Wing and Engine Torque Landing'!$E$26*B48/1.65</f>
        <v>0</v>
      </c>
      <c r="H48" s="85">
        <f>K25*9.81*K26*E27</f>
        <v>147410378.24625</v>
      </c>
      <c r="I48" s="52">
        <f t="shared" si="0"/>
        <v>0</v>
      </c>
      <c r="J48" s="52">
        <f t="shared" si="1"/>
        <v>0</v>
      </c>
      <c r="K48" s="52">
        <f t="shared" si="2"/>
        <v>2327689.5600162791</v>
      </c>
      <c r="L48" s="52">
        <f t="shared" si="3"/>
        <v>0</v>
      </c>
      <c r="M48" s="211">
        <f>-2356.645 * 128000</f>
        <v>-301650560</v>
      </c>
      <c r="N48" s="67">
        <f t="shared" si="4"/>
        <v>-446733248.68623376</v>
      </c>
      <c r="O48" s="67">
        <f>SUM($N48:N$96)</f>
        <v>-522124284.88708603</v>
      </c>
      <c r="Y48" s="4">
        <f t="shared" si="5"/>
        <v>-522124.28488708602</v>
      </c>
      <c r="AA48" s="211">
        <f>-2356.645 * 128000</f>
        <v>-301650560</v>
      </c>
      <c r="AB48" s="67">
        <f t="shared" si="6"/>
        <v>-301650560</v>
      </c>
      <c r="AC48" s="67">
        <f>SUM($AB48:AB$96)</f>
        <v>-301650560</v>
      </c>
      <c r="AD48" s="4">
        <f t="shared" si="7"/>
        <v>-301650.56</v>
      </c>
      <c r="AM48" s="4">
        <v>-220473.72488708599</v>
      </c>
    </row>
    <row r="49" spans="2:39">
      <c r="B49">
        <v>0.77947608983165562</v>
      </c>
      <c r="C49" s="149">
        <v>6</v>
      </c>
      <c r="D49" s="85">
        <f>0</f>
        <v>0</v>
      </c>
      <c r="E49" s="52">
        <f>0</f>
        <v>0</v>
      </c>
      <c r="F49" s="52">
        <f>$E$25*B49*$E$24*9.81*$K$26/'Wing aero load'!$D$31</f>
        <v>4622726.7755571445</v>
      </c>
      <c r="G49" s="211">
        <f>'Wing inertia load'!E58*'Wing and Engine Torque Landing'!$E$26*B49/1.65</f>
        <v>0</v>
      </c>
      <c r="H49" s="85">
        <v>0</v>
      </c>
      <c r="I49" s="52">
        <f t="shared" si="0"/>
        <v>0</v>
      </c>
      <c r="J49" s="52">
        <f t="shared" si="1"/>
        <v>0</v>
      </c>
      <c r="K49" s="52">
        <f t="shared" si="2"/>
        <v>2295037.2155408645</v>
      </c>
      <c r="L49" s="52">
        <f t="shared" si="3"/>
        <v>0</v>
      </c>
      <c r="M49" s="211">
        <f>0</f>
        <v>0</v>
      </c>
      <c r="N49" s="67">
        <f t="shared" si="4"/>
        <v>2295037.2155408645</v>
      </c>
      <c r="O49" s="67">
        <f>SUM($N49:N$96)</f>
        <v>-75391036.200852275</v>
      </c>
      <c r="Y49" s="4">
        <f t="shared" si="5"/>
        <v>-75391.036200852279</v>
      </c>
      <c r="AA49" s="211">
        <f>0</f>
        <v>0</v>
      </c>
      <c r="AB49" s="67">
        <f t="shared" si="6"/>
        <v>0</v>
      </c>
      <c r="AC49" s="67">
        <f>SUM($AB49:AB$96)</f>
        <v>0</v>
      </c>
      <c r="AD49" s="4">
        <f t="shared" si="7"/>
        <v>0</v>
      </c>
      <c r="AM49" s="4">
        <v>-75391.036200852279</v>
      </c>
    </row>
    <row r="50" spans="2:39">
      <c r="B50">
        <v>0.76846452759522432</v>
      </c>
      <c r="C50" s="149">
        <v>6.5</v>
      </c>
      <c r="D50" s="85">
        <f>0</f>
        <v>0</v>
      </c>
      <c r="E50" s="52">
        <f>0</f>
        <v>0</v>
      </c>
      <c r="F50" s="52">
        <f>$E$25*B50*$E$24*9.81*$K$26/'Wing aero load'!$D$31</f>
        <v>4557422.0866063144</v>
      </c>
      <c r="G50" s="211">
        <f>'Wing inertia load'!E59*'Wing and Engine Torque Landing'!$E$26*B50/1.65</f>
        <v>0</v>
      </c>
      <c r="H50" s="85">
        <v>0</v>
      </c>
      <c r="I50" s="52">
        <f t="shared" si="0"/>
        <v>0</v>
      </c>
      <c r="J50" s="52">
        <f t="shared" si="1"/>
        <v>0</v>
      </c>
      <c r="K50" s="52">
        <f t="shared" si="2"/>
        <v>2262384.871065449</v>
      </c>
      <c r="L50" s="52">
        <f t="shared" si="3"/>
        <v>0</v>
      </c>
      <c r="M50" s="211">
        <f>0</f>
        <v>0</v>
      </c>
      <c r="N50" s="67">
        <f t="shared" si="4"/>
        <v>2262384.871065449</v>
      </c>
      <c r="O50" s="67">
        <f>SUM($N50:N$96)</f>
        <v>-77686073.416393146</v>
      </c>
      <c r="Y50" s="4">
        <f t="shared" si="5"/>
        <v>-77686.073416393148</v>
      </c>
      <c r="AA50" s="211">
        <f>0</f>
        <v>0</v>
      </c>
      <c r="AB50" s="67">
        <f t="shared" si="6"/>
        <v>0</v>
      </c>
      <c r="AC50" s="67">
        <f>SUM($AB50:AB$96)</f>
        <v>0</v>
      </c>
      <c r="AD50" s="4">
        <f t="shared" si="7"/>
        <v>0</v>
      </c>
      <c r="AM50" s="4">
        <v>-77686.073416393148</v>
      </c>
    </row>
    <row r="51" spans="2:39">
      <c r="B51">
        <v>0.75745296535879258</v>
      </c>
      <c r="C51" s="149">
        <v>7</v>
      </c>
      <c r="D51" s="85">
        <f>0</f>
        <v>0</v>
      </c>
      <c r="E51" s="52">
        <f>0</f>
        <v>0</v>
      </c>
      <c r="F51" s="52">
        <f>$E$25*B51*$E$24*9.81*$K$26/'Wing aero load'!$D$31</f>
        <v>4492117.3976554824</v>
      </c>
      <c r="G51" s="211">
        <f>'Wing inertia load'!E60*'Wing and Engine Torque Landing'!$E$26*B51/1.65</f>
        <v>0</v>
      </c>
      <c r="H51" s="85">
        <v>0</v>
      </c>
      <c r="I51" s="52">
        <f t="shared" si="0"/>
        <v>0</v>
      </c>
      <c r="J51" s="52">
        <f t="shared" si="1"/>
        <v>0</v>
      </c>
      <c r="K51" s="52">
        <f t="shared" si="2"/>
        <v>2229732.5265900334</v>
      </c>
      <c r="L51" s="52">
        <f t="shared" si="3"/>
        <v>0</v>
      </c>
      <c r="M51" s="211">
        <f>0</f>
        <v>0</v>
      </c>
      <c r="N51" s="67">
        <f t="shared" si="4"/>
        <v>2229732.5265900334</v>
      </c>
      <c r="O51" s="67">
        <f>SUM($N51:N$96)</f>
        <v>-79948458.287458599</v>
      </c>
      <c r="Y51" s="4">
        <f t="shared" si="5"/>
        <v>-79948.458287458605</v>
      </c>
      <c r="AA51" s="211">
        <f>0</f>
        <v>0</v>
      </c>
      <c r="AB51" s="67">
        <f t="shared" si="6"/>
        <v>0</v>
      </c>
      <c r="AC51" s="67">
        <f>SUM($AB51:AB$96)</f>
        <v>0</v>
      </c>
      <c r="AD51" s="4">
        <f t="shared" si="7"/>
        <v>0</v>
      </c>
      <c r="AM51" s="4">
        <v>-79948.458287458605</v>
      </c>
    </row>
    <row r="52" spans="2:39">
      <c r="B52">
        <v>0.74644140312236096</v>
      </c>
      <c r="C52" s="149">
        <v>7.5</v>
      </c>
      <c r="D52" s="85">
        <f>0</f>
        <v>0</v>
      </c>
      <c r="E52" s="52">
        <f>0</f>
        <v>0</v>
      </c>
      <c r="F52" s="52">
        <f>$E$25*B52*$E$24*9.81*$K$26/'Wing aero load'!$D$31</f>
        <v>4426812.7087046513</v>
      </c>
      <c r="G52" s="211">
        <f>'Wing inertia load'!E61*'Wing and Engine Torque Landing'!$E$26*B52/1.65</f>
        <v>0</v>
      </c>
      <c r="H52" s="85">
        <v>0</v>
      </c>
      <c r="I52" s="52">
        <f t="shared" si="0"/>
        <v>0</v>
      </c>
      <c r="J52" s="52">
        <f t="shared" si="1"/>
        <v>0</v>
      </c>
      <c r="K52" s="52">
        <f t="shared" si="2"/>
        <v>2197080.1821146179</v>
      </c>
      <c r="L52" s="52">
        <f t="shared" si="3"/>
        <v>0</v>
      </c>
      <c r="M52" s="211">
        <f>0</f>
        <v>0</v>
      </c>
      <c r="N52" s="67">
        <f t="shared" si="4"/>
        <v>2197080.1821146179</v>
      </c>
      <c r="O52" s="67">
        <f>SUM($N52:N$96)</f>
        <v>-82178190.814048633</v>
      </c>
      <c r="Y52" s="4">
        <f t="shared" si="5"/>
        <v>-82178.190814048634</v>
      </c>
      <c r="AA52" s="211">
        <f>0</f>
        <v>0</v>
      </c>
      <c r="AB52" s="67">
        <f t="shared" si="6"/>
        <v>0</v>
      </c>
      <c r="AC52" s="67">
        <f>SUM($AB52:AB$96)</f>
        <v>0</v>
      </c>
      <c r="AD52" s="4">
        <f t="shared" si="7"/>
        <v>0</v>
      </c>
      <c r="AM52" s="4">
        <v>-82178.190814048634</v>
      </c>
    </row>
    <row r="53" spans="2:39">
      <c r="B53">
        <v>0.73542984088592944</v>
      </c>
      <c r="C53" s="149">
        <v>8</v>
      </c>
      <c r="D53" s="85">
        <f>0</f>
        <v>0</v>
      </c>
      <c r="E53" s="52">
        <f>0</f>
        <v>0</v>
      </c>
      <c r="F53" s="52">
        <f>$E$25*B53*$E$24*9.81*$K$26/'Wing aero load'!$D$31</f>
        <v>4361508.0197538212</v>
      </c>
      <c r="G53" s="211">
        <f>'Wing inertia load'!E62*'Wing and Engine Torque Landing'!$E$26*B53/1.65</f>
        <v>0</v>
      </c>
      <c r="H53" s="85">
        <v>0</v>
      </c>
      <c r="I53" s="52">
        <f t="shared" si="0"/>
        <v>0</v>
      </c>
      <c r="J53" s="52">
        <f t="shared" si="1"/>
        <v>0</v>
      </c>
      <c r="K53" s="52">
        <f t="shared" si="2"/>
        <v>2164427.8376392028</v>
      </c>
      <c r="L53" s="52">
        <f t="shared" si="3"/>
        <v>0</v>
      </c>
      <c r="M53" s="211">
        <f>0</f>
        <v>0</v>
      </c>
      <c r="N53" s="67">
        <f t="shared" si="4"/>
        <v>2164427.8376392028</v>
      </c>
      <c r="O53" s="67">
        <f>SUM($N53:N$96)</f>
        <v>-84375270.996163249</v>
      </c>
      <c r="V53" s="80"/>
      <c r="Y53" s="4">
        <f t="shared" si="5"/>
        <v>-84375.27099616325</v>
      </c>
      <c r="AA53" s="211">
        <f>0</f>
        <v>0</v>
      </c>
      <c r="AB53" s="67">
        <f t="shared" si="6"/>
        <v>0</v>
      </c>
      <c r="AC53" s="67">
        <f>SUM($AB53:AB$96)</f>
        <v>0</v>
      </c>
      <c r="AD53" s="4">
        <f t="shared" si="7"/>
        <v>0</v>
      </c>
      <c r="AM53" s="4">
        <v>-84375.27099616325</v>
      </c>
    </row>
    <row r="54" spans="2:39">
      <c r="B54">
        <v>0.72441827864949793</v>
      </c>
      <c r="C54" s="149">
        <v>8.5</v>
      </c>
      <c r="D54" s="85">
        <f>0</f>
        <v>0</v>
      </c>
      <c r="E54" s="52">
        <f>0</f>
        <v>0</v>
      </c>
      <c r="F54" s="52">
        <f>$E$25*B54*$E$24*9.81*$K$26/'Wing aero load'!$D$31</f>
        <v>4296203.3308029901</v>
      </c>
      <c r="G54" s="211">
        <f>'Wing inertia load'!E63*'Wing and Engine Torque Landing'!$E$26*B54/1.65</f>
        <v>0</v>
      </c>
      <c r="H54" s="85">
        <v>0</v>
      </c>
      <c r="I54" s="52">
        <f t="shared" si="0"/>
        <v>0</v>
      </c>
      <c r="J54" s="52">
        <f t="shared" si="1"/>
        <v>0</v>
      </c>
      <c r="K54" s="52">
        <f t="shared" si="2"/>
        <v>2131775.4931637878</v>
      </c>
      <c r="L54" s="52">
        <f t="shared" si="3"/>
        <v>0</v>
      </c>
      <c r="M54" s="211">
        <f>0</f>
        <v>0</v>
      </c>
      <c r="N54" s="67">
        <f t="shared" si="4"/>
        <v>2131775.4931637878</v>
      </c>
      <c r="O54" s="67">
        <f>SUM($N54:N$96)</f>
        <v>-86539698.833802447</v>
      </c>
      <c r="Y54" s="4">
        <f t="shared" si="5"/>
        <v>-86539.698833802453</v>
      </c>
      <c r="AA54" s="211">
        <f>0</f>
        <v>0</v>
      </c>
      <c r="AB54" s="67">
        <f t="shared" si="6"/>
        <v>0</v>
      </c>
      <c r="AC54" s="67">
        <f>SUM($AB54:AB$96)</f>
        <v>0</v>
      </c>
      <c r="AD54" s="4">
        <f t="shared" si="7"/>
        <v>0</v>
      </c>
      <c r="AM54" s="4">
        <v>-86539.698833802453</v>
      </c>
    </row>
    <row r="55" spans="2:39">
      <c r="B55">
        <v>0.71340671641306641</v>
      </c>
      <c r="C55" s="149">
        <v>9</v>
      </c>
      <c r="D55" s="85">
        <f>0</f>
        <v>0</v>
      </c>
      <c r="E55" s="52">
        <f>0</f>
        <v>0</v>
      </c>
      <c r="F55" s="52">
        <f>$E$25*B55*$E$24*9.81*$K$26/'Wing aero load'!$D$31</f>
        <v>4230898.64185216</v>
      </c>
      <c r="G55" s="211">
        <f>'Wing inertia load'!E64*'Wing and Engine Torque Landing'!$E$26*B55/1.65</f>
        <v>0</v>
      </c>
      <c r="H55" s="85">
        <v>0</v>
      </c>
      <c r="I55" s="52">
        <f t="shared" si="0"/>
        <v>0</v>
      </c>
      <c r="J55" s="52">
        <f t="shared" si="1"/>
        <v>0</v>
      </c>
      <c r="K55" s="52">
        <f t="shared" si="2"/>
        <v>2099123.1486883722</v>
      </c>
      <c r="L55" s="52">
        <f t="shared" si="3"/>
        <v>0</v>
      </c>
      <c r="M55" s="211">
        <f>0</f>
        <v>0</v>
      </c>
      <c r="N55" s="67">
        <f t="shared" si="4"/>
        <v>2099123.1486883722</v>
      </c>
      <c r="O55" s="67">
        <f>SUM($N55:N$96)</f>
        <v>-88671474.326966241</v>
      </c>
      <c r="Y55" s="4">
        <f t="shared" si="5"/>
        <v>-88671.474326966243</v>
      </c>
      <c r="AA55" s="211">
        <f>0</f>
        <v>0</v>
      </c>
      <c r="AB55" s="67">
        <f t="shared" si="6"/>
        <v>0</v>
      </c>
      <c r="AC55" s="67">
        <f>SUM($AB55:AB$96)</f>
        <v>0</v>
      </c>
      <c r="AD55" s="4">
        <f t="shared" si="7"/>
        <v>0</v>
      </c>
      <c r="AM55" s="4">
        <v>-88671.474326966243</v>
      </c>
    </row>
    <row r="56" spans="2:39">
      <c r="B56">
        <v>0.70239515417663489</v>
      </c>
      <c r="C56" s="149">
        <v>9.5</v>
      </c>
      <c r="D56" s="85">
        <f>0</f>
        <v>0</v>
      </c>
      <c r="E56" s="52">
        <f>0</f>
        <v>0</v>
      </c>
      <c r="F56" s="52">
        <f>$E$25*B56*$E$24*9.81*$K$26/'Wing aero load'!$D$31</f>
        <v>4165593.9529013289</v>
      </c>
      <c r="G56" s="211">
        <f>'Wing inertia load'!E65*'Wing and Engine Torque Landing'!$E$26*B56/1.65</f>
        <v>0</v>
      </c>
      <c r="H56" s="85">
        <v>0</v>
      </c>
      <c r="I56" s="52">
        <f t="shared" si="0"/>
        <v>0</v>
      </c>
      <c r="J56" s="52">
        <f t="shared" si="1"/>
        <v>0</v>
      </c>
      <c r="K56" s="52">
        <f t="shared" si="2"/>
        <v>2066470.8042129569</v>
      </c>
      <c r="L56" s="52">
        <f t="shared" si="3"/>
        <v>0</v>
      </c>
      <c r="M56" s="211">
        <f>0</f>
        <v>0</v>
      </c>
      <c r="N56" s="67">
        <f t="shared" si="4"/>
        <v>2066470.8042129569</v>
      </c>
      <c r="O56" s="67">
        <f>SUM($N56:N$96)</f>
        <v>-90770597.475654602</v>
      </c>
      <c r="Y56" s="4">
        <f t="shared" si="5"/>
        <v>-90770.597475654606</v>
      </c>
      <c r="AA56" s="211">
        <f>0</f>
        <v>0</v>
      </c>
      <c r="AB56" s="67">
        <f t="shared" si="6"/>
        <v>0</v>
      </c>
      <c r="AC56" s="67">
        <f>SUM($AB56:AB$96)</f>
        <v>0</v>
      </c>
      <c r="AD56" s="4">
        <f t="shared" si="7"/>
        <v>0</v>
      </c>
      <c r="AM56" s="4">
        <v>-90770.597475654606</v>
      </c>
    </row>
    <row r="57" spans="2:39">
      <c r="B57">
        <v>0.69138359194020338</v>
      </c>
      <c r="C57" s="149">
        <v>10</v>
      </c>
      <c r="D57" s="85">
        <f>0</f>
        <v>0</v>
      </c>
      <c r="E57" s="52">
        <f>0</f>
        <v>0</v>
      </c>
      <c r="F57" s="52">
        <f>$E$25*B57*$E$24*9.81*$K$26/'Wing aero load'!$D$31</f>
        <v>4100289.2639504988</v>
      </c>
      <c r="G57" s="211">
        <f>'Wing inertia load'!E66*'Wing and Engine Torque Landing'!$E$26*B57/1.65</f>
        <v>0</v>
      </c>
      <c r="H57" s="85">
        <v>0</v>
      </c>
      <c r="I57" s="52">
        <f t="shared" si="0"/>
        <v>0</v>
      </c>
      <c r="J57" s="52">
        <f t="shared" si="1"/>
        <v>0</v>
      </c>
      <c r="K57" s="52">
        <f t="shared" si="2"/>
        <v>2033818.4597375416</v>
      </c>
      <c r="L57" s="52">
        <f t="shared" si="3"/>
        <v>0</v>
      </c>
      <c r="M57" s="211">
        <f>0</f>
        <v>0</v>
      </c>
      <c r="N57" s="67">
        <f t="shared" si="4"/>
        <v>2033818.4597375416</v>
      </c>
      <c r="O57" s="67">
        <f>SUM($N57:N$96)</f>
        <v>-92837068.27986756</v>
      </c>
      <c r="Y57" s="4">
        <f t="shared" si="5"/>
        <v>-92837.068279867555</v>
      </c>
      <c r="AA57" s="211">
        <f>0</f>
        <v>0</v>
      </c>
      <c r="AB57" s="67">
        <f t="shared" si="6"/>
        <v>0</v>
      </c>
      <c r="AC57" s="67">
        <f>SUM($AB57:AB$96)</f>
        <v>0</v>
      </c>
      <c r="AD57" s="4">
        <f t="shared" si="7"/>
        <v>0</v>
      </c>
      <c r="AM57" s="4">
        <v>-92837.068279867555</v>
      </c>
    </row>
    <row r="58" spans="2:39">
      <c r="B58">
        <v>0.68037202970377186</v>
      </c>
      <c r="C58" s="149">
        <v>10.5</v>
      </c>
      <c r="D58" s="85">
        <f>0</f>
        <v>0</v>
      </c>
      <c r="E58" s="52">
        <f>0</f>
        <v>0</v>
      </c>
      <c r="F58" s="52">
        <f>$E$25*B58*$E$24*9.81*$K$26/'Wing aero load'!$D$31</f>
        <v>4034984.5749996677</v>
      </c>
      <c r="G58" s="211">
        <f>'Wing inertia load'!E67*'Wing and Engine Torque Landing'!$E$26*B58/1.65</f>
        <v>0</v>
      </c>
      <c r="H58" s="85">
        <v>0</v>
      </c>
      <c r="I58" s="52">
        <f t="shared" si="0"/>
        <v>0</v>
      </c>
      <c r="J58" s="52">
        <f t="shared" si="1"/>
        <v>0</v>
      </c>
      <c r="K58" s="52">
        <f t="shared" si="2"/>
        <v>2001166.1152621261</v>
      </c>
      <c r="L58" s="52">
        <f t="shared" si="3"/>
        <v>0</v>
      </c>
      <c r="M58" s="211">
        <f>0</f>
        <v>0</v>
      </c>
      <c r="N58" s="67">
        <f t="shared" si="4"/>
        <v>2001166.1152621261</v>
      </c>
      <c r="O58" s="67">
        <f>SUM($N58:N$96)</f>
        <v>-94870886.739605114</v>
      </c>
      <c r="Y58" s="4">
        <f t="shared" si="5"/>
        <v>-94870.886739605121</v>
      </c>
      <c r="AA58" s="211">
        <f>0</f>
        <v>0</v>
      </c>
      <c r="AB58" s="67">
        <f t="shared" si="6"/>
        <v>0</v>
      </c>
      <c r="AC58" s="67">
        <f>SUM($AB58:AB$96)</f>
        <v>0</v>
      </c>
      <c r="AD58" s="4">
        <f t="shared" si="7"/>
        <v>0</v>
      </c>
      <c r="AM58" s="4">
        <v>-94870.886739605121</v>
      </c>
    </row>
    <row r="59" spans="2:39">
      <c r="B59">
        <v>0.66936046746734001</v>
      </c>
      <c r="C59" s="149">
        <v>11</v>
      </c>
      <c r="D59" s="85">
        <f>0</f>
        <v>0</v>
      </c>
      <c r="E59" s="52">
        <f>0</f>
        <v>0</v>
      </c>
      <c r="F59" s="52">
        <f>$E$25*B59*$E$24*9.81*$K$26/'Wing aero load'!$D$31</f>
        <v>3969679.8860488366</v>
      </c>
      <c r="G59" s="211">
        <f>'Wing inertia load'!E68*'Wing and Engine Torque Landing'!$E$26*B59/1.65</f>
        <v>0</v>
      </c>
      <c r="H59" s="85">
        <v>0</v>
      </c>
      <c r="I59" s="52">
        <f t="shared" si="0"/>
        <v>0</v>
      </c>
      <c r="J59" s="52">
        <f t="shared" si="1"/>
        <v>0</v>
      </c>
      <c r="K59" s="52">
        <f t="shared" si="2"/>
        <v>1968513.7707867105</v>
      </c>
      <c r="L59" s="52">
        <f t="shared" si="3"/>
        <v>0</v>
      </c>
      <c r="M59" s="211">
        <f>0</f>
        <v>0</v>
      </c>
      <c r="N59" s="67">
        <f t="shared" si="4"/>
        <v>1968513.7707867105</v>
      </c>
      <c r="O59" s="67">
        <f>SUM($N59:N$96)</f>
        <v>-96872052.854867235</v>
      </c>
      <c r="Y59" s="4">
        <f t="shared" si="5"/>
        <v>-96872.05285486723</v>
      </c>
      <c r="AA59" s="211">
        <f>0</f>
        <v>0</v>
      </c>
      <c r="AB59" s="67">
        <f t="shared" si="6"/>
        <v>0</v>
      </c>
      <c r="AC59" s="67">
        <f>SUM($AB59:AB$96)</f>
        <v>0</v>
      </c>
      <c r="AD59" s="4">
        <f t="shared" si="7"/>
        <v>0</v>
      </c>
      <c r="AM59" s="4">
        <v>-96872.05285486723</v>
      </c>
    </row>
    <row r="60" spans="2:39">
      <c r="B60">
        <v>0.6583489052309085</v>
      </c>
      <c r="C60" s="149">
        <v>11.5</v>
      </c>
      <c r="D60" s="85">
        <f>0</f>
        <v>0</v>
      </c>
      <c r="E60" s="52">
        <f>0</f>
        <v>0</v>
      </c>
      <c r="F60" s="52">
        <f>$E$25*B60*$E$24*9.81*$K$26/'Wing aero load'!$D$31</f>
        <v>3904375.1970980056</v>
      </c>
      <c r="G60" s="211">
        <f>'Wing inertia load'!E69*'Wing and Engine Torque Landing'!$E$26*B60/1.65</f>
        <v>0</v>
      </c>
      <c r="H60" s="85">
        <v>0</v>
      </c>
      <c r="I60" s="52">
        <f t="shared" si="0"/>
        <v>0</v>
      </c>
      <c r="J60" s="52">
        <f t="shared" si="1"/>
        <v>0</v>
      </c>
      <c r="K60" s="52">
        <f t="shared" si="2"/>
        <v>1935861.4263112952</v>
      </c>
      <c r="L60" s="52">
        <f t="shared" si="3"/>
        <v>0</v>
      </c>
      <c r="M60" s="211">
        <f>0</f>
        <v>0</v>
      </c>
      <c r="N60" s="67">
        <f t="shared" si="4"/>
        <v>1935861.4263112952</v>
      </c>
      <c r="O60" s="67">
        <f>SUM($N60:N$96)</f>
        <v>-98840566.625653937</v>
      </c>
      <c r="Y60" s="4">
        <f t="shared" si="5"/>
        <v>-98840.566625653941</v>
      </c>
      <c r="AA60" s="211">
        <f>0</f>
        <v>0</v>
      </c>
      <c r="AB60" s="67">
        <f t="shared" si="6"/>
        <v>0</v>
      </c>
      <c r="AC60" s="67">
        <f>SUM($AB60:AB$96)</f>
        <v>0</v>
      </c>
      <c r="AD60" s="4">
        <f t="shared" si="7"/>
        <v>0</v>
      </c>
      <c r="AM60" s="4">
        <v>-98840.566625653941</v>
      </c>
    </row>
    <row r="61" spans="2:39">
      <c r="B61">
        <v>0.64733734299447709</v>
      </c>
      <c r="C61" s="149">
        <v>12</v>
      </c>
      <c r="D61" s="85">
        <f>0</f>
        <v>0</v>
      </c>
      <c r="E61" s="52">
        <f>0</f>
        <v>0</v>
      </c>
      <c r="F61" s="52">
        <f>$E$25*B61*$E$24*9.81*$K$26/'Wing aero load'!$D$31</f>
        <v>3839070.5081471754</v>
      </c>
      <c r="G61" s="211">
        <f>'Wing inertia load'!E70*'Wing and Engine Torque Landing'!$E$26*B61/1.65</f>
        <v>0</v>
      </c>
      <c r="H61" s="85">
        <v>0</v>
      </c>
      <c r="I61" s="52">
        <f t="shared" si="0"/>
        <v>0</v>
      </c>
      <c r="J61" s="52">
        <f t="shared" si="1"/>
        <v>0</v>
      </c>
      <c r="K61" s="52">
        <f t="shared" si="2"/>
        <v>1903209.0818358804</v>
      </c>
      <c r="L61" s="52">
        <f t="shared" si="3"/>
        <v>0</v>
      </c>
      <c r="M61" s="211">
        <f>0</f>
        <v>0</v>
      </c>
      <c r="N61" s="67">
        <f t="shared" si="4"/>
        <v>1903209.0818358804</v>
      </c>
      <c r="O61" s="67">
        <f>SUM($N61:N$96)</f>
        <v>-100776428.05196525</v>
      </c>
      <c r="Y61" s="4">
        <f t="shared" si="5"/>
        <v>-100776.42805196525</v>
      </c>
      <c r="AA61" s="211">
        <f>0</f>
        <v>0</v>
      </c>
      <c r="AB61" s="67">
        <f t="shared" si="6"/>
        <v>0</v>
      </c>
      <c r="AC61" s="67">
        <f>SUM($AB61:AB$96)</f>
        <v>0</v>
      </c>
      <c r="AD61" s="4">
        <f t="shared" si="7"/>
        <v>0</v>
      </c>
      <c r="AM61" s="4">
        <v>-100776.42805196525</v>
      </c>
    </row>
    <row r="62" spans="2:39">
      <c r="B62">
        <v>0.63632578075804558</v>
      </c>
      <c r="C62" s="149">
        <v>12.5</v>
      </c>
      <c r="D62" s="85">
        <f>0</f>
        <v>0</v>
      </c>
      <c r="E62" s="52">
        <f>0</f>
        <v>0</v>
      </c>
      <c r="F62" s="52">
        <f>$E$25*B62*$E$24*9.81*$K$26/'Wing aero load'!$D$31</f>
        <v>3773765.8191963458</v>
      </c>
      <c r="G62" s="211">
        <f>'Wing inertia load'!E71*'Wing and Engine Torque Landing'!$E$26*B62/1.65</f>
        <v>0</v>
      </c>
      <c r="H62" s="85">
        <v>0</v>
      </c>
      <c r="I62" s="52">
        <f t="shared" si="0"/>
        <v>0</v>
      </c>
      <c r="J62" s="52">
        <f t="shared" si="1"/>
        <v>0</v>
      </c>
      <c r="K62" s="52">
        <f t="shared" si="2"/>
        <v>1870556.7373604653</v>
      </c>
      <c r="L62" s="52">
        <f t="shared" si="3"/>
        <v>0</v>
      </c>
      <c r="M62" s="211">
        <f>0</f>
        <v>0</v>
      </c>
      <c r="N62" s="67">
        <f t="shared" si="4"/>
        <v>1870556.7373604653</v>
      </c>
      <c r="O62" s="67">
        <f>SUM($N62:N$96)</f>
        <v>-102679637.13380112</v>
      </c>
      <c r="Y62" s="4">
        <f t="shared" si="5"/>
        <v>-102679.63713380112</v>
      </c>
      <c r="AA62" s="211">
        <f>0</f>
        <v>0</v>
      </c>
      <c r="AB62" s="67">
        <f t="shared" si="6"/>
        <v>0</v>
      </c>
      <c r="AC62" s="67">
        <f>SUM($AB62:AB$96)</f>
        <v>0</v>
      </c>
      <c r="AD62" s="4">
        <f t="shared" si="7"/>
        <v>0</v>
      </c>
      <c r="AM62" s="4">
        <v>-102679.63713380112</v>
      </c>
    </row>
    <row r="63" spans="2:39">
      <c r="B63">
        <v>0.62531421852161406</v>
      </c>
      <c r="C63" s="149">
        <v>13</v>
      </c>
      <c r="D63" s="85">
        <f>0</f>
        <v>0</v>
      </c>
      <c r="E63" s="52">
        <f>0</f>
        <v>0</v>
      </c>
      <c r="F63" s="52">
        <f>$E$25*B63*$E$24*9.81*$K$26/'Wing aero load'!$D$31</f>
        <v>3708461.1302455151</v>
      </c>
      <c r="G63" s="211">
        <f>'Wing inertia load'!E72*'Wing and Engine Torque Landing'!$E$26*B63/1.65</f>
        <v>0</v>
      </c>
      <c r="H63" s="85">
        <v>0</v>
      </c>
      <c r="I63" s="52">
        <f t="shared" si="0"/>
        <v>0</v>
      </c>
      <c r="J63" s="52">
        <f t="shared" si="1"/>
        <v>0</v>
      </c>
      <c r="K63" s="52">
        <f t="shared" si="2"/>
        <v>1837904.3928850498</v>
      </c>
      <c r="L63" s="52">
        <f t="shared" si="3"/>
        <v>0</v>
      </c>
      <c r="M63" s="211">
        <f>0</f>
        <v>0</v>
      </c>
      <c r="N63" s="67">
        <f t="shared" si="4"/>
        <v>1837904.3928850498</v>
      </c>
      <c r="O63" s="67">
        <f>SUM($N63:N$96)</f>
        <v>-104550193.87116159</v>
      </c>
      <c r="Y63" s="4">
        <f t="shared" si="5"/>
        <v>-104550.19387116159</v>
      </c>
      <c r="AA63" s="211">
        <f>0</f>
        <v>0</v>
      </c>
      <c r="AB63" s="67">
        <f t="shared" si="6"/>
        <v>0</v>
      </c>
      <c r="AC63" s="67">
        <f>SUM($AB63:AB$96)</f>
        <v>0</v>
      </c>
      <c r="AD63" s="4">
        <f t="shared" si="7"/>
        <v>0</v>
      </c>
      <c r="AM63" s="4">
        <v>-104550.19387116159</v>
      </c>
    </row>
    <row r="64" spans="2:39">
      <c r="B64">
        <v>0.61430265628518255</v>
      </c>
      <c r="C64" s="149">
        <v>13.5</v>
      </c>
      <c r="D64" s="85">
        <f>0</f>
        <v>0</v>
      </c>
      <c r="E64" s="52">
        <f>0</f>
        <v>0</v>
      </c>
      <c r="F64" s="52">
        <f>$E$25*B64*$E$24*9.81*$K$26/'Wing aero load'!$D$31</f>
        <v>3643156.4412946845</v>
      </c>
      <c r="G64" s="211">
        <f>'Wing inertia load'!E73*'Wing and Engine Torque Landing'!$E$26*B64/1.65</f>
        <v>0</v>
      </c>
      <c r="H64" s="85">
        <v>0</v>
      </c>
      <c r="I64" s="52">
        <f t="shared" si="0"/>
        <v>0</v>
      </c>
      <c r="J64" s="52">
        <f t="shared" si="1"/>
        <v>0</v>
      </c>
      <c r="K64" s="52">
        <f t="shared" si="2"/>
        <v>1805252.0484096345</v>
      </c>
      <c r="L64" s="52">
        <f t="shared" si="3"/>
        <v>0</v>
      </c>
      <c r="M64" s="211">
        <f>0</f>
        <v>0</v>
      </c>
      <c r="N64" s="67">
        <f t="shared" si="4"/>
        <v>1805252.0484096345</v>
      </c>
      <c r="O64" s="67">
        <f>SUM($N64:N$96)</f>
        <v>-106388098.26404664</v>
      </c>
      <c r="Y64" s="4">
        <f t="shared" si="5"/>
        <v>-106388.09826404664</v>
      </c>
      <c r="AA64" s="211">
        <f>0</f>
        <v>0</v>
      </c>
      <c r="AB64" s="67">
        <f t="shared" si="6"/>
        <v>0</v>
      </c>
      <c r="AC64" s="67">
        <f>SUM($AB64:AB$96)</f>
        <v>0</v>
      </c>
      <c r="AD64" s="4">
        <f t="shared" si="7"/>
        <v>0</v>
      </c>
      <c r="AM64" s="4">
        <v>-106388.09826404664</v>
      </c>
    </row>
    <row r="65" spans="1:39">
      <c r="B65">
        <v>0.60329109404875092</v>
      </c>
      <c r="C65" s="149">
        <v>14</v>
      </c>
      <c r="D65" s="85">
        <f>0</f>
        <v>0</v>
      </c>
      <c r="E65" s="52">
        <f>0</f>
        <v>0</v>
      </c>
      <c r="F65" s="52">
        <f>$E$25*B65*$E$24*9.81*$K$26/'Wing aero load'!$D$31</f>
        <v>3577851.7523438535</v>
      </c>
      <c r="G65" s="211">
        <f>'Wing inertia load'!E74*'Wing and Engine Torque Landing'!$E$26*B65/1.65</f>
        <v>0</v>
      </c>
      <c r="H65" s="85">
        <v>0</v>
      </c>
      <c r="I65" s="52">
        <f t="shared" si="0"/>
        <v>0</v>
      </c>
      <c r="J65" s="52">
        <f t="shared" si="1"/>
        <v>0</v>
      </c>
      <c r="K65" s="52">
        <f t="shared" si="2"/>
        <v>1772599.7039342187</v>
      </c>
      <c r="L65" s="52">
        <f t="shared" si="3"/>
        <v>0</v>
      </c>
      <c r="M65" s="211">
        <f>0</f>
        <v>0</v>
      </c>
      <c r="N65" s="67">
        <f t="shared" si="4"/>
        <v>1772599.7039342187</v>
      </c>
      <c r="O65" s="67">
        <f>SUM($N65:N$96)</f>
        <v>-108193350.31245627</v>
      </c>
      <c r="Y65" s="4">
        <f t="shared" si="5"/>
        <v>-108193.35031245627</v>
      </c>
      <c r="AA65" s="211">
        <f>0</f>
        <v>0</v>
      </c>
      <c r="AB65" s="67">
        <f t="shared" si="6"/>
        <v>0</v>
      </c>
      <c r="AC65" s="67">
        <f>SUM($AB65:AB$96)</f>
        <v>0</v>
      </c>
      <c r="AD65" s="4">
        <f t="shared" si="7"/>
        <v>0</v>
      </c>
      <c r="AM65" s="4">
        <v>-108193.35031245627</v>
      </c>
    </row>
    <row r="66" spans="1:39">
      <c r="B66">
        <v>0.59227953181231929</v>
      </c>
      <c r="C66" s="149">
        <v>14.5</v>
      </c>
      <c r="D66" s="85">
        <f>0</f>
        <v>0</v>
      </c>
      <c r="E66" s="52">
        <f>0</f>
        <v>0</v>
      </c>
      <c r="F66" s="52">
        <f>$E$25*B66*$E$24*9.81*$K$26/'Wing aero load'!$D$31</f>
        <v>3512547.0633930219</v>
      </c>
      <c r="G66" s="211">
        <f>'Wing inertia load'!E75*'Wing and Engine Torque Landing'!$E$26*B66/1.65</f>
        <v>0</v>
      </c>
      <c r="H66" s="85">
        <v>0</v>
      </c>
      <c r="I66" s="52">
        <f t="shared" si="0"/>
        <v>0</v>
      </c>
      <c r="J66" s="52">
        <f t="shared" si="1"/>
        <v>0</v>
      </c>
      <c r="K66" s="52">
        <f t="shared" si="2"/>
        <v>1739947.3594588034</v>
      </c>
      <c r="L66" s="52">
        <f t="shared" si="3"/>
        <v>0</v>
      </c>
      <c r="M66" s="211">
        <f>0</f>
        <v>0</v>
      </c>
      <c r="N66" s="67">
        <f t="shared" si="4"/>
        <v>1739947.3594588034</v>
      </c>
      <c r="O66" s="67">
        <f>SUM($N66:N$96)</f>
        <v>-109965950.01639046</v>
      </c>
      <c r="Y66" s="4">
        <f t="shared" si="5"/>
        <v>-109965.95001639046</v>
      </c>
      <c r="AA66" s="211">
        <f>0</f>
        <v>0</v>
      </c>
      <c r="AB66" s="67">
        <f t="shared" si="6"/>
        <v>0</v>
      </c>
      <c r="AC66" s="67">
        <f>SUM($AB66:AB$96)</f>
        <v>0</v>
      </c>
      <c r="AD66" s="4">
        <f t="shared" si="7"/>
        <v>0</v>
      </c>
      <c r="AM66" s="4">
        <v>-109965.95001639046</v>
      </c>
    </row>
    <row r="67" spans="1:39">
      <c r="B67">
        <v>0.58126796957588789</v>
      </c>
      <c r="C67" s="149">
        <v>15</v>
      </c>
      <c r="D67" s="85">
        <f>0</f>
        <v>0</v>
      </c>
      <c r="E67" s="52">
        <f>0</f>
        <v>0</v>
      </c>
      <c r="F67" s="52">
        <f>$E$25*B67*$E$24*9.81*$K$26/'Wing aero load'!$D$31</f>
        <v>3447242.3744421918</v>
      </c>
      <c r="G67" s="211">
        <f>'Wing inertia load'!E76*'Wing and Engine Torque Landing'!$E$26*B67/1.65</f>
        <v>0</v>
      </c>
      <c r="H67" s="85">
        <v>0</v>
      </c>
      <c r="I67" s="52">
        <f t="shared" si="0"/>
        <v>0</v>
      </c>
      <c r="J67" s="52">
        <f t="shared" si="1"/>
        <v>0</v>
      </c>
      <c r="K67" s="52">
        <f t="shared" si="2"/>
        <v>1707295.0149833881</v>
      </c>
      <c r="L67" s="52">
        <f t="shared" si="3"/>
        <v>0</v>
      </c>
      <c r="M67" s="211">
        <f>0</f>
        <v>0</v>
      </c>
      <c r="N67" s="67">
        <f t="shared" si="4"/>
        <v>1707295.0149833881</v>
      </c>
      <c r="O67" s="67">
        <f>SUM($N67:N$96)</f>
        <v>-111705897.37584926</v>
      </c>
      <c r="Y67" s="4">
        <f t="shared" si="5"/>
        <v>-111705.89737584926</v>
      </c>
      <c r="AA67" s="211">
        <f>0</f>
        <v>0</v>
      </c>
      <c r="AB67" s="67">
        <f t="shared" si="6"/>
        <v>0</v>
      </c>
      <c r="AC67" s="67">
        <f>SUM($AB67:AB$96)</f>
        <v>0</v>
      </c>
      <c r="AD67" s="4">
        <f t="shared" si="7"/>
        <v>0</v>
      </c>
      <c r="AM67" s="4">
        <v>-111705.89737584926</v>
      </c>
    </row>
    <row r="68" spans="1:39">
      <c r="B68">
        <v>0.57025640733945637</v>
      </c>
      <c r="C68" s="149">
        <v>15.5</v>
      </c>
      <c r="D68" s="85">
        <f>0</f>
        <v>0</v>
      </c>
      <c r="E68" s="52">
        <f>0</f>
        <v>0</v>
      </c>
      <c r="F68" s="52">
        <f>$E$25*B68*$E$24*9.81*$K$26/'Wing aero load'!$D$31</f>
        <v>3381937.6854913612</v>
      </c>
      <c r="G68" s="211">
        <f>'Wing inertia load'!E77*'Wing and Engine Torque Landing'!$E$26*B68/1.65</f>
        <v>0</v>
      </c>
      <c r="H68" s="85">
        <v>0</v>
      </c>
      <c r="I68" s="52">
        <f t="shared" si="0"/>
        <v>0</v>
      </c>
      <c r="J68" s="52">
        <f t="shared" si="1"/>
        <v>0</v>
      </c>
      <c r="K68" s="52">
        <f t="shared" si="2"/>
        <v>1674642.6705079731</v>
      </c>
      <c r="L68" s="52">
        <f t="shared" si="3"/>
        <v>0</v>
      </c>
      <c r="M68" s="211">
        <f>0</f>
        <v>0</v>
      </c>
      <c r="N68" s="67">
        <f t="shared" si="4"/>
        <v>1674642.6705079731</v>
      </c>
      <c r="O68" s="67">
        <f>SUM($N68:N$96)</f>
        <v>-113413192.39083265</v>
      </c>
      <c r="Y68" s="4">
        <f t="shared" si="5"/>
        <v>-113413.19239083264</v>
      </c>
      <c r="AA68" s="211">
        <f>0</f>
        <v>0</v>
      </c>
      <c r="AB68" s="67">
        <f t="shared" si="6"/>
        <v>0</v>
      </c>
      <c r="AC68" s="67">
        <f>SUM($AB68:AB$96)</f>
        <v>0</v>
      </c>
      <c r="AD68" s="4">
        <f t="shared" si="7"/>
        <v>0</v>
      </c>
      <c r="AM68" s="4">
        <v>-113413.19239083264</v>
      </c>
    </row>
    <row r="69" spans="1:39">
      <c r="B69">
        <v>0.55924484510302475</v>
      </c>
      <c r="C69" s="149">
        <v>16</v>
      </c>
      <c r="D69" s="85">
        <f>0</f>
        <v>0</v>
      </c>
      <c r="E69" s="52">
        <f>0</f>
        <v>0</v>
      </c>
      <c r="F69" s="52">
        <f>$E$25*B69*$E$24*9.81*$K$26/'Wing aero load'!$D$31</f>
        <v>3316632.9965405306</v>
      </c>
      <c r="G69" s="211">
        <f>'Wing inertia load'!E78*'Wing and Engine Torque Landing'!$E$26*B69/1.65</f>
        <v>0</v>
      </c>
      <c r="H69" s="85">
        <v>0</v>
      </c>
      <c r="I69" s="52">
        <f t="shared" si="0"/>
        <v>0</v>
      </c>
      <c r="J69" s="52">
        <f t="shared" si="1"/>
        <v>0</v>
      </c>
      <c r="K69" s="52">
        <f t="shared" si="2"/>
        <v>1641990.3260325575</v>
      </c>
      <c r="L69" s="52">
        <f t="shared" si="3"/>
        <v>0</v>
      </c>
      <c r="M69" s="211">
        <f>0</f>
        <v>0</v>
      </c>
      <c r="N69" s="67">
        <f t="shared" si="4"/>
        <v>1641990.3260325575</v>
      </c>
      <c r="O69" s="67">
        <f>SUM($N69:N$96)</f>
        <v>-115087835.06134062</v>
      </c>
      <c r="Y69" s="4">
        <f t="shared" si="5"/>
        <v>-115087.83506134062</v>
      </c>
      <c r="AA69" s="211">
        <f>0</f>
        <v>0</v>
      </c>
      <c r="AB69" s="67">
        <f t="shared" si="6"/>
        <v>0</v>
      </c>
      <c r="AC69" s="67">
        <f>SUM($AB69:AB$96)</f>
        <v>0</v>
      </c>
      <c r="AD69" s="4">
        <f t="shared" si="7"/>
        <v>0</v>
      </c>
      <c r="AM69" s="4">
        <v>-115087.83506134062</v>
      </c>
    </row>
    <row r="70" spans="1:39">
      <c r="B70">
        <v>0.54823328286659312</v>
      </c>
      <c r="C70" s="149">
        <v>16.5</v>
      </c>
      <c r="D70" s="85">
        <f>0</f>
        <v>0</v>
      </c>
      <c r="E70" s="52">
        <f>0</f>
        <v>0</v>
      </c>
      <c r="F70" s="52">
        <f>$E$25*B70*$E$24*9.81*$K$26/'Wing aero load'!$D$31</f>
        <v>3251328.3075896995</v>
      </c>
      <c r="G70" s="211">
        <f>'Wing inertia load'!E79*'Wing and Engine Torque Landing'!$E$26*B70/1.65</f>
        <v>0</v>
      </c>
      <c r="H70" s="85">
        <v>0</v>
      </c>
      <c r="I70" s="52">
        <f t="shared" si="0"/>
        <v>0</v>
      </c>
      <c r="J70" s="52">
        <f t="shared" si="1"/>
        <v>0</v>
      </c>
      <c r="K70" s="52">
        <f t="shared" si="2"/>
        <v>1609337.981557142</v>
      </c>
      <c r="L70" s="52">
        <f t="shared" si="3"/>
        <v>0</v>
      </c>
      <c r="M70" s="211">
        <f>0</f>
        <v>0</v>
      </c>
      <c r="N70" s="67">
        <f t="shared" si="4"/>
        <v>1609337.981557142</v>
      </c>
      <c r="O70" s="67">
        <f>SUM($N70:N$96)</f>
        <v>-116729825.38737319</v>
      </c>
      <c r="Y70" s="4">
        <f t="shared" si="5"/>
        <v>-116729.82538737319</v>
      </c>
      <c r="AA70" s="211">
        <f>0</f>
        <v>0</v>
      </c>
      <c r="AB70" s="67">
        <f t="shared" si="6"/>
        <v>0</v>
      </c>
      <c r="AC70" s="67">
        <f>SUM($AB70:AB$96)</f>
        <v>0</v>
      </c>
      <c r="AD70" s="4">
        <f t="shared" si="7"/>
        <v>0</v>
      </c>
      <c r="AM70" s="4">
        <v>-116729.82538737319</v>
      </c>
    </row>
    <row r="71" spans="1:39">
      <c r="B71">
        <v>0.5372217206301616</v>
      </c>
      <c r="C71" s="149">
        <v>17</v>
      </c>
      <c r="D71" s="85">
        <f>0</f>
        <v>0</v>
      </c>
      <c r="E71" s="52">
        <f>0</f>
        <v>0</v>
      </c>
      <c r="F71" s="52">
        <f>$E$25*B71*$E$24*9.81*$K$26/'Wing aero load'!$D$31</f>
        <v>3186023.6186388689</v>
      </c>
      <c r="G71" s="211">
        <f>'Wing inertia load'!E80*'Wing and Engine Torque Landing'!$E$26*B71/1.65</f>
        <v>0</v>
      </c>
      <c r="H71" s="85">
        <f>K25*9.81*K26*E27</f>
        <v>147410378.24625</v>
      </c>
      <c r="I71" s="52">
        <f t="shared" si="0"/>
        <v>0</v>
      </c>
      <c r="J71" s="52">
        <f t="shared" si="1"/>
        <v>0</v>
      </c>
      <c r="K71" s="52">
        <f t="shared" si="2"/>
        <v>1576685.6370817269</v>
      </c>
      <c r="L71" s="52">
        <f t="shared" si="3"/>
        <v>0</v>
      </c>
      <c r="M71" s="211">
        <v>0</v>
      </c>
      <c r="N71" s="67">
        <f t="shared" si="4"/>
        <v>-145833692.60916829</v>
      </c>
      <c r="O71" s="67">
        <f>SUM($N71:N$96)</f>
        <v>-118339163.36893034</v>
      </c>
      <c r="Y71" s="4">
        <f t="shared" si="5"/>
        <v>-118339.16336893034</v>
      </c>
      <c r="AA71" s="211">
        <v>0</v>
      </c>
      <c r="AB71" s="67">
        <f t="shared" si="6"/>
        <v>0</v>
      </c>
      <c r="AC71" s="67">
        <f>SUM($AB71:AB$96)</f>
        <v>0</v>
      </c>
      <c r="AD71" s="4">
        <f t="shared" si="7"/>
        <v>0</v>
      </c>
      <c r="AM71" s="4">
        <v>-118339.16336893034</v>
      </c>
    </row>
    <row r="72" spans="1:39">
      <c r="B72">
        <v>0.52621015839373009</v>
      </c>
      <c r="C72" s="149">
        <v>17.5</v>
      </c>
      <c r="D72" s="85">
        <f>0</f>
        <v>0</v>
      </c>
      <c r="E72" s="52">
        <f>0</f>
        <v>0</v>
      </c>
      <c r="F72" s="52">
        <f>$E$25*B72*$E$24*9.81*$K$26/'Wing aero load'!$D$31</f>
        <v>3120718.9296880383</v>
      </c>
      <c r="G72" s="211">
        <f>'Wing inertia load'!E81*'Wing and Engine Torque Landing'!$E$26*B72/1.65</f>
        <v>0</v>
      </c>
      <c r="H72" s="85">
        <v>0</v>
      </c>
      <c r="I72" s="52">
        <f t="shared" si="0"/>
        <v>0</v>
      </c>
      <c r="J72" s="52">
        <f t="shared" si="1"/>
        <v>0</v>
      </c>
      <c r="K72" s="52">
        <f t="shared" si="2"/>
        <v>1544033.2926063116</v>
      </c>
      <c r="L72" s="52">
        <f t="shared" si="3"/>
        <v>0</v>
      </c>
      <c r="M72" s="211">
        <f>0</f>
        <v>0</v>
      </c>
      <c r="N72" s="67">
        <f t="shared" si="4"/>
        <v>1544033.2926063116</v>
      </c>
      <c r="O72" s="67">
        <f>SUM($N72:N$96)</f>
        <v>27494529.240237933</v>
      </c>
      <c r="Y72" s="4">
        <f t="shared" si="5"/>
        <v>27494.529240237931</v>
      </c>
      <c r="AA72" s="211">
        <f>0</f>
        <v>0</v>
      </c>
      <c r="AB72" s="67">
        <f t="shared" si="6"/>
        <v>0</v>
      </c>
      <c r="AC72" s="67">
        <f>SUM($AB72:AB$96)</f>
        <v>0</v>
      </c>
      <c r="AD72" s="4">
        <f t="shared" si="7"/>
        <v>0</v>
      </c>
      <c r="AM72" s="4">
        <v>27494.529240237931</v>
      </c>
    </row>
    <row r="73" spans="1:39" ht="15" thickBot="1">
      <c r="B73">
        <v>0.51519859615729857</v>
      </c>
      <c r="C73" s="149">
        <v>18</v>
      </c>
      <c r="D73" s="85">
        <f>0</f>
        <v>0</v>
      </c>
      <c r="E73" s="52">
        <f>0</f>
        <v>0</v>
      </c>
      <c r="F73" s="52">
        <f>$E$25*B73*$E$24*9.81*$K$26/'Wing aero load'!$D$31</f>
        <v>3055414.2407372082</v>
      </c>
      <c r="G73" s="211">
        <f>'Wing inertia load'!E82*'Wing and Engine Torque Landing'!$E$26*B73/1.65</f>
        <v>0</v>
      </c>
      <c r="H73" s="86">
        <v>0</v>
      </c>
      <c r="I73" s="87">
        <f t="shared" si="0"/>
        <v>0</v>
      </c>
      <c r="J73" s="87">
        <f t="shared" si="1"/>
        <v>0</v>
      </c>
      <c r="K73" s="52">
        <f t="shared" si="2"/>
        <v>1511380.9481308963</v>
      </c>
      <c r="L73" s="87">
        <f t="shared" si="3"/>
        <v>0</v>
      </c>
      <c r="M73" s="211">
        <f>0</f>
        <v>0</v>
      </c>
      <c r="N73" s="67">
        <f t="shared" si="4"/>
        <v>1511380.9481308963</v>
      </c>
      <c r="O73" s="67">
        <f>SUM($N73:N$96)</f>
        <v>25950495.947631624</v>
      </c>
      <c r="Y73" s="4">
        <f t="shared" si="5"/>
        <v>25950.495947631625</v>
      </c>
      <c r="AA73" s="211">
        <f>0</f>
        <v>0</v>
      </c>
      <c r="AB73" s="67">
        <f t="shared" si="6"/>
        <v>0</v>
      </c>
      <c r="AC73" s="67">
        <f>SUM($AB73:AB$96)</f>
        <v>0</v>
      </c>
      <c r="AD73" s="4">
        <f t="shared" si="7"/>
        <v>0</v>
      </c>
      <c r="AM73" s="4">
        <v>25950.495947631625</v>
      </c>
    </row>
    <row r="74" spans="1:39" ht="15" thickBot="1">
      <c r="B74">
        <v>0.50418703392086706</v>
      </c>
      <c r="C74" s="149">
        <v>18.5</v>
      </c>
      <c r="D74" s="85">
        <f>0</f>
        <v>0</v>
      </c>
      <c r="E74" s="52">
        <f>0</f>
        <v>0</v>
      </c>
      <c r="F74" s="52">
        <f>$E$25*B74*$E$24*9.81*$K$26/'Wing aero load'!$D$31</f>
        <v>2990109.5517863776</v>
      </c>
      <c r="G74" s="211">
        <f>'Wing inertia load'!E83*'Wing and Engine Torque Landing'!$E$26*B74/1.65</f>
        <v>0</v>
      </c>
      <c r="H74" s="86">
        <v>0</v>
      </c>
      <c r="I74" s="52">
        <f t="shared" si="0"/>
        <v>0</v>
      </c>
      <c r="J74" s="52">
        <f t="shared" si="1"/>
        <v>0</v>
      </c>
      <c r="K74" s="52">
        <f t="shared" si="2"/>
        <v>1478728.603655481</v>
      </c>
      <c r="L74" s="52">
        <f t="shared" si="3"/>
        <v>0</v>
      </c>
      <c r="M74" s="211">
        <f>0</f>
        <v>0</v>
      </c>
      <c r="N74" s="67">
        <f t="shared" si="4"/>
        <v>1478728.603655481</v>
      </c>
      <c r="O74" s="67">
        <f>SUM($N74:N$96)</f>
        <v>24439114.999500725</v>
      </c>
      <c r="Y74" s="4">
        <f t="shared" si="5"/>
        <v>24439.114999500725</v>
      </c>
      <c r="AA74" s="211">
        <f>0</f>
        <v>0</v>
      </c>
      <c r="AB74" s="67">
        <f t="shared" si="6"/>
        <v>0</v>
      </c>
      <c r="AC74" s="67">
        <f>SUM($AB74:AB$96)</f>
        <v>0</v>
      </c>
      <c r="AD74" s="4">
        <f t="shared" si="7"/>
        <v>0</v>
      </c>
      <c r="AM74" s="4">
        <v>24439.114999500725</v>
      </c>
    </row>
    <row r="75" spans="1:39" ht="15" thickBot="1">
      <c r="B75">
        <v>0.49317547168443543</v>
      </c>
      <c r="C75" s="149">
        <v>19</v>
      </c>
      <c r="D75" s="85">
        <f>0</f>
        <v>0</v>
      </c>
      <c r="E75" s="52">
        <f>0</f>
        <v>0</v>
      </c>
      <c r="F75" s="52">
        <f>$E$25*B75*$E$24*9.81*$K$26/'Wing aero load'!$D$31</f>
        <v>2924804.8628355465</v>
      </c>
      <c r="G75" s="211">
        <f>'Wing inertia load'!E84*'Wing and Engine Torque Landing'!$E$26*B75/1.65</f>
        <v>0</v>
      </c>
      <c r="H75" s="86">
        <v>0</v>
      </c>
      <c r="I75" s="52">
        <f t="shared" si="0"/>
        <v>0</v>
      </c>
      <c r="J75" s="52">
        <f t="shared" si="1"/>
        <v>0</v>
      </c>
      <c r="K75" s="52">
        <f t="shared" si="2"/>
        <v>1446076.2591800657</v>
      </c>
      <c r="L75" s="52">
        <f t="shared" si="3"/>
        <v>0</v>
      </c>
      <c r="M75" s="211">
        <f>0</f>
        <v>0</v>
      </c>
      <c r="N75" s="67">
        <f t="shared" si="4"/>
        <v>1446076.2591800657</v>
      </c>
      <c r="O75" s="67">
        <f>SUM($N75:N$96)</f>
        <v>22960386.395845242</v>
      </c>
      <c r="Y75" s="4">
        <f t="shared" si="5"/>
        <v>22960.386395845242</v>
      </c>
      <c r="AA75" s="211">
        <f>0</f>
        <v>0</v>
      </c>
      <c r="AB75" s="67">
        <f t="shared" si="6"/>
        <v>0</v>
      </c>
      <c r="AC75" s="67">
        <f>SUM($AB75:AB$96)</f>
        <v>0</v>
      </c>
      <c r="AD75" s="4">
        <f t="shared" si="7"/>
        <v>0</v>
      </c>
      <c r="AM75" s="4">
        <v>22960.386395845242</v>
      </c>
    </row>
    <row r="76" spans="1:39" ht="15" thickBot="1">
      <c r="B76">
        <v>0.48216390944800391</v>
      </c>
      <c r="C76" s="149">
        <v>19.5</v>
      </c>
      <c r="D76" s="85">
        <f>0</f>
        <v>0</v>
      </c>
      <c r="E76" s="52">
        <f>0</f>
        <v>0</v>
      </c>
      <c r="F76" s="52">
        <f>$E$25*B76*$E$24*9.81*$K$26/'Wing aero load'!$D$31</f>
        <v>2859500.1738847164</v>
      </c>
      <c r="G76" s="211">
        <f>'Wing inertia load'!E85*'Wing and Engine Torque Landing'!$E$26*B76/1.65</f>
        <v>0</v>
      </c>
      <c r="H76" s="86">
        <v>0</v>
      </c>
      <c r="I76" s="52">
        <f t="shared" si="0"/>
        <v>0</v>
      </c>
      <c r="J76" s="52">
        <f t="shared" si="1"/>
        <v>0</v>
      </c>
      <c r="K76" s="52">
        <f t="shared" si="2"/>
        <v>1413423.9147046504</v>
      </c>
      <c r="L76" s="52">
        <f t="shared" si="3"/>
        <v>0</v>
      </c>
      <c r="M76" s="211">
        <f>0</f>
        <v>0</v>
      </c>
      <c r="N76" s="67">
        <f t="shared" si="4"/>
        <v>1413423.9147046504</v>
      </c>
      <c r="O76" s="67">
        <f>SUM($N76:N$96)</f>
        <v>21514310.136665177</v>
      </c>
      <c r="Y76" s="4">
        <f t="shared" si="5"/>
        <v>21514.310136665175</v>
      </c>
      <c r="AA76" s="211">
        <f>0</f>
        <v>0</v>
      </c>
      <c r="AB76" s="67">
        <f t="shared" si="6"/>
        <v>0</v>
      </c>
      <c r="AC76" s="67">
        <f>SUM($AB76:AB$96)</f>
        <v>0</v>
      </c>
      <c r="AD76" s="4">
        <f t="shared" si="7"/>
        <v>0</v>
      </c>
      <c r="AM76" s="4">
        <v>21514.310136665175</v>
      </c>
    </row>
    <row r="77" spans="1:39" ht="15" thickBot="1">
      <c r="B77">
        <v>0.4711523472115724</v>
      </c>
      <c r="C77" s="149">
        <v>20</v>
      </c>
      <c r="D77" s="85">
        <f>0</f>
        <v>0</v>
      </c>
      <c r="E77" s="52">
        <f>0</f>
        <v>0</v>
      </c>
      <c r="F77" s="52">
        <f>$E$25*B77*$E$24*9.81*$K$26/'Wing aero load'!$D$31</f>
        <v>2794195.4849338853</v>
      </c>
      <c r="G77" s="211">
        <f>'Wing inertia load'!E86*'Wing and Engine Torque Landing'!$E$26*B77/1.65</f>
        <v>0</v>
      </c>
      <c r="H77" s="86">
        <v>0</v>
      </c>
      <c r="I77" s="87">
        <f t="shared" si="0"/>
        <v>0</v>
      </c>
      <c r="J77" s="87">
        <f t="shared" si="1"/>
        <v>0</v>
      </c>
      <c r="K77" s="52">
        <f t="shared" si="2"/>
        <v>1380771.5702292351</v>
      </c>
      <c r="L77" s="52">
        <f t="shared" si="3"/>
        <v>0</v>
      </c>
      <c r="M77" s="211">
        <f>0</f>
        <v>0</v>
      </c>
      <c r="N77" s="67">
        <f t="shared" si="4"/>
        <v>1380771.5702292351</v>
      </c>
      <c r="O77" s="67">
        <f>SUM($N77:N$96)</f>
        <v>20100886.22196053</v>
      </c>
      <c r="Y77" s="4">
        <f t="shared" si="5"/>
        <v>20100.886221960529</v>
      </c>
      <c r="AA77" s="211">
        <f>0</f>
        <v>0</v>
      </c>
      <c r="AB77" s="67">
        <f t="shared" si="6"/>
        <v>0</v>
      </c>
      <c r="AC77" s="67">
        <f>SUM($AB77:AB$96)</f>
        <v>0</v>
      </c>
      <c r="AD77" s="4">
        <f t="shared" si="7"/>
        <v>0</v>
      </c>
      <c r="AM77" s="4">
        <v>20100.886221960529</v>
      </c>
    </row>
    <row r="78" spans="1:39" ht="15" thickBot="1">
      <c r="B78">
        <v>0.46014078497514083</v>
      </c>
      <c r="C78" s="149">
        <v>20.5</v>
      </c>
      <c r="D78" s="85">
        <f>0</f>
        <v>0</v>
      </c>
      <c r="E78" s="52">
        <f>0</f>
        <v>0</v>
      </c>
      <c r="F78" s="52">
        <f>$E$25*B78*$E$24*9.81*$K$26/'Wing aero load'!$D$31</f>
        <v>2728890.7959830551</v>
      </c>
      <c r="G78" s="211">
        <f>'Wing inertia load'!E87*'Wing and Engine Torque Landing'!$E$26*B78/1.65</f>
        <v>0</v>
      </c>
      <c r="H78" s="86">
        <v>0</v>
      </c>
      <c r="I78" s="52">
        <f t="shared" si="0"/>
        <v>0</v>
      </c>
      <c r="J78" s="52">
        <f t="shared" si="1"/>
        <v>0</v>
      </c>
      <c r="K78" s="52">
        <f t="shared" si="2"/>
        <v>1348119.2257538196</v>
      </c>
      <c r="L78" s="87">
        <f t="shared" si="3"/>
        <v>0</v>
      </c>
      <c r="M78" s="211">
        <f>0</f>
        <v>0</v>
      </c>
      <c r="N78" s="67">
        <f t="shared" si="4"/>
        <v>1348119.2257538196</v>
      </c>
      <c r="O78" s="67">
        <f>SUM($N78:N$96)</f>
        <v>18720114.651731294</v>
      </c>
      <c r="Y78" s="4">
        <f t="shared" si="5"/>
        <v>18720.114651731295</v>
      </c>
      <c r="AA78" s="211">
        <f>0</f>
        <v>0</v>
      </c>
      <c r="AB78" s="67">
        <f t="shared" si="6"/>
        <v>0</v>
      </c>
      <c r="AC78" s="67">
        <f>SUM($AB78:AB$96)</f>
        <v>0</v>
      </c>
      <c r="AD78" s="4">
        <f t="shared" si="7"/>
        <v>0</v>
      </c>
      <c r="AM78" s="4">
        <v>18720.114651731295</v>
      </c>
    </row>
    <row r="79" spans="1:39" ht="15" thickBot="1">
      <c r="A79" s="142"/>
      <c r="B79">
        <v>0.4491292227387092</v>
      </c>
      <c r="C79" s="149">
        <v>21</v>
      </c>
      <c r="D79" s="85">
        <f>0</f>
        <v>0</v>
      </c>
      <c r="E79" s="52">
        <f>0</f>
        <v>0</v>
      </c>
      <c r="F79" s="52">
        <f>$E$25*B79*$E$24*9.81*$K$26/'Wing aero load'!$D$31</f>
        <v>2663586.1070322236</v>
      </c>
      <c r="G79" s="211">
        <f>'Wing inertia load'!E88*'Wing and Engine Torque Landing'!$E$26*B79/1.65</f>
        <v>0</v>
      </c>
      <c r="H79" s="86">
        <v>0</v>
      </c>
      <c r="I79" s="52">
        <f t="shared" si="0"/>
        <v>0</v>
      </c>
      <c r="J79" s="52">
        <f t="shared" si="1"/>
        <v>0</v>
      </c>
      <c r="K79" s="52">
        <f t="shared" si="2"/>
        <v>1315466.8812784045</v>
      </c>
      <c r="L79" s="52">
        <f t="shared" si="3"/>
        <v>0</v>
      </c>
      <c r="M79" s="211">
        <f>0</f>
        <v>0</v>
      </c>
      <c r="N79" s="67">
        <f t="shared" si="4"/>
        <v>1315466.8812784045</v>
      </c>
      <c r="O79" s="67">
        <f>SUM($N79:N$96)</f>
        <v>17371995.425977472</v>
      </c>
      <c r="Y79" s="4">
        <f t="shared" si="5"/>
        <v>17371.995425977471</v>
      </c>
      <c r="AA79" s="211">
        <f>0</f>
        <v>0</v>
      </c>
      <c r="AB79" s="67">
        <f t="shared" si="6"/>
        <v>0</v>
      </c>
      <c r="AC79" s="67">
        <f>SUM($AB79:AB$96)</f>
        <v>0</v>
      </c>
      <c r="AD79" s="4">
        <f t="shared" si="7"/>
        <v>0</v>
      </c>
      <c r="AM79" s="4">
        <v>17371.995425977471</v>
      </c>
    </row>
    <row r="80" spans="1:39" s="160" customFormat="1" ht="15" thickBot="1">
      <c r="B80">
        <v>0.43811766050227785</v>
      </c>
      <c r="C80" s="149">
        <v>21.5</v>
      </c>
      <c r="D80" s="85">
        <f>0</f>
        <v>0</v>
      </c>
      <c r="E80" s="52">
        <f>0</f>
        <v>0</v>
      </c>
      <c r="F80" s="52">
        <f>$E$25*B80*$E$24*9.81*$K$26/'Wing aero load'!$D$31</f>
        <v>2598281.4180813949</v>
      </c>
      <c r="G80" s="211">
        <f>'Wing inertia load'!E89*'Wing and Engine Torque Landing'!$E$26*B80/1.65</f>
        <v>0</v>
      </c>
      <c r="H80" s="86">
        <v>0</v>
      </c>
      <c r="I80" s="52">
        <f t="shared" si="0"/>
        <v>0</v>
      </c>
      <c r="J80" s="52">
        <f t="shared" si="1"/>
        <v>0</v>
      </c>
      <c r="K80" s="52">
        <f t="shared" si="2"/>
        <v>1282814.5368029894</v>
      </c>
      <c r="L80" s="52">
        <f t="shared" si="3"/>
        <v>0</v>
      </c>
      <c r="M80" s="211">
        <f>0</f>
        <v>0</v>
      </c>
      <c r="N80" s="67">
        <f t="shared" si="4"/>
        <v>1282814.5368029894</v>
      </c>
      <c r="O80" s="67">
        <f>SUM($N80:N$96)</f>
        <v>16056528.544699067</v>
      </c>
      <c r="Y80" s="4">
        <f t="shared" si="5"/>
        <v>16056.528544699067</v>
      </c>
      <c r="AA80" s="211">
        <f>0</f>
        <v>0</v>
      </c>
      <c r="AB80" s="67">
        <f t="shared" si="6"/>
        <v>0</v>
      </c>
      <c r="AC80" s="67">
        <f>SUM($AB80:AB$96)</f>
        <v>0</v>
      </c>
      <c r="AD80" s="4">
        <f t="shared" si="7"/>
        <v>0</v>
      </c>
      <c r="AM80" s="160">
        <v>16056.528544699067</v>
      </c>
    </row>
    <row r="81" spans="1:39" ht="15" thickBot="1">
      <c r="B81">
        <v>0.42710609826584617</v>
      </c>
      <c r="C81" s="149">
        <v>22</v>
      </c>
      <c r="D81" s="85">
        <f>0</f>
        <v>0</v>
      </c>
      <c r="E81" s="52">
        <f>0</f>
        <v>0</v>
      </c>
      <c r="F81" s="52">
        <f>$E$25*B81*$E$24*9.81*$K$26/'Wing aero load'!$D$31</f>
        <v>2532976.7291305624</v>
      </c>
      <c r="G81" s="211">
        <f>'Wing inertia load'!E90*'Wing and Engine Torque Landing'!$E$26*B81/1.65</f>
        <v>0</v>
      </c>
      <c r="H81" s="86">
        <v>0</v>
      </c>
      <c r="I81" s="87">
        <f t="shared" si="0"/>
        <v>0</v>
      </c>
      <c r="J81" s="87">
        <f t="shared" si="1"/>
        <v>0</v>
      </c>
      <c r="K81" s="52">
        <f t="shared" si="2"/>
        <v>1250162.1923275734</v>
      </c>
      <c r="L81" s="52">
        <f t="shared" si="3"/>
        <v>0</v>
      </c>
      <c r="M81" s="211">
        <f>0</f>
        <v>0</v>
      </c>
      <c r="N81" s="67">
        <f t="shared" si="4"/>
        <v>1250162.1923275734</v>
      </c>
      <c r="O81" s="67">
        <f>SUM($N81:N$96)</f>
        <v>14773714.007896079</v>
      </c>
      <c r="Y81" s="4">
        <f t="shared" si="5"/>
        <v>14773.714007896078</v>
      </c>
      <c r="AA81" s="211">
        <f>0</f>
        <v>0</v>
      </c>
      <c r="AB81" s="67">
        <f t="shared" si="6"/>
        <v>0</v>
      </c>
      <c r="AC81" s="67">
        <f>SUM($AB81:AB$96)</f>
        <v>0</v>
      </c>
      <c r="AD81" s="4">
        <f t="shared" si="7"/>
        <v>0</v>
      </c>
      <c r="AM81" s="4">
        <v>14773.714007896078</v>
      </c>
    </row>
    <row r="82" spans="1:39" ht="15" thickBot="1">
      <c r="B82">
        <v>0.41609453602941465</v>
      </c>
      <c r="C82" s="149">
        <v>22.5</v>
      </c>
      <c r="D82" s="85">
        <f>0</f>
        <v>0</v>
      </c>
      <c r="E82" s="52">
        <f>0</f>
        <v>0</v>
      </c>
      <c r="F82" s="52">
        <f>$E$25*B82*$E$24*9.81*$K$26/'Wing aero load'!$D$31</f>
        <v>2467672.0401797318</v>
      </c>
      <c r="G82" s="211">
        <f>'Wing inertia load'!E91*'Wing and Engine Torque Landing'!$E$26*B82/1.65</f>
        <v>0</v>
      </c>
      <c r="H82" s="86">
        <v>0</v>
      </c>
      <c r="I82" s="52">
        <f t="shared" si="0"/>
        <v>0</v>
      </c>
      <c r="J82" s="52">
        <f t="shared" si="1"/>
        <v>0</v>
      </c>
      <c r="K82" s="52">
        <f t="shared" si="2"/>
        <v>1217509.8478521584</v>
      </c>
      <c r="L82" s="52">
        <f t="shared" si="3"/>
        <v>0</v>
      </c>
      <c r="M82" s="211">
        <f>0</f>
        <v>0</v>
      </c>
      <c r="N82" s="67">
        <f t="shared" si="4"/>
        <v>1217509.8478521584</v>
      </c>
      <c r="O82" s="67">
        <f>SUM($N82:N$96)</f>
        <v>13523551.815568505</v>
      </c>
      <c r="Y82" s="4">
        <f t="shared" si="5"/>
        <v>13523.551815568504</v>
      </c>
      <c r="AA82" s="211">
        <f>0</f>
        <v>0</v>
      </c>
      <c r="AB82" s="67">
        <f t="shared" si="6"/>
        <v>0</v>
      </c>
      <c r="AC82" s="67">
        <f>SUM($AB82:AB$96)</f>
        <v>0</v>
      </c>
      <c r="AD82" s="4">
        <f t="shared" si="7"/>
        <v>0</v>
      </c>
      <c r="AM82" s="4">
        <v>13523.551815568504</v>
      </c>
    </row>
    <row r="83" spans="1:39" ht="15" thickBot="1">
      <c r="B83">
        <v>0.40508297379298308</v>
      </c>
      <c r="C83" s="149">
        <v>23</v>
      </c>
      <c r="D83" s="85">
        <f>0</f>
        <v>0</v>
      </c>
      <c r="E83" s="52">
        <f>0</f>
        <v>0</v>
      </c>
      <c r="F83" s="52">
        <f>$E$25*B83*$E$24*9.81*$K$26/'Wing aero load'!$D$31</f>
        <v>2402367.3512289012</v>
      </c>
      <c r="G83" s="211">
        <f>'Wing inertia load'!E92*'Wing and Engine Torque Landing'!$E$26*B83/1.65</f>
        <v>0</v>
      </c>
      <c r="H83" s="86">
        <v>0</v>
      </c>
      <c r="I83" s="52">
        <f t="shared" si="0"/>
        <v>0</v>
      </c>
      <c r="J83" s="52">
        <f t="shared" si="1"/>
        <v>0</v>
      </c>
      <c r="K83" s="52">
        <f t="shared" si="2"/>
        <v>1184857.5033767431</v>
      </c>
      <c r="L83" s="87">
        <f t="shared" si="3"/>
        <v>0</v>
      </c>
      <c r="M83" s="211">
        <f>0</f>
        <v>0</v>
      </c>
      <c r="N83" s="67">
        <f t="shared" si="4"/>
        <v>1184857.5033767431</v>
      </c>
      <c r="O83" s="67">
        <f>SUM($N83:N$96)</f>
        <v>12306041.967716346</v>
      </c>
      <c r="Y83" s="4">
        <f t="shared" si="5"/>
        <v>12306.041967716346</v>
      </c>
      <c r="AA83" s="211">
        <f>0</f>
        <v>0</v>
      </c>
      <c r="AB83" s="67">
        <f t="shared" si="6"/>
        <v>0</v>
      </c>
      <c r="AC83" s="67">
        <f>SUM($AB83:AB$96)</f>
        <v>0</v>
      </c>
      <c r="AD83" s="4">
        <f t="shared" si="7"/>
        <v>0</v>
      </c>
      <c r="AM83" s="4">
        <v>12306.041967716346</v>
      </c>
    </row>
    <row r="84" spans="1:39" ht="15" thickBot="1">
      <c r="B84">
        <v>0.39407141155655162</v>
      </c>
      <c r="C84" s="149">
        <v>23.5</v>
      </c>
      <c r="D84" s="85">
        <f>0</f>
        <v>0</v>
      </c>
      <c r="E84" s="52">
        <f>0</f>
        <v>0</v>
      </c>
      <c r="F84" s="52">
        <f>$E$25*B84*$E$24*9.81*$K$26/'Wing aero load'!$D$31</f>
        <v>2337062.662278071</v>
      </c>
      <c r="G84" s="211">
        <f>'Wing inertia load'!E93*'Wing and Engine Torque Landing'!$E$26*B84/1.65</f>
        <v>0</v>
      </c>
      <c r="H84" s="86">
        <v>0</v>
      </c>
      <c r="I84" s="52">
        <f t="shared" si="0"/>
        <v>0</v>
      </c>
      <c r="J84" s="52">
        <f t="shared" si="1"/>
        <v>0</v>
      </c>
      <c r="K84" s="52">
        <f t="shared" si="2"/>
        <v>1152205.1589013278</v>
      </c>
      <c r="L84" s="52">
        <f t="shared" si="3"/>
        <v>0</v>
      </c>
      <c r="M84" s="211">
        <f>0</f>
        <v>0</v>
      </c>
      <c r="N84" s="67">
        <f t="shared" si="4"/>
        <v>1152205.1589013278</v>
      </c>
      <c r="O84" s="67">
        <f>SUM($N84:N$96)</f>
        <v>11121184.464339601</v>
      </c>
      <c r="Y84" s="4">
        <f t="shared" si="5"/>
        <v>11121.184464339602</v>
      </c>
      <c r="AA84" s="211">
        <f>0</f>
        <v>0</v>
      </c>
      <c r="AB84" s="67">
        <f t="shared" si="6"/>
        <v>0</v>
      </c>
      <c r="AC84" s="67">
        <f>SUM($AB84:AB$96)</f>
        <v>0</v>
      </c>
      <c r="AD84" s="4">
        <f t="shared" si="7"/>
        <v>0</v>
      </c>
      <c r="AM84" s="4">
        <v>11121.184464339602</v>
      </c>
    </row>
    <row r="85" spans="1:39" ht="15" thickBot="1">
      <c r="B85">
        <v>0.38305984932011994</v>
      </c>
      <c r="C85" s="149">
        <v>24</v>
      </c>
      <c r="D85" s="85">
        <f>0</f>
        <v>0</v>
      </c>
      <c r="E85" s="52">
        <f>0</f>
        <v>0</v>
      </c>
      <c r="F85" s="52">
        <f>$E$25*B85*$E$24*9.81*$K$26/'Wing aero load'!$D$31</f>
        <v>2271757.97332724</v>
      </c>
      <c r="G85" s="211">
        <f>'Wing inertia load'!E94*'Wing and Engine Torque Landing'!$E$26*B85/1.65</f>
        <v>0</v>
      </c>
      <c r="H85" s="86">
        <v>0</v>
      </c>
      <c r="I85" s="87">
        <f t="shared" si="0"/>
        <v>0</v>
      </c>
      <c r="J85" s="87">
        <f t="shared" si="1"/>
        <v>0</v>
      </c>
      <c r="K85" s="52">
        <f t="shared" si="2"/>
        <v>1119552.8144259122</v>
      </c>
      <c r="L85" s="52">
        <f t="shared" si="3"/>
        <v>0</v>
      </c>
      <c r="M85" s="211">
        <f>0</f>
        <v>0</v>
      </c>
      <c r="N85" s="67">
        <f t="shared" si="4"/>
        <v>1119552.8144259122</v>
      </c>
      <c r="O85" s="67">
        <f>SUM($N85:N$96)</f>
        <v>9968979.3054382745</v>
      </c>
      <c r="Y85" s="4">
        <f t="shared" si="5"/>
        <v>9968.9793054382753</v>
      </c>
      <c r="AA85" s="211">
        <f>0</f>
        <v>0</v>
      </c>
      <c r="AB85" s="67">
        <f t="shared" si="6"/>
        <v>0</v>
      </c>
      <c r="AC85" s="67">
        <f>SUM($AB85:AB$96)</f>
        <v>0</v>
      </c>
      <c r="AD85" s="4">
        <f t="shared" si="7"/>
        <v>0</v>
      </c>
      <c r="AM85" s="4">
        <v>9968.9793054382753</v>
      </c>
    </row>
    <row r="86" spans="1:39" ht="15" thickBot="1">
      <c r="B86">
        <v>0.37204828708368842</v>
      </c>
      <c r="C86" s="149">
        <v>24.5</v>
      </c>
      <c r="D86" s="85">
        <f>0</f>
        <v>0</v>
      </c>
      <c r="E86" s="52">
        <f>0</f>
        <v>0</v>
      </c>
      <c r="F86" s="52">
        <f>$E$25*B86*$E$24*9.81*$K$26/'Wing aero load'!$D$31</f>
        <v>2206453.2843764094</v>
      </c>
      <c r="G86" s="211">
        <f>'Wing inertia load'!E95*'Wing and Engine Torque Landing'!$E$26*B86/1.65</f>
        <v>0</v>
      </c>
      <c r="H86" s="86">
        <v>0</v>
      </c>
      <c r="I86" s="52">
        <f t="shared" si="0"/>
        <v>0</v>
      </c>
      <c r="J86" s="52">
        <f t="shared" si="1"/>
        <v>0</v>
      </c>
      <c r="K86" s="52">
        <f t="shared" si="2"/>
        <v>1086900.4699504972</v>
      </c>
      <c r="L86" s="52">
        <f t="shared" si="3"/>
        <v>0</v>
      </c>
      <c r="M86" s="211">
        <f>0</f>
        <v>0</v>
      </c>
      <c r="N86" s="67">
        <f t="shared" si="4"/>
        <v>1086900.4699504972</v>
      </c>
      <c r="O86" s="67">
        <f>SUM($N86:N$96)</f>
        <v>8849426.4910123628</v>
      </c>
      <c r="Y86" s="4">
        <f t="shared" si="5"/>
        <v>8849.426491012362</v>
      </c>
      <c r="AA86" s="211">
        <f>0</f>
        <v>0</v>
      </c>
      <c r="AB86" s="67">
        <f t="shared" si="6"/>
        <v>0</v>
      </c>
      <c r="AC86" s="67">
        <f>SUM($AB86:AB$96)</f>
        <v>0</v>
      </c>
      <c r="AD86" s="4">
        <f t="shared" si="7"/>
        <v>0</v>
      </c>
      <c r="AM86" s="4">
        <v>8849.426491012362</v>
      </c>
    </row>
    <row r="87" spans="1:39" ht="15" thickBot="1">
      <c r="B87">
        <v>0.36103672484725691</v>
      </c>
      <c r="C87" s="149">
        <v>25</v>
      </c>
      <c r="D87" s="85">
        <f>0</f>
        <v>0</v>
      </c>
      <c r="E87" s="52">
        <f>0</f>
        <v>0</v>
      </c>
      <c r="F87" s="52">
        <f>$E$25*B87*$E$24*9.81*$K$26/'Wing aero load'!$D$31</f>
        <v>2141148.5954255788</v>
      </c>
      <c r="G87" s="211">
        <f>'Wing inertia load'!E96*'Wing and Engine Torque Landing'!$E$26*B87/1.65</f>
        <v>0</v>
      </c>
      <c r="H87" s="86">
        <v>0</v>
      </c>
      <c r="I87" s="52">
        <f t="shared" si="0"/>
        <v>0</v>
      </c>
      <c r="J87" s="52">
        <f t="shared" si="1"/>
        <v>0</v>
      </c>
      <c r="K87" s="52">
        <f t="shared" si="2"/>
        <v>1054248.1254750818</v>
      </c>
      <c r="L87" s="52">
        <f t="shared" si="3"/>
        <v>0</v>
      </c>
      <c r="M87" s="211">
        <f>0</f>
        <v>0</v>
      </c>
      <c r="N87" s="67">
        <f t="shared" si="4"/>
        <v>1054248.1254750818</v>
      </c>
      <c r="O87" s="67">
        <f>SUM($N87:N$96)</f>
        <v>7762526.0210618656</v>
      </c>
      <c r="Y87" s="4">
        <f t="shared" si="5"/>
        <v>7762.5260210618653</v>
      </c>
      <c r="AA87" s="211">
        <f>0</f>
        <v>0</v>
      </c>
      <c r="AB87" s="67">
        <f t="shared" si="6"/>
        <v>0</v>
      </c>
      <c r="AC87" s="67">
        <f>SUM($AB87:AB$96)</f>
        <v>0</v>
      </c>
      <c r="AD87" s="4">
        <f t="shared" si="7"/>
        <v>0</v>
      </c>
      <c r="AM87" s="4">
        <v>7762.5260210618653</v>
      </c>
    </row>
    <row r="88" spans="1:39" ht="15" thickBot="1">
      <c r="B88">
        <v>0.35002516261082539</v>
      </c>
      <c r="C88" s="149">
        <v>25.5</v>
      </c>
      <c r="D88" s="85">
        <f>0</f>
        <v>0</v>
      </c>
      <c r="E88" s="52">
        <f>0</f>
        <v>0</v>
      </c>
      <c r="F88" s="52">
        <f>$E$25*B88*$E$24*9.81*$K$26/'Wing aero load'!$D$31</f>
        <v>2075843.9064747484</v>
      </c>
      <c r="G88" s="211">
        <f>'Wing inertia load'!E97*'Wing and Engine Torque Landing'!$E$26*B88/1.65</f>
        <v>0</v>
      </c>
      <c r="H88" s="86">
        <v>0</v>
      </c>
      <c r="I88" s="52">
        <f t="shared" si="0"/>
        <v>0</v>
      </c>
      <c r="J88" s="52">
        <f t="shared" si="1"/>
        <v>0</v>
      </c>
      <c r="K88" s="52">
        <f t="shared" si="2"/>
        <v>1021595.7809996664</v>
      </c>
      <c r="L88" s="87">
        <f t="shared" si="3"/>
        <v>0</v>
      </c>
      <c r="M88" s="211">
        <f>0</f>
        <v>0</v>
      </c>
      <c r="N88" s="67">
        <f t="shared" si="4"/>
        <v>1021595.7809996664</v>
      </c>
      <c r="O88" s="67">
        <f>SUM($N88:N$96)</f>
        <v>6708277.8955867831</v>
      </c>
      <c r="Y88" s="4">
        <f t="shared" si="5"/>
        <v>6708.2778955867834</v>
      </c>
      <c r="AA88" s="211">
        <f>0</f>
        <v>0</v>
      </c>
      <c r="AB88" s="67">
        <f t="shared" si="6"/>
        <v>0</v>
      </c>
      <c r="AC88" s="67">
        <f>SUM($AB88:AB$96)</f>
        <v>0</v>
      </c>
      <c r="AD88" s="4">
        <f t="shared" si="7"/>
        <v>0</v>
      </c>
      <c r="AM88" s="4">
        <v>6708.2778955867834</v>
      </c>
    </row>
    <row r="89" spans="1:39" s="160" customFormat="1" ht="15" thickBot="1">
      <c r="A89" s="144"/>
      <c r="B89">
        <v>0.33901360037439382</v>
      </c>
      <c r="C89" s="149">
        <v>26</v>
      </c>
      <c r="D89" s="85">
        <f>0</f>
        <v>0</v>
      </c>
      <c r="E89" s="52">
        <f>0</f>
        <v>0</v>
      </c>
      <c r="F89" s="52">
        <f>$E$25*B89*$E$24*9.81*$K$26/'Wing aero load'!$D$31</f>
        <v>2010539.2175239173</v>
      </c>
      <c r="G89" s="211">
        <f>'Wing inertia load'!E98*'Wing and Engine Torque Landing'!$E$26*B89/1.65</f>
        <v>0</v>
      </c>
      <c r="H89" s="86">
        <v>0</v>
      </c>
      <c r="I89" s="87">
        <f t="shared" si="0"/>
        <v>0</v>
      </c>
      <c r="J89" s="87">
        <f t="shared" si="1"/>
        <v>0</v>
      </c>
      <c r="K89" s="52">
        <f t="shared" si="2"/>
        <v>988943.43652425101</v>
      </c>
      <c r="L89" s="52">
        <f t="shared" si="3"/>
        <v>0</v>
      </c>
      <c r="M89" s="211">
        <f>0</f>
        <v>0</v>
      </c>
      <c r="N89" s="67">
        <f t="shared" si="4"/>
        <v>988943.43652425101</v>
      </c>
      <c r="O89" s="67">
        <f>SUM($N89:N$96)</f>
        <v>5686682.114587117</v>
      </c>
      <c r="Y89" s="4">
        <f t="shared" si="5"/>
        <v>5686.6821145871172</v>
      </c>
      <c r="AA89" s="211">
        <f>0</f>
        <v>0</v>
      </c>
      <c r="AB89" s="67">
        <f t="shared" si="6"/>
        <v>0</v>
      </c>
      <c r="AC89" s="67">
        <f>SUM($AB89:AB$96)</f>
        <v>0</v>
      </c>
      <c r="AD89" s="4">
        <f t="shared" si="7"/>
        <v>0</v>
      </c>
      <c r="AM89" s="160">
        <v>5686.6821145871172</v>
      </c>
    </row>
    <row r="90" spans="1:39" ht="15" thickBot="1">
      <c r="B90">
        <v>0.3280020381379623</v>
      </c>
      <c r="C90" s="149">
        <v>26.5</v>
      </c>
      <c r="D90" s="85">
        <f>0</f>
        <v>0</v>
      </c>
      <c r="E90" s="52">
        <f>0</f>
        <v>0</v>
      </c>
      <c r="F90" s="52">
        <f>$E$25*B90*$E$24*9.81*$K$26/'Wing aero load'!$D$31</f>
        <v>1945234.528573087</v>
      </c>
      <c r="G90" s="211">
        <f>'Wing inertia load'!E99*'Wing and Engine Torque Landing'!$E$26*B90/1.65</f>
        <v>0</v>
      </c>
      <c r="H90" s="86">
        <v>0</v>
      </c>
      <c r="I90" s="52">
        <f t="shared" si="0"/>
        <v>0</v>
      </c>
      <c r="J90" s="52">
        <f t="shared" si="1"/>
        <v>0</v>
      </c>
      <c r="K90" s="52">
        <f t="shared" si="2"/>
        <v>956291.09204883594</v>
      </c>
      <c r="L90" s="52">
        <f t="shared" si="3"/>
        <v>0</v>
      </c>
      <c r="M90" s="211">
        <f>0</f>
        <v>0</v>
      </c>
      <c r="N90" s="67">
        <f t="shared" si="4"/>
        <v>956291.09204883594</v>
      </c>
      <c r="O90" s="67">
        <f>SUM($N90:N$96)</f>
        <v>4697738.6780628674</v>
      </c>
      <c r="Y90" s="4">
        <f t="shared" si="5"/>
        <v>4697.7386780628676</v>
      </c>
      <c r="AA90" s="211">
        <f>0</f>
        <v>0</v>
      </c>
      <c r="AB90" s="67">
        <f t="shared" si="6"/>
        <v>0</v>
      </c>
      <c r="AC90" s="67">
        <f>SUM($AB90:AB$96)</f>
        <v>0</v>
      </c>
      <c r="AD90" s="4">
        <f t="shared" si="7"/>
        <v>0</v>
      </c>
      <c r="AM90" s="4">
        <v>4697.7386780628676</v>
      </c>
    </row>
    <row r="91" spans="1:39" ht="15" thickBot="1">
      <c r="B91">
        <v>0.31699047590153079</v>
      </c>
      <c r="C91" s="149">
        <v>27</v>
      </c>
      <c r="D91" s="85">
        <f>0</f>
        <v>0</v>
      </c>
      <c r="E91" s="52">
        <f>0</f>
        <v>0</v>
      </c>
      <c r="F91" s="52">
        <f>$E$25*B91*$E$24*9.81*$K$26/'Wing aero load'!$D$31</f>
        <v>1879929.8396222566</v>
      </c>
      <c r="G91" s="211">
        <f>'Wing inertia load'!E100*'Wing and Engine Torque Landing'!$E$26*B91/1.65</f>
        <v>0</v>
      </c>
      <c r="H91" s="86">
        <v>0</v>
      </c>
      <c r="I91" s="52">
        <f t="shared" si="0"/>
        <v>0</v>
      </c>
      <c r="J91" s="52">
        <f t="shared" si="1"/>
        <v>0</v>
      </c>
      <c r="K91" s="52">
        <f t="shared" si="2"/>
        <v>923638.74757342041</v>
      </c>
      <c r="L91" s="52">
        <f t="shared" si="3"/>
        <v>0</v>
      </c>
      <c r="M91" s="211">
        <f>0</f>
        <v>0</v>
      </c>
      <c r="N91" s="67">
        <f t="shared" si="4"/>
        <v>923638.74757342041</v>
      </c>
      <c r="O91" s="67">
        <f>SUM($N91:N$96)</f>
        <v>3741447.586014031</v>
      </c>
      <c r="Y91" s="4">
        <f t="shared" si="5"/>
        <v>3741.447586014031</v>
      </c>
      <c r="AA91" s="211">
        <f>0</f>
        <v>0</v>
      </c>
      <c r="AB91" s="67">
        <f t="shared" si="6"/>
        <v>0</v>
      </c>
      <c r="AC91" s="67">
        <f>SUM($AB91:AB$96)</f>
        <v>0</v>
      </c>
      <c r="AD91" s="4">
        <f t="shared" si="7"/>
        <v>0</v>
      </c>
      <c r="AM91" s="4">
        <v>3741.447586014031</v>
      </c>
    </row>
    <row r="92" spans="1:39" ht="15" thickBot="1">
      <c r="B92">
        <v>0.30597891366509916</v>
      </c>
      <c r="C92" s="149">
        <v>27.5</v>
      </c>
      <c r="D92" s="85">
        <f>0</f>
        <v>0</v>
      </c>
      <c r="E92" s="52">
        <f>0</f>
        <v>0</v>
      </c>
      <c r="F92" s="52">
        <f>$E$25*B92*$E$24*9.81*$K$26/'Wing aero load'!$D$31</f>
        <v>1814625.1506714253</v>
      </c>
      <c r="G92" s="211">
        <f>'Wing inertia load'!E101*'Wing and Engine Torque Landing'!$E$26*B92/1.65</f>
        <v>0</v>
      </c>
      <c r="H92" s="86">
        <v>0</v>
      </c>
      <c r="I92" s="52">
        <f t="shared" si="0"/>
        <v>0</v>
      </c>
      <c r="J92" s="52">
        <f t="shared" si="1"/>
        <v>0</v>
      </c>
      <c r="K92" s="52">
        <f t="shared" si="2"/>
        <v>890986.40309800522</v>
      </c>
      <c r="L92" s="52">
        <f t="shared" si="3"/>
        <v>0</v>
      </c>
      <c r="M92" s="211">
        <f>0</f>
        <v>0</v>
      </c>
      <c r="N92" s="67">
        <f t="shared" si="4"/>
        <v>890986.40309800522</v>
      </c>
      <c r="O92" s="67">
        <f>SUM($N92:N$96)</f>
        <v>2817808.8384406106</v>
      </c>
      <c r="Y92" s="4">
        <f t="shared" si="5"/>
        <v>2817.8088384406105</v>
      </c>
      <c r="AA92" s="211">
        <f>0</f>
        <v>0</v>
      </c>
      <c r="AB92" s="67">
        <f t="shared" si="6"/>
        <v>0</v>
      </c>
      <c r="AC92" s="67">
        <f>SUM($AB92:AB$96)</f>
        <v>0</v>
      </c>
      <c r="AD92" s="4">
        <f t="shared" si="7"/>
        <v>0</v>
      </c>
      <c r="AM92" s="4">
        <v>2817.8088384406105</v>
      </c>
    </row>
    <row r="93" spans="1:39" ht="15" thickBot="1">
      <c r="B93">
        <v>0.29496735142866776</v>
      </c>
      <c r="C93" s="149">
        <v>28</v>
      </c>
      <c r="D93" s="85">
        <f>0</f>
        <v>0</v>
      </c>
      <c r="E93" s="52">
        <f>0</f>
        <v>0</v>
      </c>
      <c r="F93" s="52">
        <f>$E$25*B93*$E$24*9.81*$K$26/'Wing aero load'!$D$31</f>
        <v>1749320.4617205956</v>
      </c>
      <c r="G93" s="211">
        <f>'Wing inertia load'!E102*'Wing and Engine Torque Landing'!$E$26*B93/1.65</f>
        <v>0</v>
      </c>
      <c r="H93" s="86">
        <v>0</v>
      </c>
      <c r="I93" s="87">
        <f t="shared" si="0"/>
        <v>0</v>
      </c>
      <c r="J93" s="87">
        <f t="shared" si="1"/>
        <v>0</v>
      </c>
      <c r="K93" s="52">
        <f t="shared" si="2"/>
        <v>858334.0586225898</v>
      </c>
      <c r="L93" s="87">
        <f t="shared" si="3"/>
        <v>0</v>
      </c>
      <c r="M93" s="211">
        <f>0</f>
        <v>0</v>
      </c>
      <c r="N93" s="67">
        <f t="shared" si="4"/>
        <v>858334.0586225898</v>
      </c>
      <c r="O93" s="67">
        <f>SUM($N93:N$96)</f>
        <v>1926822.435342605</v>
      </c>
      <c r="Y93" s="4">
        <f t="shared" si="5"/>
        <v>1926.8224353426051</v>
      </c>
      <c r="AA93" s="211">
        <f>0</f>
        <v>0</v>
      </c>
      <c r="AB93" s="67">
        <f t="shared" si="6"/>
        <v>0</v>
      </c>
      <c r="AC93" s="67">
        <f>SUM($AB93:AB$96)</f>
        <v>0</v>
      </c>
      <c r="AD93" s="4">
        <f t="shared" si="7"/>
        <v>0</v>
      </c>
      <c r="AM93" s="4">
        <v>1926.8224353426051</v>
      </c>
    </row>
    <row r="94" spans="1:39" ht="15" thickBot="1">
      <c r="B94">
        <v>0.28395578919223607</v>
      </c>
      <c r="C94" s="149">
        <v>28.5</v>
      </c>
      <c r="D94" s="85">
        <f>0</f>
        <v>0</v>
      </c>
      <c r="E94" s="52">
        <f>0</f>
        <v>0</v>
      </c>
      <c r="F94" s="52">
        <f>$E$25*B94*$E$24*9.81*$K$26/'Wing aero load'!$D$31</f>
        <v>1684015.7727697636</v>
      </c>
      <c r="G94" s="211">
        <f>'Wing inertia load'!E103*'Wing and Engine Torque Landing'!$E$26*B94/1.65</f>
        <v>0</v>
      </c>
      <c r="H94" s="86">
        <v>0</v>
      </c>
      <c r="I94" s="52">
        <f t="shared" si="0"/>
        <v>0</v>
      </c>
      <c r="J94" s="52">
        <f t="shared" si="1"/>
        <v>0</v>
      </c>
      <c r="K94" s="52">
        <f t="shared" si="2"/>
        <v>825681.7141471745</v>
      </c>
      <c r="L94" s="52">
        <f t="shared" si="3"/>
        <v>0</v>
      </c>
      <c r="M94" s="211">
        <f>0</f>
        <v>0</v>
      </c>
      <c r="N94" s="67">
        <f t="shared" si="4"/>
        <v>825681.7141471745</v>
      </c>
      <c r="O94" s="67">
        <f>SUM($N94:N$96)</f>
        <v>1068488.3767200152</v>
      </c>
      <c r="Y94" s="4">
        <f t="shared" si="5"/>
        <v>1068.4883767200151</v>
      </c>
      <c r="AA94" s="211">
        <f>0</f>
        <v>0</v>
      </c>
      <c r="AB94" s="67">
        <f t="shared" si="6"/>
        <v>0</v>
      </c>
      <c r="AC94" s="67">
        <f>SUM($AB94:AB$96)</f>
        <v>0</v>
      </c>
      <c r="AD94" s="4">
        <f t="shared" si="7"/>
        <v>0</v>
      </c>
      <c r="AM94" s="4">
        <v>1068.4883767200151</v>
      </c>
    </row>
    <row r="95" spans="1:39" ht="15" thickBot="1">
      <c r="B95">
        <v>0.27294422695580461</v>
      </c>
      <c r="C95" s="149">
        <v>29</v>
      </c>
      <c r="D95" s="85">
        <f>0</f>
        <v>0</v>
      </c>
      <c r="E95" s="52">
        <f>0</f>
        <v>0</v>
      </c>
      <c r="F95" s="52">
        <f>$E$25*B95*$E$24*9.81*$K$26/'Wing aero load'!$D$31</f>
        <v>1618711.0838189342</v>
      </c>
      <c r="G95" s="211">
        <f>'Wing inertia load'!E104*'Wing and Engine Torque Landing'!$E$26*B95/1.65</f>
        <v>0</v>
      </c>
      <c r="H95" s="86">
        <v>0</v>
      </c>
      <c r="I95" s="52">
        <f t="shared" si="0"/>
        <v>0</v>
      </c>
      <c r="J95" s="52">
        <f t="shared" si="1"/>
        <v>0</v>
      </c>
      <c r="K95" s="52">
        <f t="shared" si="2"/>
        <v>242806.66257284069</v>
      </c>
      <c r="L95" s="52">
        <f t="shared" si="3"/>
        <v>0</v>
      </c>
      <c r="M95" s="211">
        <f>0</f>
        <v>0</v>
      </c>
      <c r="N95" s="67">
        <f t="shared" si="4"/>
        <v>242806.66257284069</v>
      </c>
      <c r="O95" s="67">
        <f>SUM($N95:N$96)</f>
        <v>242806.66257284069</v>
      </c>
      <c r="Y95" s="4">
        <f t="shared" si="5"/>
        <v>242.80666257284071</v>
      </c>
      <c r="AA95" s="211">
        <f>0</f>
        <v>0</v>
      </c>
      <c r="AB95" s="67">
        <f t="shared" si="6"/>
        <v>0</v>
      </c>
      <c r="AC95" s="67">
        <f>SUM($AB95:AB$96)</f>
        <v>0</v>
      </c>
      <c r="AD95" s="4">
        <f t="shared" si="7"/>
        <v>0</v>
      </c>
      <c r="AM95" s="4">
        <v>242.80666257284071</v>
      </c>
    </row>
    <row r="96" spans="1:39" ht="15" thickBot="1">
      <c r="B96">
        <v>0</v>
      </c>
      <c r="C96" s="149">
        <v>29.3</v>
      </c>
      <c r="D96" s="85">
        <f>0</f>
        <v>0</v>
      </c>
      <c r="E96" s="52">
        <f>0</f>
        <v>0</v>
      </c>
      <c r="F96" s="52">
        <f>$E$25*B96*$E$24*9.81*$K$26/'Wing aero load'!$D$31</f>
        <v>0</v>
      </c>
      <c r="G96" s="211">
        <f>'Wing inertia load'!E105*'Wing and Engine Torque Landing'!$E$26*B96/1.65</f>
        <v>0</v>
      </c>
      <c r="H96" s="86">
        <v>0</v>
      </c>
      <c r="I96" s="52">
        <f t="shared" si="0"/>
        <v>0</v>
      </c>
      <c r="J96" s="52">
        <f t="shared" si="1"/>
        <v>0</v>
      </c>
      <c r="K96" s="52">
        <f t="shared" si="2"/>
        <v>0</v>
      </c>
      <c r="L96" s="52">
        <f t="shared" si="3"/>
        <v>0</v>
      </c>
      <c r="M96" s="211">
        <f>0</f>
        <v>0</v>
      </c>
      <c r="N96" s="67">
        <f t="shared" si="4"/>
        <v>0</v>
      </c>
      <c r="O96" s="67">
        <f>SUM($N96:N$96)</f>
        <v>0</v>
      </c>
      <c r="Y96" s="4">
        <f t="shared" si="5"/>
        <v>0</v>
      </c>
      <c r="AA96" s="211">
        <f>0</f>
        <v>0</v>
      </c>
      <c r="AB96" s="67">
        <f t="shared" si="6"/>
        <v>0</v>
      </c>
      <c r="AC96" s="67">
        <f>SUM($AB96:AB$96)</f>
        <v>0</v>
      </c>
      <c r="AD96" s="4">
        <f t="shared" si="7"/>
        <v>0</v>
      </c>
      <c r="AM96" s="4">
        <v>0</v>
      </c>
    </row>
    <row r="102" spans="1:11">
      <c r="B102" s="160"/>
      <c r="C102" s="160"/>
      <c r="D102" s="160"/>
      <c r="E102" s="160"/>
      <c r="F102" s="160"/>
      <c r="G102" s="160"/>
      <c r="H102" s="160"/>
      <c r="I102" s="160"/>
      <c r="J102" s="160"/>
    </row>
    <row r="103" spans="1:11">
      <c r="A103" s="164" t="s">
        <v>271</v>
      </c>
      <c r="C103" s="287" t="s">
        <v>275</v>
      </c>
      <c r="D103" s="289"/>
      <c r="E103" s="289"/>
      <c r="F103" s="288"/>
      <c r="H103" s="287" t="s">
        <v>276</v>
      </c>
      <c r="I103" s="288"/>
    </row>
    <row r="104" spans="1:11">
      <c r="A104" s="290" t="s">
        <v>272</v>
      </c>
      <c r="C104" s="145" t="s">
        <v>117</v>
      </c>
      <c r="D104" s="145" t="s">
        <v>118</v>
      </c>
      <c r="E104" s="145" t="s">
        <v>18</v>
      </c>
      <c r="F104" s="145" t="s">
        <v>19</v>
      </c>
      <c r="H104" s="145" t="s">
        <v>117</v>
      </c>
      <c r="I104" s="146" t="s">
        <v>229</v>
      </c>
      <c r="K104" s="228"/>
    </row>
    <row r="105" spans="1:11">
      <c r="A105" s="291"/>
      <c r="C105" s="6" t="s">
        <v>165</v>
      </c>
      <c r="D105" s="6" t="s">
        <v>166</v>
      </c>
      <c r="E105" s="52">
        <f>K23*E23</f>
        <v>843463800</v>
      </c>
      <c r="F105" s="6" t="s">
        <v>156</v>
      </c>
      <c r="H105" s="6" t="s">
        <v>165</v>
      </c>
      <c r="I105" s="52">
        <f>SUM(I37:I96)</f>
        <v>0</v>
      </c>
    </row>
    <row r="106" spans="1:11">
      <c r="A106" s="291"/>
      <c r="C106" s="6" t="s">
        <v>167</v>
      </c>
      <c r="D106" s="6" t="s">
        <v>168</v>
      </c>
      <c r="E106" s="52">
        <f>E28/2</f>
        <v>-527921.1740817409</v>
      </c>
      <c r="F106" s="6" t="s">
        <v>169</v>
      </c>
      <c r="H106" s="6" t="s">
        <v>167</v>
      </c>
      <c r="I106" s="52">
        <f>SUM(J37:J77)</f>
        <v>0</v>
      </c>
    </row>
    <row r="107" spans="1:11">
      <c r="A107" s="291"/>
      <c r="C107" s="6" t="s">
        <v>170</v>
      </c>
      <c r="D107" s="6" t="s">
        <v>171</v>
      </c>
      <c r="E107" s="52">
        <f>E24*9.81*E25</f>
        <v>61642116</v>
      </c>
      <c r="F107" s="6" t="s">
        <v>156</v>
      </c>
      <c r="H107" s="6" t="s">
        <v>170</v>
      </c>
      <c r="I107" s="52">
        <f>SUM(K37:K96)</f>
        <v>103280245.0358292</v>
      </c>
    </row>
    <row r="108" spans="1:11">
      <c r="A108" s="291"/>
      <c r="C108" s="6" t="s">
        <v>172</v>
      </c>
      <c r="D108" s="6" t="s">
        <v>173</v>
      </c>
      <c r="E108" s="52">
        <f>K24*9.81*E26</f>
        <v>103123602.90000002</v>
      </c>
      <c r="F108" s="6" t="s">
        <v>156</v>
      </c>
      <c r="H108" s="6" t="s">
        <v>172</v>
      </c>
      <c r="I108" s="52">
        <f>SUM(L37:L96)</f>
        <v>0</v>
      </c>
    </row>
    <row r="109" spans="1:11">
      <c r="A109" s="291"/>
      <c r="C109" s="6" t="s">
        <v>174</v>
      </c>
      <c r="D109" s="6" t="s">
        <v>175</v>
      </c>
      <c r="E109" s="52">
        <f>K25*9.81*E27*K26</f>
        <v>147410378.24625</v>
      </c>
      <c r="F109" s="6" t="s">
        <v>156</v>
      </c>
      <c r="H109" s="6" t="s">
        <v>174</v>
      </c>
      <c r="I109" s="52">
        <f>SUM(H37:H96)</f>
        <v>1484062541.3024998</v>
      </c>
    </row>
    <row r="110" spans="1:11">
      <c r="A110" s="292"/>
    </row>
  </sheetData>
  <mergeCells count="14">
    <mergeCell ref="B1:E1"/>
    <mergeCell ref="F1:G1"/>
    <mergeCell ref="H1:Z1"/>
    <mergeCell ref="A4:A19"/>
    <mergeCell ref="C21:F21"/>
    <mergeCell ref="I21:L21"/>
    <mergeCell ref="N21:Q21"/>
    <mergeCell ref="A104:A110"/>
    <mergeCell ref="A22:A33"/>
    <mergeCell ref="D35:G35"/>
    <mergeCell ref="H35:M35"/>
    <mergeCell ref="A36:A44"/>
    <mergeCell ref="C103:F103"/>
    <mergeCell ref="H103:I103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0BD2DF-AC8C-44FB-A065-D5E215DFAB4B}">
          <x14:formula1>
            <xm:f>' n-V diagram'!$H$42:$H$45</xm:f>
          </x14:formula1>
          <xm:sqref>G23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C0F1-5E54-4632-A988-DC19E7F7EFC3}">
  <dimension ref="A1:AF91"/>
  <sheetViews>
    <sheetView zoomScale="60" zoomScaleNormal="97"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Q75" sqref="Q75"/>
    </sheetView>
  </sheetViews>
  <sheetFormatPr defaultColWidth="8.83203125" defaultRowHeight="14.5"/>
  <cols>
    <col min="1" max="1" width="25.83203125" style="112" customWidth="1"/>
    <col min="2" max="2" width="8.83203125" style="32"/>
    <col min="3" max="3" width="10" style="32" customWidth="1"/>
    <col min="4" max="4" width="11.33203125" style="32" bestFit="1" customWidth="1"/>
    <col min="5" max="5" width="11.83203125" style="32" customWidth="1"/>
    <col min="6" max="6" width="11.33203125" style="32" bestFit="1" customWidth="1"/>
    <col min="7" max="7" width="9" style="32" customWidth="1"/>
    <col min="8" max="8" width="9.1640625" style="32" bestFit="1" customWidth="1"/>
    <col min="9" max="16" width="9.83203125" style="32" bestFit="1" customWidth="1"/>
    <col min="17" max="19" width="9.1640625" style="32" bestFit="1" customWidth="1"/>
    <col min="20" max="20" width="9.33203125" style="32" customWidth="1"/>
    <col min="21" max="16384" width="8.83203125" style="32"/>
  </cols>
  <sheetData>
    <row r="1" spans="1:26" s="79" customFormat="1" ht="39" customHeight="1" thickBot="1">
      <c r="A1" s="203"/>
      <c r="B1" s="305" t="s">
        <v>224</v>
      </c>
      <c r="C1" s="305"/>
      <c r="D1" s="305"/>
      <c r="E1" s="306"/>
      <c r="F1" s="308" t="s">
        <v>9</v>
      </c>
      <c r="G1" s="308"/>
      <c r="H1" s="303" t="s">
        <v>245</v>
      </c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</row>
    <row r="3" spans="1:26" ht="18.5">
      <c r="A3" s="204" t="s">
        <v>225</v>
      </c>
      <c r="R3" s="32" t="s">
        <v>184</v>
      </c>
      <c r="S3" s="32" t="s">
        <v>296</v>
      </c>
    </row>
    <row r="4" spans="1:26">
      <c r="A4" s="313" t="s">
        <v>227</v>
      </c>
      <c r="R4" s="32" t="s">
        <v>185</v>
      </c>
      <c r="S4" s="32" t="s">
        <v>298</v>
      </c>
    </row>
    <row r="5" spans="1:26">
      <c r="A5" s="278"/>
    </row>
    <row r="6" spans="1:26">
      <c r="A6" s="278"/>
    </row>
    <row r="7" spans="1:26">
      <c r="A7" s="278"/>
    </row>
    <row r="21" spans="1:18">
      <c r="D21" s="307" t="s">
        <v>176</v>
      </c>
      <c r="E21" s="307"/>
      <c r="F21" s="307"/>
      <c r="G21" s="307"/>
      <c r="H21" s="307"/>
      <c r="I21" s="307"/>
      <c r="J21" s="307"/>
      <c r="K21" s="307"/>
      <c r="L21" s="307"/>
      <c r="M21" s="307"/>
      <c r="N21" s="307"/>
      <c r="O21" s="307"/>
    </row>
    <row r="22" spans="1:18">
      <c r="C22" s="81"/>
      <c r="D22" s="131">
        <v>27.9</v>
      </c>
      <c r="E22" s="131">
        <v>127</v>
      </c>
      <c r="F22" s="131">
        <v>185.4</v>
      </c>
      <c r="G22" s="131">
        <v>203.2</v>
      </c>
      <c r="H22" s="131">
        <v>294.60000000000002</v>
      </c>
      <c r="I22" s="131">
        <v>304.8</v>
      </c>
      <c r="J22" s="131">
        <v>431.8</v>
      </c>
      <c r="K22" s="131">
        <v>508</v>
      </c>
      <c r="L22" s="131">
        <v>584.20000000000005</v>
      </c>
      <c r="M22" s="131">
        <v>660.4</v>
      </c>
      <c r="N22" s="131">
        <v>736.6</v>
      </c>
      <c r="O22" s="131">
        <v>800.1</v>
      </c>
    </row>
    <row r="23" spans="1:18">
      <c r="C23" s="81"/>
      <c r="D23" s="90"/>
      <c r="E23" s="91"/>
      <c r="F23" s="91" t="s">
        <v>184</v>
      </c>
      <c r="G23" s="91"/>
      <c r="H23" s="91" t="s">
        <v>185</v>
      </c>
      <c r="I23" s="91"/>
      <c r="J23" s="91"/>
      <c r="K23" s="91"/>
      <c r="L23" s="91"/>
      <c r="M23" s="91"/>
      <c r="N23" s="91" t="s">
        <v>228</v>
      </c>
      <c r="O23" s="92"/>
    </row>
    <row r="24" spans="1:18" s="34" customFormat="1" ht="15" thickBot="1">
      <c r="A24" s="202"/>
      <c r="C24" s="82"/>
    </row>
    <row r="25" spans="1:18">
      <c r="C25" s="81"/>
      <c r="D25" s="84"/>
      <c r="E25" s="83"/>
      <c r="F25" s="81"/>
      <c r="G25" s="81"/>
      <c r="H25" s="81"/>
      <c r="I25" s="81"/>
      <c r="J25" s="81"/>
      <c r="K25" s="81"/>
      <c r="L25" s="81"/>
      <c r="M25" s="81"/>
      <c r="N25" s="81"/>
    </row>
    <row r="26" spans="1:18" ht="18.5">
      <c r="A26" s="204" t="s">
        <v>234</v>
      </c>
      <c r="E26" s="309" t="s">
        <v>176</v>
      </c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1"/>
    </row>
    <row r="27" spans="1:18">
      <c r="A27" s="251" t="s">
        <v>249</v>
      </c>
      <c r="C27" s="261" t="s">
        <v>248</v>
      </c>
      <c r="D27" s="260"/>
      <c r="E27" s="131">
        <v>27.9</v>
      </c>
      <c r="F27" s="131">
        <v>127</v>
      </c>
      <c r="G27" s="131">
        <v>185.4</v>
      </c>
      <c r="H27" s="131">
        <v>203.2</v>
      </c>
      <c r="I27" s="131">
        <v>294.60000000000002</v>
      </c>
      <c r="J27" s="131">
        <v>304.8</v>
      </c>
      <c r="K27" s="131">
        <v>431.8</v>
      </c>
      <c r="L27" s="131">
        <v>508</v>
      </c>
      <c r="M27" s="131">
        <v>584.20000000000005</v>
      </c>
      <c r="N27" s="131">
        <v>660.4</v>
      </c>
      <c r="O27" s="131">
        <v>736.6</v>
      </c>
      <c r="P27" s="131">
        <v>800.1</v>
      </c>
      <c r="Q27" s="131" t="s">
        <v>246</v>
      </c>
    </row>
    <row r="28" spans="1:18">
      <c r="A28" s="278"/>
      <c r="C28" s="258" t="s">
        <v>178</v>
      </c>
      <c r="D28" s="31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107">
        <v>-100</v>
      </c>
      <c r="P28" s="62"/>
      <c r="Q28" s="62">
        <f>SUM(E28:P28)</f>
        <v>-100</v>
      </c>
      <c r="R28" s="108" t="s">
        <v>179</v>
      </c>
    </row>
    <row r="29" spans="1:18">
      <c r="A29" s="278"/>
      <c r="C29" s="258" t="s">
        <v>181</v>
      </c>
      <c r="D29" s="312"/>
      <c r="E29" s="62">
        <f t="shared" ref="E29:P29" si="0">E28*E27</f>
        <v>0</v>
      </c>
      <c r="F29" s="62">
        <f t="shared" si="0"/>
        <v>0</v>
      </c>
      <c r="G29" s="62">
        <f t="shared" si="0"/>
        <v>0</v>
      </c>
      <c r="H29" s="62">
        <f t="shared" si="0"/>
        <v>0</v>
      </c>
      <c r="I29" s="62">
        <f t="shared" si="0"/>
        <v>0</v>
      </c>
      <c r="J29" s="62">
        <f t="shared" si="0"/>
        <v>0</v>
      </c>
      <c r="K29" s="62">
        <f t="shared" si="0"/>
        <v>0</v>
      </c>
      <c r="L29" s="62">
        <f t="shared" si="0"/>
        <v>0</v>
      </c>
      <c r="M29" s="62">
        <f t="shared" si="0"/>
        <v>0</v>
      </c>
      <c r="N29" s="62">
        <f t="shared" si="0"/>
        <v>0</v>
      </c>
      <c r="O29" s="62">
        <f t="shared" si="0"/>
        <v>-73660</v>
      </c>
      <c r="P29" s="62">
        <f t="shared" si="0"/>
        <v>0</v>
      </c>
      <c r="Q29" s="62">
        <f>SUM(E29:P29)</f>
        <v>-73660</v>
      </c>
      <c r="R29" s="108" t="s">
        <v>182</v>
      </c>
    </row>
    <row r="30" spans="1:18">
      <c r="A30" s="278"/>
    </row>
    <row r="31" spans="1:18">
      <c r="A31" s="278"/>
      <c r="D31" s="89"/>
    </row>
    <row r="32" spans="1:18" s="34" customFormat="1" ht="15" thickBot="1">
      <c r="A32" s="202"/>
    </row>
    <row r="34" spans="1:20" ht="18.5">
      <c r="A34" s="154" t="s">
        <v>269</v>
      </c>
    </row>
    <row r="35" spans="1:20">
      <c r="A35" s="251" t="s">
        <v>239</v>
      </c>
    </row>
    <row r="36" spans="1:20">
      <c r="A36" s="269"/>
    </row>
    <row r="37" spans="1:20">
      <c r="A37" s="269"/>
    </row>
    <row r="38" spans="1:20">
      <c r="A38" s="269"/>
    </row>
    <row r="39" spans="1:20">
      <c r="A39" s="269"/>
      <c r="D39" s="70"/>
      <c r="E39" s="71"/>
    </row>
    <row r="40" spans="1:20">
      <c r="A40" s="269"/>
      <c r="F40" s="35" t="s">
        <v>184</v>
      </c>
      <c r="G40" s="35" t="s">
        <v>185</v>
      </c>
    </row>
    <row r="41" spans="1:20">
      <c r="C41" s="301" t="s">
        <v>186</v>
      </c>
      <c r="D41" s="301"/>
      <c r="E41" s="302"/>
      <c r="F41" s="72">
        <v>185.4</v>
      </c>
      <c r="G41" s="73">
        <v>294.60000000000002</v>
      </c>
      <c r="H41" s="35" t="s">
        <v>184</v>
      </c>
      <c r="I41" s="69" t="s">
        <v>187</v>
      </c>
      <c r="J41" s="74">
        <f>-Q29</f>
        <v>73660</v>
      </c>
    </row>
    <row r="42" spans="1:20">
      <c r="C42" s="301" t="s">
        <v>188</v>
      </c>
      <c r="D42" s="301"/>
      <c r="E42" s="302"/>
      <c r="F42" s="75">
        <v>1</v>
      </c>
      <c r="G42" s="76">
        <v>1</v>
      </c>
      <c r="H42" s="35" t="s">
        <v>185</v>
      </c>
      <c r="I42" s="69"/>
      <c r="J42" s="77">
        <f>-O28</f>
        <v>100</v>
      </c>
      <c r="T42" s="32" t="s">
        <v>183</v>
      </c>
    </row>
    <row r="44" spans="1:20">
      <c r="C44" s="275" t="s">
        <v>189</v>
      </c>
      <c r="D44" s="275"/>
      <c r="E44" s="275"/>
      <c r="F44" s="37">
        <f t="array" ref="F44:F45">MMULT(MINVERSE(F41:G42),J41:J42)</f>
        <v>-404.76190476190476</v>
      </c>
    </row>
    <row r="45" spans="1:20">
      <c r="C45" s="275" t="s">
        <v>192</v>
      </c>
      <c r="D45" s="275"/>
      <c r="E45" s="275"/>
      <c r="F45" s="37">
        <v>504.76190476190482</v>
      </c>
      <c r="J45" s="71"/>
    </row>
    <row r="47" spans="1:20">
      <c r="C47" s="275" t="s">
        <v>195</v>
      </c>
      <c r="D47" s="275"/>
      <c r="E47" s="275"/>
      <c r="F47" s="37">
        <f>F44*G27</f>
        <v>-75042.857142857145</v>
      </c>
    </row>
    <row r="48" spans="1:20">
      <c r="C48" s="275" t="s">
        <v>197</v>
      </c>
      <c r="D48" s="275"/>
      <c r="E48" s="275"/>
      <c r="F48" s="37">
        <f>F45*I27</f>
        <v>148702.85714285716</v>
      </c>
    </row>
    <row r="50" spans="1:19" s="34" customFormat="1" ht="15" thickBot="1">
      <c r="A50" s="202"/>
    </row>
    <row r="52" spans="1:19" ht="18.5">
      <c r="A52" s="154" t="s">
        <v>271</v>
      </c>
      <c r="C52" s="268" t="s">
        <v>241</v>
      </c>
      <c r="D52" s="275"/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</row>
    <row r="53" spans="1:19">
      <c r="A53" s="251" t="s">
        <v>240</v>
      </c>
      <c r="C53" s="13" t="s">
        <v>190</v>
      </c>
      <c r="D53" s="127">
        <v>0</v>
      </c>
      <c r="E53" s="127">
        <v>27.9</v>
      </c>
      <c r="F53" s="127">
        <v>127</v>
      </c>
      <c r="G53" s="127">
        <v>185.4</v>
      </c>
      <c r="H53" s="127">
        <v>203.2</v>
      </c>
      <c r="I53" s="127">
        <v>294.60000000000002</v>
      </c>
      <c r="J53" s="127">
        <v>304.8</v>
      </c>
      <c r="K53" s="127">
        <v>431.8</v>
      </c>
      <c r="L53" s="127">
        <v>508</v>
      </c>
      <c r="M53" s="127">
        <v>584.20000000000005</v>
      </c>
      <c r="N53" s="127">
        <v>660.4</v>
      </c>
      <c r="O53" s="127">
        <v>736.6</v>
      </c>
      <c r="P53" s="127">
        <v>800.1</v>
      </c>
      <c r="Q53" s="13" t="s">
        <v>191</v>
      </c>
    </row>
    <row r="54" spans="1:19">
      <c r="A54" s="269"/>
      <c r="C54" s="35" t="s">
        <v>194</v>
      </c>
      <c r="D54" s="128">
        <v>0</v>
      </c>
      <c r="E54" s="128">
        <v>0</v>
      </c>
      <c r="F54" s="128">
        <v>0</v>
      </c>
      <c r="G54" s="128">
        <f>F44*9.81</f>
        <v>-3970.7142857142858</v>
      </c>
      <c r="H54" s="128">
        <v>0</v>
      </c>
      <c r="I54" s="128">
        <f>F45*9.81</f>
        <v>4951.7142857142862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28">
        <f>O28*9.81</f>
        <v>-981</v>
      </c>
      <c r="P54" s="128">
        <v>0</v>
      </c>
      <c r="Q54" s="129">
        <f>SUM(D54:P54)</f>
        <v>4.5474735088646412E-13</v>
      </c>
    </row>
    <row r="55" spans="1:19">
      <c r="A55" s="269"/>
      <c r="C55" s="35" t="s">
        <v>92</v>
      </c>
      <c r="D55" s="128">
        <f>SUM($D$54:D54)</f>
        <v>0</v>
      </c>
      <c r="E55" s="128">
        <f>SUM($D$54:E54)</f>
        <v>0</v>
      </c>
      <c r="F55" s="128">
        <f>SUM($D$54:F54)</f>
        <v>0</v>
      </c>
      <c r="G55" s="128">
        <f>SUM($D$54:G54)</f>
        <v>-3970.7142857142858</v>
      </c>
      <c r="H55" s="128">
        <f>SUM($D$54:H54)</f>
        <v>-3970.7142857142858</v>
      </c>
      <c r="I55" s="128">
        <f>SUM($D$54:I54)</f>
        <v>981.00000000000045</v>
      </c>
      <c r="J55" s="128">
        <f>SUM($D$54:J54)</f>
        <v>981.00000000000045</v>
      </c>
      <c r="K55" s="128">
        <f>SUM($D$54:K54)</f>
        <v>981.00000000000045</v>
      </c>
      <c r="L55" s="128">
        <f>SUM($D$54:L54)</f>
        <v>981.00000000000045</v>
      </c>
      <c r="M55" s="128">
        <f>SUM($D$54:M54)</f>
        <v>981.00000000000045</v>
      </c>
      <c r="N55" s="128">
        <f>SUM($D$54:N54)</f>
        <v>981.00000000000045</v>
      </c>
      <c r="O55" s="128">
        <f>SUM($D$54:O54)</f>
        <v>0</v>
      </c>
      <c r="P55" s="128">
        <f>SUM($D$54:P54)</f>
        <v>4.5474735088646412E-13</v>
      </c>
      <c r="Q55" s="130"/>
    </row>
    <row r="56" spans="1:19">
      <c r="A56" s="269"/>
      <c r="C56" s="35" t="s">
        <v>198</v>
      </c>
      <c r="D56" s="128">
        <v>0</v>
      </c>
      <c r="E56" s="128">
        <f t="shared" ref="E56:P56" si="1">(D55*(E53-D53)+(E55-D55)*(E53-D53)/2)/100</f>
        <v>0</v>
      </c>
      <c r="F56" s="128">
        <f t="shared" si="1"/>
        <v>0</v>
      </c>
      <c r="G56" s="128">
        <f t="shared" si="1"/>
        <v>-1159.4485714285715</v>
      </c>
      <c r="H56" s="128">
        <f t="shared" si="1"/>
        <v>-706.78714285714216</v>
      </c>
      <c r="I56" s="128">
        <f t="shared" si="1"/>
        <v>-1366.299428571429</v>
      </c>
      <c r="J56" s="128">
        <f t="shared" si="1"/>
        <v>100.06199999999994</v>
      </c>
      <c r="K56" s="128">
        <f t="shared" si="1"/>
        <v>1245.8700000000006</v>
      </c>
      <c r="L56" s="128">
        <f t="shared" si="1"/>
        <v>747.52200000000028</v>
      </c>
      <c r="M56" s="128">
        <f t="shared" si="1"/>
        <v>747.52200000000084</v>
      </c>
      <c r="N56" s="128">
        <f t="shared" si="1"/>
        <v>747.52199999999971</v>
      </c>
      <c r="O56" s="128">
        <f t="shared" si="1"/>
        <v>373.76100000000042</v>
      </c>
      <c r="P56" s="128">
        <f t="shared" si="1"/>
        <v>1.4438228390645236E-13</v>
      </c>
      <c r="Q56" s="130"/>
    </row>
    <row r="57" spans="1:19">
      <c r="A57" s="269"/>
      <c r="C57" s="35" t="s">
        <v>199</v>
      </c>
      <c r="D57" s="128">
        <f>SUM($D$56:D56)</f>
        <v>0</v>
      </c>
      <c r="E57" s="128">
        <f>SUM($D$56:E56)</f>
        <v>0</v>
      </c>
      <c r="F57" s="128">
        <f>SUM($D$56:F56)</f>
        <v>0</v>
      </c>
      <c r="G57" s="128">
        <f>SUM($D$56:G56)</f>
        <v>-1159.4485714285715</v>
      </c>
      <c r="H57" s="128">
        <f>SUM($D$56:H56)</f>
        <v>-1866.2357142857136</v>
      </c>
      <c r="I57" s="128">
        <f>SUM($D$56:I56)</f>
        <v>-3232.5351428571425</v>
      </c>
      <c r="J57" s="128">
        <f>SUM($D$56:J56)</f>
        <v>-3132.4731428571426</v>
      </c>
      <c r="K57" s="128">
        <f>SUM($D$56:K56)</f>
        <v>-1886.6031428571421</v>
      </c>
      <c r="L57" s="128">
        <f>SUM($D$56:L56)</f>
        <v>-1139.0811428571419</v>
      </c>
      <c r="M57" s="128">
        <f>SUM($D$56:M56)</f>
        <v>-391.55914285714107</v>
      </c>
      <c r="N57" s="128">
        <f>SUM($D$56:N56)</f>
        <v>355.96285714285864</v>
      </c>
      <c r="O57" s="128">
        <f>SUM($D$56:O56)</f>
        <v>729.72385714285906</v>
      </c>
      <c r="P57" s="128">
        <f>SUM($D$56:P56)</f>
        <v>729.72385714285917</v>
      </c>
      <c r="Q57" s="130"/>
      <c r="R57" s="47"/>
      <c r="S57" s="47"/>
    </row>
    <row r="58" spans="1:19">
      <c r="A58" s="269"/>
      <c r="R58" s="47"/>
      <c r="S58" s="47"/>
    </row>
    <row r="62" spans="1:19">
      <c r="G62" s="78"/>
      <c r="H62" s="47"/>
      <c r="I62" s="47"/>
    </row>
    <row r="63" spans="1:19">
      <c r="G63" s="78"/>
      <c r="H63" s="47"/>
      <c r="I63" s="47"/>
    </row>
    <row r="64" spans="1:19">
      <c r="G64" s="78"/>
      <c r="H64" s="47"/>
      <c r="I64" s="47"/>
    </row>
    <row r="65" spans="7:32">
      <c r="G65" s="78"/>
      <c r="H65" s="47"/>
      <c r="I65" s="47"/>
    </row>
    <row r="66" spans="7:32">
      <c r="G66" s="78"/>
      <c r="H66" s="47"/>
      <c r="I66" s="4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7:32">
      <c r="G67" s="78"/>
      <c r="H67" s="47"/>
      <c r="I67" s="4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7:32">
      <c r="G68" s="78"/>
      <c r="H68" s="47"/>
      <c r="I68" s="4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7:32"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7:32"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7:32"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7:32"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7:32"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7:32"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7:32"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7:32"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7:32"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7:32"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7:32"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7:32"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3:32"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3:32"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3:32"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3:32"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3:32"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3:32"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3:32"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3:32"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3:32"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3:32"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3:32"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</sheetData>
  <mergeCells count="19">
    <mergeCell ref="C28:D28"/>
    <mergeCell ref="C29:D29"/>
    <mergeCell ref="C27:D27"/>
    <mergeCell ref="A27:A31"/>
    <mergeCell ref="A4:A7"/>
    <mergeCell ref="H1:Z1"/>
    <mergeCell ref="B1:E1"/>
    <mergeCell ref="D21:O21"/>
    <mergeCell ref="F1:G1"/>
    <mergeCell ref="E26:P26"/>
    <mergeCell ref="A35:A40"/>
    <mergeCell ref="A53:A58"/>
    <mergeCell ref="C42:E42"/>
    <mergeCell ref="C41:E41"/>
    <mergeCell ref="C52:Q52"/>
    <mergeCell ref="C44:E44"/>
    <mergeCell ref="C45:E45"/>
    <mergeCell ref="C47:E47"/>
    <mergeCell ref="C48:E48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93D7-5530-4D62-AABB-8ECCC9F210BD}">
  <dimension ref="A1:Z74"/>
  <sheetViews>
    <sheetView zoomScale="75" zoomScaleNormal="70" workbookViewId="0">
      <pane xSplit="1" ySplit="1" topLeftCell="B41" activePane="bottomRight" state="frozen"/>
      <selection pane="topRight" activeCell="B1" sqref="B1"/>
      <selection pane="bottomLeft" activeCell="A2" sqref="A2"/>
      <selection pane="bottomRight"/>
    </sheetView>
  </sheetViews>
  <sheetFormatPr defaultColWidth="8.83203125" defaultRowHeight="14.5"/>
  <cols>
    <col min="1" max="1" width="25.83203125" style="24" customWidth="1"/>
    <col min="2" max="2" width="8.83203125" style="4"/>
    <col min="3" max="3" width="13.33203125" style="4" customWidth="1"/>
    <col min="4" max="4" width="12.33203125" style="4" customWidth="1"/>
    <col min="5" max="5" width="11.33203125" style="4" customWidth="1"/>
    <col min="6" max="6" width="10.33203125" style="4" customWidth="1"/>
    <col min="7" max="7" width="9" style="4" customWidth="1"/>
    <col min="8" max="8" width="9.1640625" style="4" bestFit="1" customWidth="1"/>
    <col min="9" max="16" width="9.83203125" style="4" bestFit="1" customWidth="1"/>
    <col min="17" max="17" width="10.83203125" style="4" bestFit="1" customWidth="1"/>
    <col min="18" max="18" width="9.33203125" style="4" bestFit="1" customWidth="1"/>
    <col min="19" max="19" width="9.1640625" style="4" bestFit="1" customWidth="1"/>
    <col min="20" max="20" width="9.33203125" style="4" customWidth="1"/>
    <col min="21" max="32" width="9" style="4" bestFit="1" customWidth="1"/>
    <col min="33" max="33" width="9.1640625" style="4" bestFit="1" customWidth="1"/>
    <col min="34" max="16384" width="8.83203125" style="4"/>
  </cols>
  <sheetData>
    <row r="1" spans="1:26" s="93" customFormat="1" ht="38.25" customHeight="1" thickBot="1">
      <c r="A1" s="44"/>
      <c r="B1" s="254" t="s">
        <v>242</v>
      </c>
      <c r="C1" s="279"/>
      <c r="D1" s="279"/>
      <c r="E1" s="280"/>
      <c r="F1" s="314" t="s">
        <v>243</v>
      </c>
      <c r="G1" s="314"/>
      <c r="H1" s="303" t="s">
        <v>244</v>
      </c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</row>
    <row r="3" spans="1:26" ht="18.5">
      <c r="A3" s="154" t="s">
        <v>225</v>
      </c>
    </row>
    <row r="4" spans="1:26">
      <c r="A4" s="251" t="s">
        <v>227</v>
      </c>
    </row>
    <row r="5" spans="1:26">
      <c r="A5" s="269"/>
    </row>
    <row r="6" spans="1:26">
      <c r="A6" s="269"/>
    </row>
    <row r="7" spans="1:26">
      <c r="A7" s="269"/>
    </row>
    <row r="21" spans="1:18">
      <c r="C21" s="307" t="s">
        <v>176</v>
      </c>
      <c r="D21" s="307"/>
      <c r="E21" s="307"/>
      <c r="F21" s="307"/>
      <c r="G21" s="307"/>
      <c r="H21" s="307"/>
      <c r="I21" s="307"/>
      <c r="J21" s="307"/>
      <c r="K21" s="307"/>
      <c r="L21" s="307"/>
      <c r="M21" s="307"/>
      <c r="N21" s="307"/>
    </row>
    <row r="22" spans="1:18">
      <c r="C22" s="131">
        <v>27.9</v>
      </c>
      <c r="D22" s="131">
        <v>127</v>
      </c>
      <c r="E22" s="131">
        <v>185.4</v>
      </c>
      <c r="F22" s="131">
        <v>203.2</v>
      </c>
      <c r="G22" s="131">
        <v>294.60000000000002</v>
      </c>
      <c r="H22" s="131">
        <v>304.8</v>
      </c>
      <c r="I22" s="131">
        <v>431.8</v>
      </c>
      <c r="J22" s="131">
        <v>508</v>
      </c>
      <c r="K22" s="131">
        <v>584.20000000000005</v>
      </c>
      <c r="L22" s="131">
        <v>660.4</v>
      </c>
      <c r="M22" s="131">
        <v>736.6</v>
      </c>
      <c r="N22" s="131">
        <v>800.1</v>
      </c>
    </row>
    <row r="23" spans="1:18">
      <c r="C23" s="90"/>
      <c r="D23" s="91"/>
      <c r="E23" s="91" t="s">
        <v>184</v>
      </c>
      <c r="F23" s="91"/>
      <c r="G23" s="91" t="s">
        <v>185</v>
      </c>
      <c r="H23" s="91"/>
      <c r="I23" s="91"/>
      <c r="J23" s="91"/>
      <c r="K23" s="91"/>
      <c r="L23" s="91"/>
      <c r="M23" s="91"/>
      <c r="N23" s="92"/>
    </row>
    <row r="24" spans="1:18" s="21" customFormat="1" ht="15" thickBot="1">
      <c r="A24" s="61"/>
    </row>
    <row r="26" spans="1:18" ht="18.5">
      <c r="A26" s="154" t="s">
        <v>234</v>
      </c>
      <c r="E26" s="309" t="s">
        <v>176</v>
      </c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1"/>
      <c r="Q26" s="319" t="s">
        <v>246</v>
      </c>
      <c r="R26" s="317" t="s">
        <v>201</v>
      </c>
    </row>
    <row r="27" spans="1:18">
      <c r="A27" s="251" t="s">
        <v>250</v>
      </c>
      <c r="C27" s="321" t="s">
        <v>200</v>
      </c>
      <c r="D27" s="322"/>
      <c r="E27" s="132">
        <v>27.9</v>
      </c>
      <c r="F27" s="133">
        <v>127</v>
      </c>
      <c r="G27" s="133">
        <v>185.4</v>
      </c>
      <c r="H27" s="133">
        <v>203.2</v>
      </c>
      <c r="I27" s="133">
        <v>294.60000000000002</v>
      </c>
      <c r="J27" s="133">
        <v>304.8</v>
      </c>
      <c r="K27" s="133">
        <v>431.8</v>
      </c>
      <c r="L27" s="133">
        <v>508</v>
      </c>
      <c r="M27" s="133">
        <v>584.20000000000005</v>
      </c>
      <c r="N27" s="133">
        <v>660.4</v>
      </c>
      <c r="O27" s="133">
        <v>736.6</v>
      </c>
      <c r="P27" s="134">
        <v>800.1</v>
      </c>
      <c r="Q27" s="320"/>
      <c r="R27" s="318"/>
    </row>
    <row r="28" spans="1:18">
      <c r="A28" s="269"/>
      <c r="C28" s="315" t="s">
        <v>203</v>
      </c>
      <c r="D28" s="316"/>
      <c r="E28" s="118">
        <v>396.4</v>
      </c>
      <c r="F28" s="119">
        <v>102.5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20"/>
      <c r="Q28" s="104">
        <f t="shared" ref="Q28:Q37" si="0">SUM(E28:P28)</f>
        <v>498.9</v>
      </c>
      <c r="R28" s="97">
        <v>499</v>
      </c>
    </row>
    <row r="29" spans="1:18">
      <c r="A29" s="269"/>
      <c r="C29" s="315" t="s">
        <v>204</v>
      </c>
      <c r="D29" s="316"/>
      <c r="E29" s="121">
        <v>8.6</v>
      </c>
      <c r="F29" s="122">
        <v>36.299999999999997</v>
      </c>
      <c r="G29" s="122"/>
      <c r="H29" s="122">
        <v>35.4</v>
      </c>
      <c r="I29" s="122"/>
      <c r="J29" s="122">
        <v>29.5</v>
      </c>
      <c r="K29" s="122">
        <v>23.6</v>
      </c>
      <c r="L29" s="122">
        <v>13.6</v>
      </c>
      <c r="M29" s="122">
        <v>4.5</v>
      </c>
      <c r="N29" s="122">
        <v>4.5</v>
      </c>
      <c r="O29" s="122">
        <v>2.7</v>
      </c>
      <c r="P29" s="123">
        <v>0</v>
      </c>
      <c r="Q29" s="105">
        <f t="shared" si="0"/>
        <v>158.69999999999999</v>
      </c>
      <c r="R29" s="98">
        <v>158.80000000000001</v>
      </c>
    </row>
    <row r="30" spans="1:18">
      <c r="A30" s="269"/>
      <c r="C30" s="315" t="s">
        <v>205</v>
      </c>
      <c r="D30" s="316"/>
      <c r="E30" s="121"/>
      <c r="F30" s="122"/>
      <c r="G30" s="122"/>
      <c r="H30" s="122"/>
      <c r="I30" s="122"/>
      <c r="J30" s="122"/>
      <c r="K30" s="122"/>
      <c r="L30" s="122"/>
      <c r="M30" s="122"/>
      <c r="N30" s="122">
        <v>5</v>
      </c>
      <c r="O30" s="122">
        <v>44.9</v>
      </c>
      <c r="P30" s="123"/>
      <c r="Q30" s="105">
        <f t="shared" si="0"/>
        <v>49.9</v>
      </c>
      <c r="R30" s="98">
        <v>49.9</v>
      </c>
    </row>
    <row r="31" spans="1:18" ht="18.5">
      <c r="A31" s="176"/>
      <c r="C31" s="315" t="s">
        <v>206</v>
      </c>
      <c r="D31" s="316"/>
      <c r="E31" s="121"/>
      <c r="F31" s="122"/>
      <c r="G31" s="122"/>
      <c r="H31" s="122"/>
      <c r="I31" s="122"/>
      <c r="J31" s="122">
        <v>33.1</v>
      </c>
      <c r="K31" s="122">
        <v>5.4</v>
      </c>
      <c r="L31" s="122"/>
      <c r="M31" s="122"/>
      <c r="N31" s="122"/>
      <c r="O31" s="122"/>
      <c r="P31" s="123"/>
      <c r="Q31" s="105">
        <f t="shared" si="0"/>
        <v>38.5</v>
      </c>
      <c r="R31" s="98">
        <v>38.6</v>
      </c>
    </row>
    <row r="32" spans="1:18" ht="18.5">
      <c r="A32" s="176"/>
      <c r="C32" s="315" t="s">
        <v>207</v>
      </c>
      <c r="D32" s="316"/>
      <c r="E32" s="121"/>
      <c r="F32" s="122">
        <v>37.200000000000003</v>
      </c>
      <c r="G32" s="122"/>
      <c r="H32" s="122">
        <v>21.8</v>
      </c>
      <c r="I32" s="122"/>
      <c r="J32" s="122"/>
      <c r="K32" s="122"/>
      <c r="L32" s="122"/>
      <c r="M32" s="122"/>
      <c r="N32" s="122"/>
      <c r="O32" s="122"/>
      <c r="P32" s="123"/>
      <c r="Q32" s="105">
        <f t="shared" si="0"/>
        <v>59</v>
      </c>
      <c r="R32" s="98">
        <v>59</v>
      </c>
    </row>
    <row r="33" spans="1:18">
      <c r="C33" s="315" t="s">
        <v>208</v>
      </c>
      <c r="D33" s="316"/>
      <c r="E33" s="121"/>
      <c r="F33" s="122"/>
      <c r="G33" s="122"/>
      <c r="H33" s="122"/>
      <c r="I33" s="122"/>
      <c r="J33" s="122"/>
      <c r="K33" s="122"/>
      <c r="L33" s="122"/>
      <c r="M33" s="122"/>
      <c r="N33" s="122"/>
      <c r="O33" s="122">
        <v>5.9</v>
      </c>
      <c r="P33" s="123">
        <v>10</v>
      </c>
      <c r="Q33" s="105">
        <f t="shared" si="0"/>
        <v>15.9</v>
      </c>
      <c r="R33" s="98">
        <v>15.9</v>
      </c>
    </row>
    <row r="34" spans="1:18">
      <c r="C34" s="315" t="s">
        <v>209</v>
      </c>
      <c r="D34" s="316"/>
      <c r="E34" s="121"/>
      <c r="F34" s="122"/>
      <c r="G34" s="122"/>
      <c r="H34" s="122">
        <v>34.5</v>
      </c>
      <c r="I34" s="122"/>
      <c r="J34" s="122">
        <v>45.4</v>
      </c>
      <c r="K34" s="122">
        <v>20</v>
      </c>
      <c r="L34" s="122"/>
      <c r="M34" s="122"/>
      <c r="N34" s="122"/>
      <c r="O34" s="122"/>
      <c r="P34" s="123"/>
      <c r="Q34" s="105">
        <f t="shared" si="0"/>
        <v>99.9</v>
      </c>
      <c r="R34" s="98">
        <v>99.8</v>
      </c>
    </row>
    <row r="35" spans="1:18">
      <c r="C35" s="315" t="s">
        <v>210</v>
      </c>
      <c r="D35" s="316"/>
      <c r="E35" s="121"/>
      <c r="F35" s="122"/>
      <c r="G35" s="122"/>
      <c r="H35" s="122"/>
      <c r="I35" s="122"/>
      <c r="J35" s="122"/>
      <c r="K35" s="122">
        <v>35.799999999999997</v>
      </c>
      <c r="L35" s="122">
        <v>20.9</v>
      </c>
      <c r="M35" s="122"/>
      <c r="N35" s="122"/>
      <c r="O35" s="122"/>
      <c r="P35" s="123"/>
      <c r="Q35" s="105">
        <f t="shared" si="0"/>
        <v>56.699999999999996</v>
      </c>
      <c r="R35" s="98">
        <v>56.7</v>
      </c>
    </row>
    <row r="36" spans="1:18">
      <c r="C36" s="315" t="s">
        <v>211</v>
      </c>
      <c r="D36" s="316"/>
      <c r="E36" s="121"/>
      <c r="F36" s="122"/>
      <c r="G36" s="122"/>
      <c r="H36" s="122"/>
      <c r="I36" s="122"/>
      <c r="J36" s="122">
        <v>34.5</v>
      </c>
      <c r="K36" s="122">
        <v>56.2</v>
      </c>
      <c r="L36" s="122"/>
      <c r="M36" s="122"/>
      <c r="N36" s="122"/>
      <c r="O36" s="122"/>
      <c r="P36" s="123"/>
      <c r="Q36" s="105">
        <f t="shared" si="0"/>
        <v>90.7</v>
      </c>
      <c r="R36" s="98">
        <v>90.7</v>
      </c>
    </row>
    <row r="37" spans="1:18">
      <c r="C37" s="323" t="s">
        <v>212</v>
      </c>
      <c r="D37" s="324"/>
      <c r="E37" s="124"/>
      <c r="F37" s="125"/>
      <c r="G37" s="125"/>
      <c r="H37" s="125">
        <v>47.6</v>
      </c>
      <c r="I37" s="125"/>
      <c r="J37" s="125">
        <v>43.1</v>
      </c>
      <c r="K37" s="125"/>
      <c r="L37" s="125"/>
      <c r="M37" s="125"/>
      <c r="N37" s="125"/>
      <c r="O37" s="125"/>
      <c r="P37" s="126"/>
      <c r="Q37" s="106">
        <f t="shared" si="0"/>
        <v>90.7</v>
      </c>
      <c r="R37" s="99">
        <v>90.7</v>
      </c>
    </row>
    <row r="39" spans="1:18">
      <c r="C39" s="261" t="s">
        <v>180</v>
      </c>
      <c r="D39" s="260"/>
      <c r="E39" s="10">
        <f t="shared" ref="E39:Q39" si="1">SUM(E28:E37)</f>
        <v>405</v>
      </c>
      <c r="F39" s="10">
        <f t="shared" si="1"/>
        <v>176</v>
      </c>
      <c r="G39" s="10">
        <f t="shared" si="1"/>
        <v>0</v>
      </c>
      <c r="H39" s="10">
        <f t="shared" si="1"/>
        <v>139.30000000000001</v>
      </c>
      <c r="I39" s="10">
        <f t="shared" si="1"/>
        <v>0</v>
      </c>
      <c r="J39" s="10">
        <f t="shared" si="1"/>
        <v>185.6</v>
      </c>
      <c r="K39" s="10">
        <f t="shared" si="1"/>
        <v>141</v>
      </c>
      <c r="L39" s="10">
        <f t="shared" si="1"/>
        <v>34.5</v>
      </c>
      <c r="M39" s="10">
        <f t="shared" si="1"/>
        <v>4.5</v>
      </c>
      <c r="N39" s="10">
        <f t="shared" si="1"/>
        <v>9.5</v>
      </c>
      <c r="O39" s="10">
        <f t="shared" si="1"/>
        <v>53.5</v>
      </c>
      <c r="P39" s="10">
        <f t="shared" si="1"/>
        <v>10</v>
      </c>
      <c r="Q39" s="10">
        <f t="shared" si="1"/>
        <v>1158.8999999999999</v>
      </c>
      <c r="R39" s="7" t="s">
        <v>3</v>
      </c>
    </row>
    <row r="40" spans="1:18">
      <c r="C40" s="261" t="s">
        <v>181</v>
      </c>
      <c r="D40" s="260"/>
      <c r="E40" s="10">
        <f t="shared" ref="E40:P40" si="2">E39*E27</f>
        <v>11299.5</v>
      </c>
      <c r="F40" s="10">
        <f t="shared" si="2"/>
        <v>22352</v>
      </c>
      <c r="G40" s="10">
        <f t="shared" si="2"/>
        <v>0</v>
      </c>
      <c r="H40" s="10">
        <f t="shared" si="2"/>
        <v>28305.760000000002</v>
      </c>
      <c r="I40" s="10">
        <f t="shared" si="2"/>
        <v>0</v>
      </c>
      <c r="J40" s="10">
        <f t="shared" si="2"/>
        <v>56570.879999999997</v>
      </c>
      <c r="K40" s="10">
        <f t="shared" si="2"/>
        <v>60883.8</v>
      </c>
      <c r="L40" s="10">
        <f t="shared" si="2"/>
        <v>17526</v>
      </c>
      <c r="M40" s="10">
        <f t="shared" si="2"/>
        <v>2628.9</v>
      </c>
      <c r="N40" s="10">
        <f t="shared" si="2"/>
        <v>6273.8</v>
      </c>
      <c r="O40" s="10">
        <f t="shared" si="2"/>
        <v>39408.1</v>
      </c>
      <c r="P40" s="10">
        <f t="shared" si="2"/>
        <v>8001</v>
      </c>
      <c r="Q40" s="10">
        <f>SUM(E40:P40)</f>
        <v>253249.74</v>
      </c>
      <c r="R40" s="7" t="s">
        <v>247</v>
      </c>
    </row>
    <row r="41" spans="1:18">
      <c r="N41" s="68"/>
      <c r="O41" s="80"/>
    </row>
    <row r="42" spans="1:18">
      <c r="O42" s="261" t="s">
        <v>213</v>
      </c>
      <c r="P42" s="260"/>
      <c r="Q42" s="10">
        <f>Q40/Q39</f>
        <v>218.5259642764691</v>
      </c>
      <c r="R42" s="7" t="s">
        <v>214</v>
      </c>
    </row>
    <row r="43" spans="1:18" s="21" customFormat="1" ht="15" thickBot="1">
      <c r="A43" s="24"/>
    </row>
    <row r="44" spans="1:18">
      <c r="A44" s="205"/>
    </row>
    <row r="45" spans="1:18" ht="18.5">
      <c r="A45" s="154" t="s">
        <v>269</v>
      </c>
    </row>
    <row r="46" spans="1:18">
      <c r="A46" s="251" t="s">
        <v>239</v>
      </c>
    </row>
    <row r="47" spans="1:18">
      <c r="A47" s="269"/>
    </row>
    <row r="48" spans="1:18">
      <c r="A48" s="269"/>
    </row>
    <row r="49" spans="1:17">
      <c r="A49" s="269"/>
    </row>
    <row r="50" spans="1:17">
      <c r="A50" s="269"/>
    </row>
    <row r="51" spans="1:17">
      <c r="F51" s="5" t="s">
        <v>184</v>
      </c>
      <c r="G51" s="88" t="s">
        <v>185</v>
      </c>
    </row>
    <row r="52" spans="1:17">
      <c r="C52" s="326" t="s">
        <v>186</v>
      </c>
      <c r="D52" s="326"/>
      <c r="E52" s="316"/>
      <c r="F52" s="100">
        <v>185.4</v>
      </c>
      <c r="G52" s="101">
        <v>294.60000000000002</v>
      </c>
      <c r="H52" s="5" t="s">
        <v>184</v>
      </c>
      <c r="I52" s="53" t="s">
        <v>187</v>
      </c>
      <c r="J52" s="109">
        <f>Q40</f>
        <v>253249.74</v>
      </c>
    </row>
    <row r="53" spans="1:17">
      <c r="C53" s="326" t="s">
        <v>188</v>
      </c>
      <c r="D53" s="326"/>
      <c r="E53" s="316"/>
      <c r="F53" s="102">
        <v>1</v>
      </c>
      <c r="G53" s="103">
        <v>1</v>
      </c>
      <c r="H53" s="96" t="s">
        <v>185</v>
      </c>
      <c r="I53" s="53"/>
      <c r="J53" s="110">
        <f>Q39</f>
        <v>1158.8999999999999</v>
      </c>
    </row>
    <row r="55" spans="1:17">
      <c r="C55" s="268" t="s">
        <v>189</v>
      </c>
      <c r="D55" s="268"/>
      <c r="E55" s="268"/>
      <c r="F55" s="10">
        <f t="array" ref="F55:F56">MMULT(MINVERSE(F52:G53),J52:J53)</f>
        <v>807.34615384615427</v>
      </c>
    </row>
    <row r="56" spans="1:17">
      <c r="C56" s="323" t="s">
        <v>192</v>
      </c>
      <c r="D56" s="325"/>
      <c r="E56" s="324"/>
      <c r="F56" s="135">
        <v>351.55384615384583</v>
      </c>
    </row>
    <row r="58" spans="1:17">
      <c r="C58" s="261" t="s">
        <v>195</v>
      </c>
      <c r="D58" s="259"/>
      <c r="E58" s="259"/>
      <c r="F58" s="10">
        <f>F55*G27</f>
        <v>149681.97692307702</v>
      </c>
    </row>
    <row r="59" spans="1:17">
      <c r="C59" s="323" t="s">
        <v>197</v>
      </c>
      <c r="D59" s="325"/>
      <c r="E59" s="325"/>
      <c r="F59" s="135">
        <f>F56*I27</f>
        <v>103567.76307692299</v>
      </c>
    </row>
    <row r="61" spans="1:17" s="21" customFormat="1" ht="15" thickBot="1">
      <c r="A61" s="24"/>
    </row>
    <row r="62" spans="1:17">
      <c r="A62" s="205"/>
    </row>
    <row r="63" spans="1:17" ht="18.5">
      <c r="A63" s="154" t="s">
        <v>271</v>
      </c>
      <c r="C63" s="268" t="s">
        <v>241</v>
      </c>
      <c r="D63" s="275"/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</row>
    <row r="64" spans="1:17">
      <c r="A64" s="251" t="s">
        <v>240</v>
      </c>
      <c r="C64" s="13" t="s">
        <v>190</v>
      </c>
      <c r="D64" s="127">
        <v>0</v>
      </c>
      <c r="E64" s="127">
        <v>27.9</v>
      </c>
      <c r="F64" s="127">
        <v>127</v>
      </c>
      <c r="G64" s="127">
        <v>185.4</v>
      </c>
      <c r="H64" s="127">
        <v>203.2</v>
      </c>
      <c r="I64" s="127">
        <v>294.60000000000002</v>
      </c>
      <c r="J64" s="127">
        <v>304.8</v>
      </c>
      <c r="K64" s="127">
        <v>431.8</v>
      </c>
      <c r="L64" s="127">
        <v>508</v>
      </c>
      <c r="M64" s="127">
        <v>584.20000000000005</v>
      </c>
      <c r="N64" s="127">
        <v>660.4</v>
      </c>
      <c r="O64" s="127">
        <v>736.6</v>
      </c>
      <c r="P64" s="127">
        <v>800.1</v>
      </c>
      <c r="Q64" s="13" t="s">
        <v>191</v>
      </c>
    </row>
    <row r="65" spans="1:22">
      <c r="A65" s="269"/>
      <c r="C65" s="5" t="s">
        <v>193</v>
      </c>
      <c r="D65" s="10">
        <v>0</v>
      </c>
      <c r="E65" s="10">
        <f t="shared" ref="E65:P65" si="3">-E39*9.81</f>
        <v>-3973.05</v>
      </c>
      <c r="F65" s="10">
        <f t="shared" si="3"/>
        <v>-1726.5600000000002</v>
      </c>
      <c r="G65" s="10">
        <f t="shared" si="3"/>
        <v>0</v>
      </c>
      <c r="H65" s="10">
        <f t="shared" si="3"/>
        <v>-1366.5330000000001</v>
      </c>
      <c r="I65" s="10">
        <f t="shared" si="3"/>
        <v>0</v>
      </c>
      <c r="J65" s="10">
        <f t="shared" si="3"/>
        <v>-1820.7360000000001</v>
      </c>
      <c r="K65" s="10">
        <f t="shared" si="3"/>
        <v>-1383.21</v>
      </c>
      <c r="L65" s="10">
        <f t="shared" si="3"/>
        <v>-338.44499999999999</v>
      </c>
      <c r="M65" s="10">
        <f t="shared" si="3"/>
        <v>-44.145000000000003</v>
      </c>
      <c r="N65" s="10">
        <f t="shared" si="3"/>
        <v>-93.195000000000007</v>
      </c>
      <c r="O65" s="10">
        <f t="shared" si="3"/>
        <v>-524.83500000000004</v>
      </c>
      <c r="P65" s="10">
        <f t="shared" si="3"/>
        <v>-98.100000000000009</v>
      </c>
      <c r="Q65" s="41">
        <f>SUM(D65:P65)</f>
        <v>-11368.808999999999</v>
      </c>
    </row>
    <row r="66" spans="1:22">
      <c r="A66" s="269"/>
      <c r="C66" s="5" t="s">
        <v>297</v>
      </c>
      <c r="D66" s="10">
        <v>0</v>
      </c>
      <c r="E66" s="10">
        <v>0</v>
      </c>
      <c r="F66" s="10">
        <v>0</v>
      </c>
      <c r="G66" s="10">
        <f>F55*9.81</f>
        <v>7920.0657692307741</v>
      </c>
      <c r="H66" s="10">
        <v>0</v>
      </c>
      <c r="I66" s="10">
        <f>F56*9.81</f>
        <v>3448.7432307692279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41">
        <f>SUM(D66:P66)</f>
        <v>11368.809000000001</v>
      </c>
      <c r="T66" s="78"/>
      <c r="U66" s="54"/>
      <c r="V66" s="54"/>
    </row>
    <row r="67" spans="1:22">
      <c r="A67" s="269"/>
      <c r="C67" s="5" t="s">
        <v>196</v>
      </c>
      <c r="D67" s="10">
        <v>0</v>
      </c>
      <c r="E67" s="10">
        <f>E65+E66</f>
        <v>-3973.05</v>
      </c>
      <c r="F67" s="10">
        <f t="shared" ref="F67:P67" si="4">F65+F66</f>
        <v>-1726.5600000000002</v>
      </c>
      <c r="G67" s="10">
        <f t="shared" si="4"/>
        <v>7920.0657692307741</v>
      </c>
      <c r="H67" s="10">
        <f t="shared" si="4"/>
        <v>-1366.5330000000001</v>
      </c>
      <c r="I67" s="10">
        <f t="shared" si="4"/>
        <v>3448.7432307692279</v>
      </c>
      <c r="J67" s="10">
        <f t="shared" si="4"/>
        <v>-1820.7360000000001</v>
      </c>
      <c r="K67" s="10">
        <f t="shared" si="4"/>
        <v>-1383.21</v>
      </c>
      <c r="L67" s="10">
        <f t="shared" si="4"/>
        <v>-338.44499999999999</v>
      </c>
      <c r="M67" s="10">
        <f t="shared" si="4"/>
        <v>-44.145000000000003</v>
      </c>
      <c r="N67" s="10">
        <f t="shared" si="4"/>
        <v>-93.195000000000007</v>
      </c>
      <c r="O67" s="10">
        <f t="shared" si="4"/>
        <v>-524.83500000000004</v>
      </c>
      <c r="P67" s="10">
        <f t="shared" si="4"/>
        <v>-98.100000000000009</v>
      </c>
      <c r="Q67" s="41">
        <f>SUM(D67:P67)</f>
        <v>1.1510792319313623E-12</v>
      </c>
      <c r="T67" s="78"/>
      <c r="U67" s="54"/>
      <c r="V67" s="54"/>
    </row>
    <row r="68" spans="1:22">
      <c r="A68" s="269"/>
      <c r="C68" s="5" t="s">
        <v>92</v>
      </c>
      <c r="D68" s="10">
        <f>SUM($D$67:D67)</f>
        <v>0</v>
      </c>
      <c r="E68" s="10">
        <f>SUM($D$67:E67)</f>
        <v>-3973.05</v>
      </c>
      <c r="F68" s="10">
        <f>SUM($D$67:F67)</f>
        <v>-5699.6100000000006</v>
      </c>
      <c r="G68" s="10">
        <f>SUM($D$67:G67)</f>
        <v>2220.4557692307735</v>
      </c>
      <c r="H68" s="10">
        <f>SUM($D$67:H67)</f>
        <v>853.92276923077338</v>
      </c>
      <c r="I68" s="10">
        <f>SUM($D$67:I67)</f>
        <v>4302.6660000000011</v>
      </c>
      <c r="J68" s="10">
        <f>SUM($D$67:J67)</f>
        <v>2481.9300000000012</v>
      </c>
      <c r="K68" s="10">
        <f>SUM($D$67:K67)</f>
        <v>1098.7200000000012</v>
      </c>
      <c r="L68" s="10">
        <f>SUM($D$67:L67)</f>
        <v>760.27500000000123</v>
      </c>
      <c r="M68" s="10">
        <f>SUM($D$67:M67)</f>
        <v>716.13000000000125</v>
      </c>
      <c r="N68" s="10">
        <f>SUM($D$67:N67)</f>
        <v>622.9350000000012</v>
      </c>
      <c r="O68" s="10">
        <f>SUM($D$67:O67)</f>
        <v>98.10000000000116</v>
      </c>
      <c r="P68" s="10">
        <f>SUM($D$67:P67)</f>
        <v>1.1510792319313623E-12</v>
      </c>
      <c r="Q68" s="54"/>
      <c r="T68" s="78"/>
      <c r="U68" s="54"/>
      <c r="V68" s="54"/>
    </row>
    <row r="69" spans="1:22">
      <c r="C69" s="5" t="s">
        <v>198</v>
      </c>
      <c r="D69" s="10">
        <v>0</v>
      </c>
      <c r="E69" s="10">
        <f>(D68*(E64-D64)+(E68-D68)*(E64-D64)/2)/100</f>
        <v>-554.24047500000006</v>
      </c>
      <c r="F69" s="10">
        <f t="shared" ref="F69:P69" si="5">(E68*(F64-E64)+(F68-E68)*(F64-E64)/2)/100</f>
        <v>-4792.80303</v>
      </c>
      <c r="G69" s="10">
        <f>(F68*(G64-F64)+(G68-F68)*(G64-F64)/2)/100</f>
        <v>-1015.9130353846142</v>
      </c>
      <c r="H69" s="10">
        <f t="shared" si="5"/>
        <v>273.61968992307743</v>
      </c>
      <c r="I69" s="10">
        <f t="shared" si="5"/>
        <v>2356.5610675384651</v>
      </c>
      <c r="J69" s="10">
        <f t="shared" si="5"/>
        <v>346.01439599999975</v>
      </c>
      <c r="K69" s="10">
        <f t="shared" si="5"/>
        <v>2273.7127500000015</v>
      </c>
      <c r="L69" s="10">
        <f t="shared" si="5"/>
        <v>708.27709500000083</v>
      </c>
      <c r="M69" s="10">
        <f t="shared" si="5"/>
        <v>562.51030500000127</v>
      </c>
      <c r="N69" s="10">
        <f t="shared" si="5"/>
        <v>510.18376500000045</v>
      </c>
      <c r="O69" s="10">
        <f t="shared" si="5"/>
        <v>274.71433500000109</v>
      </c>
      <c r="P69" s="10">
        <f t="shared" si="5"/>
        <v>31.14675000000074</v>
      </c>
      <c r="Q69" s="54"/>
      <c r="T69" s="78"/>
      <c r="U69" s="54"/>
      <c r="V69" s="54"/>
    </row>
    <row r="70" spans="1:22">
      <c r="C70" s="5" t="s">
        <v>199</v>
      </c>
      <c r="D70" s="10">
        <f>SUM($D$69:D69)</f>
        <v>0</v>
      </c>
      <c r="E70" s="10">
        <f>SUM($D$69:E69)</f>
        <v>-554.24047500000006</v>
      </c>
      <c r="F70" s="10">
        <f>SUM($D$69:F69)</f>
        <v>-5347.0435049999996</v>
      </c>
      <c r="G70" s="10">
        <f>SUM($D$69:G69)</f>
        <v>-6362.9565403846136</v>
      </c>
      <c r="H70" s="10">
        <f>SUM($D$69:H69)</f>
        <v>-6089.3368504615364</v>
      </c>
      <c r="I70" s="10">
        <f>SUM($D$69:I69)</f>
        <v>-3732.7757829230713</v>
      </c>
      <c r="J70" s="10">
        <f>SUM($D$69:J69)</f>
        <v>-3386.7613869230718</v>
      </c>
      <c r="K70" s="10">
        <f>SUM($D$69:K69)</f>
        <v>-1113.0486369230703</v>
      </c>
      <c r="L70" s="10">
        <f>SUM($D$69:L69)</f>
        <v>-404.77154192306944</v>
      </c>
      <c r="M70" s="10">
        <f>SUM($D$69:M69)</f>
        <v>157.73876307693183</v>
      </c>
      <c r="N70" s="10">
        <f>SUM($D$69:N69)</f>
        <v>667.92252807693228</v>
      </c>
      <c r="O70" s="10">
        <f>SUM($D$69:O69)</f>
        <v>942.63686307693342</v>
      </c>
      <c r="P70" s="10">
        <f>SUM($D$69:P69)</f>
        <v>973.78361307693422</v>
      </c>
      <c r="Q70" s="54"/>
      <c r="T70" s="78"/>
      <c r="U70" s="54"/>
      <c r="V70" s="54"/>
    </row>
    <row r="71" spans="1:22">
      <c r="G71" s="78"/>
      <c r="H71" s="54"/>
      <c r="I71" s="54"/>
      <c r="T71" s="78"/>
      <c r="U71" s="54"/>
      <c r="V71" s="54"/>
    </row>
    <row r="72" spans="1:22">
      <c r="T72" s="78"/>
      <c r="U72" s="54"/>
      <c r="V72" s="54"/>
    </row>
    <row r="73" spans="1:22">
      <c r="T73" s="78"/>
      <c r="U73" s="54"/>
      <c r="V73" s="54"/>
    </row>
    <row r="74" spans="1:22">
      <c r="T74" s="78"/>
      <c r="U74" s="54"/>
      <c r="V74" s="54"/>
    </row>
  </sheetData>
  <mergeCells count="32">
    <mergeCell ref="C36:D36"/>
    <mergeCell ref="C37:D37"/>
    <mergeCell ref="C59:E59"/>
    <mergeCell ref="C63:Q63"/>
    <mergeCell ref="C52:E52"/>
    <mergeCell ref="C53:E53"/>
    <mergeCell ref="C55:E55"/>
    <mergeCell ref="C56:E56"/>
    <mergeCell ref="C58:E58"/>
    <mergeCell ref="C40:D40"/>
    <mergeCell ref="C39:D39"/>
    <mergeCell ref="C31:D31"/>
    <mergeCell ref="C32:D32"/>
    <mergeCell ref="C33:D33"/>
    <mergeCell ref="C34:D34"/>
    <mergeCell ref="C35:D35"/>
    <mergeCell ref="A46:A50"/>
    <mergeCell ref="A64:A68"/>
    <mergeCell ref="B1:E1"/>
    <mergeCell ref="F1:G1"/>
    <mergeCell ref="H1:Z1"/>
    <mergeCell ref="C29:D29"/>
    <mergeCell ref="C30:D30"/>
    <mergeCell ref="R26:R27"/>
    <mergeCell ref="Q26:Q27"/>
    <mergeCell ref="C21:N21"/>
    <mergeCell ref="C27:D27"/>
    <mergeCell ref="C28:D28"/>
    <mergeCell ref="E26:P26"/>
    <mergeCell ref="A4:A7"/>
    <mergeCell ref="A27:A30"/>
    <mergeCell ref="O42:P42"/>
  </mergeCells>
  <phoneticPr fontId="3" type="noConversion"/>
  <conditionalFormatting sqref="Q28:Q37">
    <cfRule type="expression" dxfId="3" priority="4">
      <formula>$R28&lt;$Q28</formula>
    </cfRule>
  </conditionalFormatting>
  <conditionalFormatting sqref="R29">
    <cfRule type="expression" dxfId="2" priority="2">
      <formula>$R$29&lt;$Q$29</formula>
    </cfRule>
  </conditionalFormatting>
  <conditionalFormatting sqref="R30">
    <cfRule type="expression" dxfId="1" priority="3">
      <formula>$R$30&lt;$Q$30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9ABA8-1DD6-4E55-83D7-3F4133803DFD}">
  <dimension ref="A1:Z87"/>
  <sheetViews>
    <sheetView zoomScale="82" zoomScaleNormal="70"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P23" sqref="P23"/>
    </sheetView>
  </sheetViews>
  <sheetFormatPr defaultColWidth="8.83203125" defaultRowHeight="14.5"/>
  <cols>
    <col min="1" max="1" width="25.83203125" style="95" customWidth="1"/>
    <col min="2" max="2" width="10.33203125" style="4" customWidth="1"/>
    <col min="3" max="3" width="12.6640625" style="4" customWidth="1"/>
    <col min="4" max="4" width="12.33203125" style="4" customWidth="1"/>
    <col min="5" max="5" width="14.33203125" style="4" customWidth="1"/>
    <col min="6" max="6" width="11" style="4" customWidth="1"/>
    <col min="7" max="7" width="10.33203125" style="4" customWidth="1"/>
    <col min="8" max="8" width="10" style="4" customWidth="1"/>
    <col min="9" max="9" width="10" style="4" bestFit="1" customWidth="1"/>
    <col min="10" max="10" width="10.33203125" style="4" bestFit="1" customWidth="1"/>
    <col min="11" max="11" width="10" style="4" bestFit="1" customWidth="1"/>
    <col min="12" max="12" width="12.33203125" style="4" customWidth="1"/>
    <col min="13" max="13" width="11.33203125" style="4" customWidth="1"/>
    <col min="14" max="15" width="11.1640625" style="4" customWidth="1"/>
    <col min="16" max="16" width="11.33203125" style="4" customWidth="1"/>
    <col min="17" max="17" width="10.83203125" style="4" customWidth="1"/>
    <col min="18" max="18" width="9.33203125" style="4" bestFit="1" customWidth="1"/>
    <col min="19" max="19" width="9.1640625" style="4" bestFit="1" customWidth="1"/>
    <col min="20" max="20" width="10" style="4" bestFit="1" customWidth="1"/>
    <col min="21" max="16384" width="8.83203125" style="4"/>
  </cols>
  <sheetData>
    <row r="1" spans="1:26" s="93" customFormat="1" ht="39" customHeight="1" thickBot="1">
      <c r="A1" s="201"/>
      <c r="B1" s="255" t="s">
        <v>251</v>
      </c>
      <c r="C1" s="279"/>
      <c r="D1" s="279"/>
      <c r="E1" s="280"/>
      <c r="F1" s="314" t="s">
        <v>9</v>
      </c>
      <c r="G1" s="314"/>
      <c r="H1" s="303" t="s">
        <v>252</v>
      </c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</row>
    <row r="3" spans="1:26" ht="18.5">
      <c r="A3" s="206" t="s">
        <v>225</v>
      </c>
    </row>
    <row r="4" spans="1:26">
      <c r="A4" s="328" t="s">
        <v>227</v>
      </c>
    </row>
    <row r="5" spans="1:26">
      <c r="A5" s="238"/>
    </row>
    <row r="6" spans="1:26">
      <c r="A6" s="238"/>
    </row>
    <row r="7" spans="1:26">
      <c r="A7" s="238"/>
    </row>
    <row r="8" spans="1:26">
      <c r="A8" s="238"/>
    </row>
    <row r="22" spans="1:18">
      <c r="C22" s="307" t="s">
        <v>176</v>
      </c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</row>
    <row r="23" spans="1:18">
      <c r="C23" s="131">
        <v>27.9</v>
      </c>
      <c r="D23" s="131">
        <v>127</v>
      </c>
      <c r="E23" s="131">
        <v>185.4</v>
      </c>
      <c r="F23" s="131">
        <v>203.2</v>
      </c>
      <c r="G23" s="131">
        <v>294.60000000000002</v>
      </c>
      <c r="H23" s="131">
        <v>304.8</v>
      </c>
      <c r="I23" s="131">
        <v>431.8</v>
      </c>
      <c r="J23" s="131">
        <v>508</v>
      </c>
      <c r="K23" s="131">
        <v>584.20000000000005</v>
      </c>
      <c r="L23" s="131">
        <v>660.4</v>
      </c>
      <c r="M23" s="131">
        <v>736.6</v>
      </c>
      <c r="N23" s="131">
        <v>800.1</v>
      </c>
    </row>
    <row r="24" spans="1:18">
      <c r="C24" s="90"/>
      <c r="D24" s="91"/>
      <c r="E24" s="91"/>
      <c r="F24" s="114" t="s">
        <v>299</v>
      </c>
      <c r="G24" s="91"/>
      <c r="H24" s="114"/>
      <c r="I24" s="91"/>
      <c r="J24" s="91"/>
      <c r="K24" s="91"/>
      <c r="L24" s="91"/>
      <c r="M24" s="114" t="s">
        <v>228</v>
      </c>
      <c r="N24" s="92"/>
    </row>
    <row r="25" spans="1:18" s="21" customFormat="1" ht="15" thickBot="1">
      <c r="A25" s="207"/>
    </row>
    <row r="27" spans="1:18" ht="18.5">
      <c r="A27" s="206" t="s">
        <v>234</v>
      </c>
      <c r="E27" s="327" t="s">
        <v>176</v>
      </c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17" t="s">
        <v>202</v>
      </c>
      <c r="R27" s="332" t="s">
        <v>201</v>
      </c>
    </row>
    <row r="28" spans="1:18">
      <c r="A28" s="328" t="s">
        <v>257</v>
      </c>
      <c r="C28" s="321" t="s">
        <v>256</v>
      </c>
      <c r="D28" s="322"/>
      <c r="E28" s="132">
        <v>27.9</v>
      </c>
      <c r="F28" s="133">
        <v>127</v>
      </c>
      <c r="G28" s="133">
        <v>185.4</v>
      </c>
      <c r="H28" s="133">
        <v>203.2</v>
      </c>
      <c r="I28" s="133">
        <v>294.60000000000002</v>
      </c>
      <c r="J28" s="133">
        <v>304.8</v>
      </c>
      <c r="K28" s="133">
        <v>431.8</v>
      </c>
      <c r="L28" s="133">
        <v>508</v>
      </c>
      <c r="M28" s="133">
        <v>584.20000000000005</v>
      </c>
      <c r="N28" s="133">
        <v>660.4</v>
      </c>
      <c r="O28" s="133">
        <v>736.6</v>
      </c>
      <c r="P28" s="134">
        <v>800.1</v>
      </c>
      <c r="Q28" s="331"/>
      <c r="R28" s="331"/>
    </row>
    <row r="29" spans="1:18">
      <c r="A29" s="238"/>
      <c r="C29" s="315" t="s">
        <v>203</v>
      </c>
      <c r="D29" s="316"/>
      <c r="E29" s="121">
        <v>396.4</v>
      </c>
      <c r="F29" s="122">
        <v>102.5</v>
      </c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04">
        <f t="shared" ref="Q29:Q38" si="0">SUM(E29:P29)</f>
        <v>498.9</v>
      </c>
      <c r="R29" s="97">
        <v>499</v>
      </c>
    </row>
    <row r="30" spans="1:18">
      <c r="A30" s="238"/>
      <c r="C30" s="315" t="s">
        <v>204</v>
      </c>
      <c r="D30" s="316"/>
      <c r="E30" s="121">
        <v>8.6</v>
      </c>
      <c r="F30" s="122">
        <v>36.299999999999997</v>
      </c>
      <c r="G30" s="122"/>
      <c r="H30" s="122">
        <v>35.4</v>
      </c>
      <c r="I30" s="122"/>
      <c r="J30" s="122">
        <v>29.5</v>
      </c>
      <c r="K30" s="122">
        <v>23.6</v>
      </c>
      <c r="L30" s="122">
        <v>13.6</v>
      </c>
      <c r="M30" s="122">
        <v>4.5</v>
      </c>
      <c r="N30" s="122">
        <v>4.5</v>
      </c>
      <c r="O30" s="122">
        <v>2.7</v>
      </c>
      <c r="P30" s="122">
        <v>0</v>
      </c>
      <c r="Q30" s="105">
        <f t="shared" si="0"/>
        <v>158.69999999999999</v>
      </c>
      <c r="R30" s="98">
        <v>158.80000000000001</v>
      </c>
    </row>
    <row r="31" spans="1:18">
      <c r="A31" s="238"/>
      <c r="C31" s="315" t="s">
        <v>205</v>
      </c>
      <c r="D31" s="316"/>
      <c r="E31" s="121"/>
      <c r="F31" s="122"/>
      <c r="G31" s="122"/>
      <c r="H31" s="122"/>
      <c r="I31" s="122"/>
      <c r="J31" s="122"/>
      <c r="K31" s="122"/>
      <c r="L31" s="122"/>
      <c r="M31" s="122"/>
      <c r="N31" s="122">
        <v>5</v>
      </c>
      <c r="O31" s="122">
        <v>44.9</v>
      </c>
      <c r="P31" s="122"/>
      <c r="Q31" s="105">
        <f t="shared" si="0"/>
        <v>49.9</v>
      </c>
      <c r="R31" s="98">
        <v>49.9</v>
      </c>
    </row>
    <row r="32" spans="1:18">
      <c r="A32" s="238"/>
      <c r="C32" s="315" t="s">
        <v>206</v>
      </c>
      <c r="D32" s="316"/>
      <c r="E32" s="121"/>
      <c r="F32" s="122"/>
      <c r="G32" s="122"/>
      <c r="H32" s="122"/>
      <c r="I32" s="122"/>
      <c r="J32" s="122">
        <v>33.1</v>
      </c>
      <c r="K32" s="122">
        <v>5.4</v>
      </c>
      <c r="L32" s="122"/>
      <c r="M32" s="122"/>
      <c r="N32" s="122"/>
      <c r="O32" s="122"/>
      <c r="P32" s="122"/>
      <c r="Q32" s="105">
        <f t="shared" si="0"/>
        <v>38.5</v>
      </c>
      <c r="R32" s="98">
        <v>38.6</v>
      </c>
    </row>
    <row r="33" spans="1:18">
      <c r="A33" s="238"/>
      <c r="C33" s="315" t="s">
        <v>207</v>
      </c>
      <c r="D33" s="316"/>
      <c r="E33" s="121"/>
      <c r="F33" s="122">
        <v>37.200000000000003</v>
      </c>
      <c r="G33" s="122"/>
      <c r="H33" s="122">
        <v>21.8</v>
      </c>
      <c r="I33" s="122"/>
      <c r="J33" s="122"/>
      <c r="K33" s="122"/>
      <c r="L33" s="122"/>
      <c r="M33" s="122"/>
      <c r="N33" s="122"/>
      <c r="O33" s="122"/>
      <c r="P33" s="122"/>
      <c r="Q33" s="105">
        <f t="shared" si="0"/>
        <v>59</v>
      </c>
      <c r="R33" s="98">
        <v>59</v>
      </c>
    </row>
    <row r="34" spans="1:18">
      <c r="A34" s="238"/>
      <c r="C34" s="315" t="s">
        <v>208</v>
      </c>
      <c r="D34" s="316"/>
      <c r="E34" s="121"/>
      <c r="F34" s="122"/>
      <c r="G34" s="122"/>
      <c r="H34" s="122"/>
      <c r="I34" s="122"/>
      <c r="J34" s="122"/>
      <c r="K34" s="122"/>
      <c r="L34" s="122"/>
      <c r="M34" s="122"/>
      <c r="N34" s="122"/>
      <c r="O34" s="122">
        <v>5.9</v>
      </c>
      <c r="P34" s="122">
        <v>10</v>
      </c>
      <c r="Q34" s="105">
        <f t="shared" si="0"/>
        <v>15.9</v>
      </c>
      <c r="R34" s="98">
        <v>15.9</v>
      </c>
    </row>
    <row r="35" spans="1:18">
      <c r="A35" s="238"/>
      <c r="C35" s="315" t="s">
        <v>209</v>
      </c>
      <c r="D35" s="316"/>
      <c r="E35" s="121"/>
      <c r="F35" s="122"/>
      <c r="G35" s="122"/>
      <c r="H35" s="122">
        <v>34.5</v>
      </c>
      <c r="I35" s="122"/>
      <c r="J35" s="122">
        <v>45.4</v>
      </c>
      <c r="K35" s="122">
        <v>20</v>
      </c>
      <c r="L35" s="122"/>
      <c r="M35" s="122"/>
      <c r="N35" s="122"/>
      <c r="O35" s="122"/>
      <c r="P35" s="122"/>
      <c r="Q35" s="105">
        <f t="shared" si="0"/>
        <v>99.9</v>
      </c>
      <c r="R35" s="98">
        <v>99.8</v>
      </c>
    </row>
    <row r="36" spans="1:18">
      <c r="C36" s="315" t="s">
        <v>210</v>
      </c>
      <c r="D36" s="316"/>
      <c r="E36" s="121"/>
      <c r="F36" s="122"/>
      <c r="G36" s="122"/>
      <c r="H36" s="122"/>
      <c r="I36" s="122"/>
      <c r="J36" s="122"/>
      <c r="K36" s="122">
        <v>35.799999999999997</v>
      </c>
      <c r="L36" s="122">
        <v>20.9</v>
      </c>
      <c r="M36" s="122"/>
      <c r="N36" s="122"/>
      <c r="O36" s="122"/>
      <c r="P36" s="122"/>
      <c r="Q36" s="105">
        <f t="shared" si="0"/>
        <v>56.699999999999996</v>
      </c>
      <c r="R36" s="98">
        <v>56.7</v>
      </c>
    </row>
    <row r="37" spans="1:18">
      <c r="C37" s="315" t="s">
        <v>211</v>
      </c>
      <c r="D37" s="316"/>
      <c r="E37" s="121"/>
      <c r="F37" s="122"/>
      <c r="G37" s="122"/>
      <c r="H37" s="122"/>
      <c r="I37" s="122"/>
      <c r="J37" s="122">
        <v>34.5</v>
      </c>
      <c r="K37" s="122">
        <v>56.2</v>
      </c>
      <c r="L37" s="122"/>
      <c r="M37" s="122"/>
      <c r="N37" s="122"/>
      <c r="O37" s="122"/>
      <c r="P37" s="122"/>
      <c r="Q37" s="105">
        <f t="shared" si="0"/>
        <v>90.7</v>
      </c>
      <c r="R37" s="98">
        <v>90.7</v>
      </c>
    </row>
    <row r="38" spans="1:18">
      <c r="C38" s="323" t="s">
        <v>212</v>
      </c>
      <c r="D38" s="324"/>
      <c r="E38" s="124"/>
      <c r="F38" s="125"/>
      <c r="G38" s="125"/>
      <c r="H38" s="125">
        <v>47.6</v>
      </c>
      <c r="I38" s="125"/>
      <c r="J38" s="125">
        <v>43.1</v>
      </c>
      <c r="K38" s="125"/>
      <c r="L38" s="125"/>
      <c r="M38" s="125"/>
      <c r="N38" s="125"/>
      <c r="O38" s="125"/>
      <c r="P38" s="125"/>
      <c r="Q38" s="106">
        <f t="shared" si="0"/>
        <v>90.7</v>
      </c>
      <c r="R38" s="99">
        <v>90.7</v>
      </c>
    </row>
    <row r="40" spans="1:18">
      <c r="C40" s="261" t="s">
        <v>253</v>
      </c>
      <c r="D40" s="260"/>
      <c r="E40" s="10">
        <f t="shared" ref="E40:P40" si="1">SUM(E29:E38)</f>
        <v>405</v>
      </c>
      <c r="F40" s="10">
        <f t="shared" si="1"/>
        <v>176</v>
      </c>
      <c r="G40" s="10">
        <f t="shared" si="1"/>
        <v>0</v>
      </c>
      <c r="H40" s="10">
        <f t="shared" si="1"/>
        <v>139.30000000000001</v>
      </c>
      <c r="I40" s="10">
        <f t="shared" si="1"/>
        <v>0</v>
      </c>
      <c r="J40" s="10">
        <f t="shared" si="1"/>
        <v>185.6</v>
      </c>
      <c r="K40" s="10">
        <f t="shared" si="1"/>
        <v>141</v>
      </c>
      <c r="L40" s="10">
        <f t="shared" si="1"/>
        <v>34.5</v>
      </c>
      <c r="M40" s="10">
        <f t="shared" si="1"/>
        <v>4.5</v>
      </c>
      <c r="N40" s="10">
        <f t="shared" si="1"/>
        <v>9.5</v>
      </c>
      <c r="O40" s="10">
        <f t="shared" si="1"/>
        <v>53.5</v>
      </c>
      <c r="P40" s="10">
        <f t="shared" si="1"/>
        <v>10</v>
      </c>
      <c r="Q40" s="10">
        <f>SUM(E40:P40)</f>
        <v>1158.9000000000001</v>
      </c>
      <c r="R40" s="7" t="s">
        <v>3</v>
      </c>
    </row>
    <row r="41" spans="1:18">
      <c r="C41" s="268" t="s">
        <v>258</v>
      </c>
      <c r="D41" s="268"/>
      <c r="E41" s="10">
        <f t="shared" ref="E41:P41" si="2">E40*E28</f>
        <v>11299.5</v>
      </c>
      <c r="F41" s="10">
        <f t="shared" si="2"/>
        <v>22352</v>
      </c>
      <c r="G41" s="10">
        <f t="shared" si="2"/>
        <v>0</v>
      </c>
      <c r="H41" s="10">
        <f t="shared" si="2"/>
        <v>28305.760000000002</v>
      </c>
      <c r="I41" s="10">
        <f t="shared" si="2"/>
        <v>0</v>
      </c>
      <c r="J41" s="10">
        <f t="shared" si="2"/>
        <v>56570.879999999997</v>
      </c>
      <c r="K41" s="10">
        <f t="shared" si="2"/>
        <v>60883.8</v>
      </c>
      <c r="L41" s="10">
        <f t="shared" si="2"/>
        <v>17526</v>
      </c>
      <c r="M41" s="10">
        <f t="shared" si="2"/>
        <v>2628.9</v>
      </c>
      <c r="N41" s="10">
        <f t="shared" si="2"/>
        <v>6273.8</v>
      </c>
      <c r="O41" s="10">
        <f t="shared" si="2"/>
        <v>39408.1</v>
      </c>
      <c r="P41" s="10">
        <f t="shared" si="2"/>
        <v>8001</v>
      </c>
      <c r="Q41" s="10">
        <f>SUM(E41:P41)</f>
        <v>253249.74</v>
      </c>
      <c r="R41" s="7" t="s">
        <v>247</v>
      </c>
    </row>
    <row r="42" spans="1:18" s="21" customFormat="1" ht="15" thickBot="1">
      <c r="A42" s="207"/>
    </row>
    <row r="44" spans="1:18" ht="18.5">
      <c r="A44" s="206" t="s">
        <v>269</v>
      </c>
      <c r="C44" s="261" t="s">
        <v>177</v>
      </c>
      <c r="D44" s="259"/>
      <c r="E44" s="259"/>
      <c r="F44" s="260"/>
    </row>
    <row r="45" spans="1:18">
      <c r="A45" s="328" t="s">
        <v>259</v>
      </c>
      <c r="C45" s="261" t="s">
        <v>178</v>
      </c>
      <c r="D45" s="260"/>
      <c r="E45" s="116">
        <v>0</v>
      </c>
      <c r="F45" s="106">
        <f>-E45</f>
        <v>0</v>
      </c>
      <c r="G45" s="7" t="s">
        <v>3</v>
      </c>
      <c r="H45" s="141"/>
    </row>
    <row r="46" spans="1:18">
      <c r="A46" s="238"/>
    </row>
    <row r="47" spans="1:18">
      <c r="A47" s="238"/>
      <c r="C47" s="261" t="s">
        <v>215</v>
      </c>
      <c r="D47" s="259"/>
      <c r="E47" s="259"/>
      <c r="F47" s="260"/>
    </row>
    <row r="48" spans="1:18">
      <c r="A48" s="238"/>
      <c r="C48" s="261" t="s">
        <v>216</v>
      </c>
      <c r="D48" s="260"/>
      <c r="E48" s="115">
        <v>1</v>
      </c>
      <c r="F48" s="113"/>
    </row>
    <row r="49" spans="1:18">
      <c r="A49" s="238"/>
      <c r="C49" s="261" t="s">
        <v>217</v>
      </c>
      <c r="D49" s="260"/>
      <c r="E49" s="136">
        <f>E48*Q40+F45</f>
        <v>1158.9000000000001</v>
      </c>
      <c r="F49" s="136">
        <f>-E49</f>
        <v>-1158.9000000000001</v>
      </c>
      <c r="G49" s="7" t="s">
        <v>3</v>
      </c>
    </row>
    <row r="50" spans="1:18">
      <c r="A50" s="238"/>
    </row>
    <row r="51" spans="1:18">
      <c r="A51" s="238"/>
      <c r="E51" s="327" t="s">
        <v>176</v>
      </c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</row>
    <row r="52" spans="1:18" ht="18.5">
      <c r="A52" s="177"/>
      <c r="C52" s="321" t="s">
        <v>260</v>
      </c>
      <c r="D52" s="322"/>
      <c r="E52" s="137">
        <v>27.9</v>
      </c>
      <c r="F52" s="137">
        <v>127</v>
      </c>
      <c r="G52" s="137">
        <v>185.4</v>
      </c>
      <c r="H52" s="137">
        <v>203.2</v>
      </c>
      <c r="I52" s="137">
        <v>294.60000000000002</v>
      </c>
      <c r="J52" s="137">
        <v>304.8</v>
      </c>
      <c r="K52" s="137">
        <v>431.8</v>
      </c>
      <c r="L52" s="137">
        <v>508</v>
      </c>
      <c r="M52" s="137">
        <v>584.20000000000005</v>
      </c>
      <c r="N52" s="137">
        <v>660.4</v>
      </c>
      <c r="O52" s="137">
        <v>736.6</v>
      </c>
      <c r="P52" s="137">
        <v>800.1</v>
      </c>
      <c r="Q52" s="138" t="s">
        <v>246</v>
      </c>
      <c r="R52" s="131" t="s">
        <v>19</v>
      </c>
    </row>
    <row r="53" spans="1:18">
      <c r="C53" s="261" t="s">
        <v>228</v>
      </c>
      <c r="D53" s="26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>
        <f>F45</f>
        <v>0</v>
      </c>
      <c r="P53" s="10"/>
      <c r="Q53" s="10">
        <f>SUM(E53:P53)</f>
        <v>0</v>
      </c>
      <c r="R53" s="7" t="s">
        <v>3</v>
      </c>
    </row>
    <row r="54" spans="1:18">
      <c r="C54" s="261" t="s">
        <v>217</v>
      </c>
      <c r="D54" s="260"/>
      <c r="E54" s="10"/>
      <c r="F54" s="10"/>
      <c r="G54" s="10"/>
      <c r="H54" s="10">
        <f>F49</f>
        <v>-1158.9000000000001</v>
      </c>
      <c r="I54" s="10"/>
      <c r="J54" s="10"/>
      <c r="K54" s="10"/>
      <c r="L54" s="10"/>
      <c r="M54" s="10"/>
      <c r="N54" s="10"/>
      <c r="O54" s="10"/>
      <c r="P54" s="10"/>
      <c r="Q54" s="10">
        <f>SUM(E54:P54)</f>
        <v>-1158.9000000000001</v>
      </c>
      <c r="R54" s="7" t="s">
        <v>3</v>
      </c>
    </row>
    <row r="55" spans="1:18">
      <c r="C55" s="261" t="s">
        <v>254</v>
      </c>
      <c r="D55" s="260"/>
      <c r="E55" s="10">
        <f t="shared" ref="E55:N55" si="3">E54+E40+E53</f>
        <v>405</v>
      </c>
      <c r="F55" s="10">
        <f t="shared" si="3"/>
        <v>176</v>
      </c>
      <c r="G55" s="10">
        <f t="shared" si="3"/>
        <v>0</v>
      </c>
      <c r="H55" s="10">
        <f>H54+H40+H53</f>
        <v>-1019.6000000000001</v>
      </c>
      <c r="I55" s="10">
        <f t="shared" si="3"/>
        <v>0</v>
      </c>
      <c r="J55" s="10">
        <f>J54+J40+J53</f>
        <v>185.6</v>
      </c>
      <c r="K55" s="10">
        <f t="shared" si="3"/>
        <v>141</v>
      </c>
      <c r="L55" s="10">
        <f t="shared" si="3"/>
        <v>34.5</v>
      </c>
      <c r="M55" s="10">
        <f t="shared" si="3"/>
        <v>4.5</v>
      </c>
      <c r="N55" s="10">
        <f t="shared" si="3"/>
        <v>9.5</v>
      </c>
      <c r="O55" s="10">
        <f>O54+O40+O53</f>
        <v>53.5</v>
      </c>
      <c r="P55" s="10">
        <f>P54+P40+P53</f>
        <v>10</v>
      </c>
      <c r="Q55" s="10">
        <f>SUM(E55:P55)</f>
        <v>-1.4210854715202004E-13</v>
      </c>
      <c r="R55" s="7" t="s">
        <v>3</v>
      </c>
    </row>
    <row r="56" spans="1:18">
      <c r="C56" s="261" t="s">
        <v>255</v>
      </c>
      <c r="D56" s="260"/>
      <c r="E56" s="10">
        <f t="shared" ref="E56:P56" si="4">E55*E28</f>
        <v>11299.5</v>
      </c>
      <c r="F56" s="10">
        <f t="shared" si="4"/>
        <v>22352</v>
      </c>
      <c r="G56" s="10">
        <f t="shared" si="4"/>
        <v>0</v>
      </c>
      <c r="H56" s="10">
        <f t="shared" si="4"/>
        <v>-207182.72000000003</v>
      </c>
      <c r="I56" s="10">
        <f t="shared" si="4"/>
        <v>0</v>
      </c>
      <c r="J56" s="10">
        <f t="shared" si="4"/>
        <v>56570.879999999997</v>
      </c>
      <c r="K56" s="10">
        <f t="shared" si="4"/>
        <v>60883.8</v>
      </c>
      <c r="L56" s="10">
        <f t="shared" si="4"/>
        <v>17526</v>
      </c>
      <c r="M56" s="10">
        <f t="shared" si="4"/>
        <v>2628.9</v>
      </c>
      <c r="N56" s="10">
        <f t="shared" si="4"/>
        <v>6273.8</v>
      </c>
      <c r="O56" s="10">
        <f t="shared" si="4"/>
        <v>39408.1</v>
      </c>
      <c r="P56" s="10">
        <f t="shared" si="4"/>
        <v>8001</v>
      </c>
      <c r="Q56" s="10">
        <f>SUM(E56:P56)</f>
        <v>17761.259999999977</v>
      </c>
      <c r="R56" s="7" t="s">
        <v>247</v>
      </c>
    </row>
    <row r="58" spans="1:18">
      <c r="G58" s="261" t="s">
        <v>218</v>
      </c>
      <c r="H58" s="259"/>
      <c r="I58" s="260"/>
      <c r="J58" s="94">
        <f>E49/Q40</f>
        <v>1</v>
      </c>
    </row>
    <row r="60" spans="1:18" s="21" customFormat="1" ht="15" thickBot="1">
      <c r="A60" s="207"/>
    </row>
    <row r="62" spans="1:18" ht="18.5">
      <c r="A62" s="206" t="s">
        <v>271</v>
      </c>
      <c r="C62" s="261" t="s">
        <v>261</v>
      </c>
      <c r="D62" s="259"/>
      <c r="E62" s="259"/>
      <c r="F62" s="259"/>
      <c r="G62" s="259"/>
      <c r="H62" s="259"/>
      <c r="I62" s="259"/>
      <c r="J62" s="259"/>
      <c r="K62" s="259"/>
      <c r="L62" s="259"/>
      <c r="M62" s="259"/>
      <c r="N62" s="259"/>
      <c r="O62" s="259"/>
      <c r="P62" s="259"/>
      <c r="Q62" s="260"/>
    </row>
    <row r="63" spans="1:18">
      <c r="A63" s="329" t="s">
        <v>240</v>
      </c>
      <c r="C63" s="13" t="s">
        <v>190</v>
      </c>
      <c r="D63" s="127">
        <v>0</v>
      </c>
      <c r="E63" s="127">
        <v>27.9</v>
      </c>
      <c r="F63" s="127">
        <v>127</v>
      </c>
      <c r="G63" s="127">
        <v>185.4</v>
      </c>
      <c r="H63" s="127">
        <v>203.2</v>
      </c>
      <c r="I63" s="127">
        <v>294.60000000000002</v>
      </c>
      <c r="J63" s="127">
        <v>304.8</v>
      </c>
      <c r="K63" s="127">
        <v>431.8</v>
      </c>
      <c r="L63" s="127">
        <v>508</v>
      </c>
      <c r="M63" s="127">
        <v>584.20000000000005</v>
      </c>
      <c r="N63" s="127">
        <v>660.4</v>
      </c>
      <c r="O63" s="127">
        <v>736.6</v>
      </c>
      <c r="P63" s="127">
        <v>800.1</v>
      </c>
      <c r="Q63" s="13" t="s">
        <v>191</v>
      </c>
    </row>
    <row r="64" spans="1:18">
      <c r="A64" s="238"/>
      <c r="C64" s="5" t="s">
        <v>193</v>
      </c>
      <c r="D64" s="10">
        <v>0</v>
      </c>
      <c r="E64" s="10">
        <f t="shared" ref="E64:P64" si="5">-E40*9.81</f>
        <v>-3973.05</v>
      </c>
      <c r="F64" s="10">
        <f t="shared" si="5"/>
        <v>-1726.5600000000002</v>
      </c>
      <c r="G64" s="10">
        <f t="shared" si="5"/>
        <v>0</v>
      </c>
      <c r="H64" s="10">
        <f t="shared" si="5"/>
        <v>-1366.5330000000001</v>
      </c>
      <c r="I64" s="10">
        <f t="shared" si="5"/>
        <v>0</v>
      </c>
      <c r="J64" s="10">
        <f t="shared" si="5"/>
        <v>-1820.7360000000001</v>
      </c>
      <c r="K64" s="10">
        <f t="shared" si="5"/>
        <v>-1383.21</v>
      </c>
      <c r="L64" s="10">
        <f t="shared" si="5"/>
        <v>-338.44499999999999</v>
      </c>
      <c r="M64" s="10">
        <f t="shared" si="5"/>
        <v>-44.145000000000003</v>
      </c>
      <c r="N64" s="10">
        <f t="shared" si="5"/>
        <v>-93.195000000000007</v>
      </c>
      <c r="O64" s="10">
        <f t="shared" si="5"/>
        <v>-524.83500000000004</v>
      </c>
      <c r="P64" s="10">
        <f t="shared" si="5"/>
        <v>-98.100000000000009</v>
      </c>
      <c r="Q64" s="41">
        <f>SUM(D64:P64)</f>
        <v>-11368.808999999999</v>
      </c>
    </row>
    <row r="65" spans="1:17">
      <c r="A65" s="238"/>
      <c r="C65" s="5" t="s">
        <v>219</v>
      </c>
      <c r="D65" s="10">
        <f t="shared" ref="D65:P65" si="6">-D54*9.81</f>
        <v>0</v>
      </c>
      <c r="E65" s="10">
        <f t="shared" si="6"/>
        <v>0</v>
      </c>
      <c r="F65" s="10">
        <f t="shared" si="6"/>
        <v>0</v>
      </c>
      <c r="G65" s="10">
        <f t="shared" si="6"/>
        <v>0</v>
      </c>
      <c r="H65" s="10">
        <f>-H54*9.81</f>
        <v>11368.809000000001</v>
      </c>
      <c r="I65" s="10">
        <f t="shared" si="6"/>
        <v>0</v>
      </c>
      <c r="J65" s="10">
        <f t="shared" si="6"/>
        <v>0</v>
      </c>
      <c r="K65" s="10">
        <f t="shared" si="6"/>
        <v>0</v>
      </c>
      <c r="L65" s="10">
        <f t="shared" si="6"/>
        <v>0</v>
      </c>
      <c r="M65" s="10">
        <f t="shared" si="6"/>
        <v>0</v>
      </c>
      <c r="N65" s="10">
        <f t="shared" si="6"/>
        <v>0</v>
      </c>
      <c r="O65" s="10">
        <f t="shared" si="6"/>
        <v>0</v>
      </c>
      <c r="P65" s="10">
        <f t="shared" si="6"/>
        <v>0</v>
      </c>
      <c r="Q65" s="41">
        <f>SUM(D65:P65)</f>
        <v>11368.809000000001</v>
      </c>
    </row>
    <row r="66" spans="1:17">
      <c r="A66" s="238"/>
      <c r="C66" s="5" t="s">
        <v>196</v>
      </c>
      <c r="D66" s="10">
        <v>0</v>
      </c>
      <c r="E66" s="10">
        <f>E64+E65</f>
        <v>-3973.05</v>
      </c>
      <c r="F66" s="10">
        <f t="shared" ref="F66:P66" si="7">F64+F65</f>
        <v>-1726.5600000000002</v>
      </c>
      <c r="G66" s="10">
        <f t="shared" si="7"/>
        <v>0</v>
      </c>
      <c r="H66" s="10">
        <f t="shared" si="7"/>
        <v>10002.276000000002</v>
      </c>
      <c r="I66" s="10">
        <f t="shared" si="7"/>
        <v>0</v>
      </c>
      <c r="J66" s="10">
        <f>J64+J65</f>
        <v>-1820.7360000000001</v>
      </c>
      <c r="K66" s="10">
        <f t="shared" si="7"/>
        <v>-1383.21</v>
      </c>
      <c r="L66" s="10">
        <f t="shared" si="7"/>
        <v>-338.44499999999999</v>
      </c>
      <c r="M66" s="10">
        <f t="shared" si="7"/>
        <v>-44.145000000000003</v>
      </c>
      <c r="N66" s="10">
        <f t="shared" si="7"/>
        <v>-93.195000000000007</v>
      </c>
      <c r="O66" s="10">
        <f t="shared" si="7"/>
        <v>-524.83500000000004</v>
      </c>
      <c r="P66" s="10">
        <f t="shared" si="7"/>
        <v>-98.100000000000009</v>
      </c>
      <c r="Q66" s="41">
        <f>SUM(D66:P66)</f>
        <v>1.1510792319313623E-12</v>
      </c>
    </row>
    <row r="67" spans="1:17">
      <c r="A67" s="238"/>
      <c r="C67" s="5" t="s">
        <v>92</v>
      </c>
      <c r="D67" s="10">
        <f>SUM($D$66:D66)</f>
        <v>0</v>
      </c>
      <c r="E67" s="10">
        <f>SUM($D$66:E66)</f>
        <v>-3973.05</v>
      </c>
      <c r="F67" s="10">
        <f>SUM($D$66:F66)</f>
        <v>-5699.6100000000006</v>
      </c>
      <c r="G67" s="10">
        <f>SUM($D$66:G66)</f>
        <v>-5699.6100000000006</v>
      </c>
      <c r="H67" s="10">
        <f>SUM($D$66:H66)</f>
        <v>4302.6660000000011</v>
      </c>
      <c r="I67" s="10">
        <f>SUM($D$66:I66)</f>
        <v>4302.6660000000011</v>
      </c>
      <c r="J67" s="10">
        <f>SUM($D$66:J66)</f>
        <v>2481.9300000000012</v>
      </c>
      <c r="K67" s="10">
        <f>SUM($D$66:K66)</f>
        <v>1098.7200000000012</v>
      </c>
      <c r="L67" s="10">
        <f>SUM($D$66:L66)</f>
        <v>760.27500000000123</v>
      </c>
      <c r="M67" s="10">
        <f>SUM($D$66:M66)</f>
        <v>716.13000000000125</v>
      </c>
      <c r="N67" s="10">
        <f>SUM($D$66:N66)</f>
        <v>622.9350000000012</v>
      </c>
      <c r="O67" s="10">
        <f>SUM($D$66:O66)</f>
        <v>98.10000000000116</v>
      </c>
      <c r="P67" s="10">
        <f>SUM($D$66:P66)</f>
        <v>1.1510792319313623E-12</v>
      </c>
      <c r="Q67" s="54"/>
    </row>
    <row r="68" spans="1:17">
      <c r="A68" s="238"/>
      <c r="C68" s="5" t="s">
        <v>198</v>
      </c>
      <c r="D68" s="10">
        <v>0</v>
      </c>
      <c r="E68" s="10">
        <f>(D67*(E63-D63)+(E67-D67)*(E63-D63)/2)/100</f>
        <v>-554.24047500000006</v>
      </c>
      <c r="F68" s="10">
        <f t="shared" ref="F68:P68" si="8">(E67*(F63-E63)+(F67-E67)*(F63-E63)/2)/100</f>
        <v>-4792.80303</v>
      </c>
      <c r="G68" s="10">
        <f t="shared" si="8"/>
        <v>-3328.5722400000004</v>
      </c>
      <c r="H68" s="10">
        <f t="shared" si="8"/>
        <v>-124.32801599999992</v>
      </c>
      <c r="I68" s="10">
        <f t="shared" si="8"/>
        <v>3932.6367240000027</v>
      </c>
      <c r="J68" s="10">
        <f t="shared" si="8"/>
        <v>346.01439599999975</v>
      </c>
      <c r="K68" s="10">
        <f t="shared" si="8"/>
        <v>2273.7127500000015</v>
      </c>
      <c r="L68" s="10">
        <f t="shared" si="8"/>
        <v>708.27709500000083</v>
      </c>
      <c r="M68" s="10">
        <f t="shared" si="8"/>
        <v>562.51030500000127</v>
      </c>
      <c r="N68" s="10">
        <f t="shared" si="8"/>
        <v>510.18376500000045</v>
      </c>
      <c r="O68" s="10">
        <f t="shared" si="8"/>
        <v>274.71433500000109</v>
      </c>
      <c r="P68" s="10">
        <f t="shared" si="8"/>
        <v>31.14675000000074</v>
      </c>
      <c r="Q68" s="54"/>
    </row>
    <row r="69" spans="1:17">
      <c r="A69" s="238"/>
      <c r="C69" s="5" t="s">
        <v>199</v>
      </c>
      <c r="D69" s="10">
        <f>SUM($D$68:D68)</f>
        <v>0</v>
      </c>
      <c r="E69" s="10">
        <f>SUM($D$68:E68)</f>
        <v>-554.24047500000006</v>
      </c>
      <c r="F69" s="10">
        <f>SUM($D$68:F68)</f>
        <v>-5347.0435049999996</v>
      </c>
      <c r="G69" s="10">
        <f>SUM($D$68:G68)</f>
        <v>-8675.6157449999992</v>
      </c>
      <c r="H69" s="10">
        <f>SUM($D$68:H68)</f>
        <v>-8799.9437609999986</v>
      </c>
      <c r="I69" s="10">
        <f>SUM($D$68:I68)</f>
        <v>-4867.3070369999959</v>
      </c>
      <c r="J69" s="10">
        <f>SUM($D$68:J68)</f>
        <v>-4521.2926409999964</v>
      </c>
      <c r="K69" s="10">
        <f>SUM($D$68:K68)</f>
        <v>-2247.5798909999949</v>
      </c>
      <c r="L69" s="10">
        <f>SUM($D$68:L68)</f>
        <v>-1539.302795999994</v>
      </c>
      <c r="M69" s="10">
        <f>SUM($D$68:M68)</f>
        <v>-976.79249099999276</v>
      </c>
      <c r="N69" s="10">
        <f>SUM($D$68:N68)</f>
        <v>-466.60872599999232</v>
      </c>
      <c r="O69" s="10">
        <f>SUM($D$68:O68)</f>
        <v>-191.89439099999123</v>
      </c>
      <c r="P69" s="10">
        <f>SUM($D$68:P68)</f>
        <v>-160.74764099999049</v>
      </c>
      <c r="Q69" s="54"/>
    </row>
    <row r="72" spans="1:17" ht="15" thickBot="1"/>
    <row r="73" spans="1:17">
      <c r="C73" s="7" t="s">
        <v>220</v>
      </c>
      <c r="D73" s="10">
        <f t="shared" ref="D73:O73" si="9">E63-$J$63</f>
        <v>-276.90000000000003</v>
      </c>
      <c r="E73" s="10">
        <f t="shared" si="9"/>
        <v>-177.8</v>
      </c>
      <c r="F73" s="10">
        <f t="shared" si="9"/>
        <v>-119.4</v>
      </c>
      <c r="G73" s="10">
        <f t="shared" si="9"/>
        <v>-101.60000000000002</v>
      </c>
      <c r="H73" s="10">
        <f t="shared" si="9"/>
        <v>-10.199999999999989</v>
      </c>
      <c r="I73" s="10">
        <f t="shared" si="9"/>
        <v>0</v>
      </c>
      <c r="J73" s="10">
        <f t="shared" si="9"/>
        <v>127</v>
      </c>
      <c r="K73" s="10">
        <f t="shared" si="9"/>
        <v>203.2</v>
      </c>
      <c r="L73" s="10">
        <f t="shared" si="9"/>
        <v>279.40000000000003</v>
      </c>
      <c r="M73" s="10">
        <f t="shared" si="9"/>
        <v>355.59999999999997</v>
      </c>
      <c r="N73" s="10">
        <f t="shared" si="9"/>
        <v>431.8</v>
      </c>
      <c r="O73" s="139">
        <f t="shared" si="9"/>
        <v>495.3</v>
      </c>
      <c r="P73" s="140" t="s">
        <v>221</v>
      </c>
    </row>
    <row r="74" spans="1:17" ht="15" thickBot="1">
      <c r="C74" s="7" t="s">
        <v>222</v>
      </c>
      <c r="D74" s="10">
        <f t="shared" ref="D74:O74" si="10">D73*E66</f>
        <v>1100137.5450000002</v>
      </c>
      <c r="E74" s="10">
        <f t="shared" si="10"/>
        <v>306982.36800000007</v>
      </c>
      <c r="F74" s="10">
        <f t="shared" si="10"/>
        <v>0</v>
      </c>
      <c r="G74" s="10">
        <f t="shared" si="10"/>
        <v>-1016231.2416000004</v>
      </c>
      <c r="H74" s="10">
        <f t="shared" si="10"/>
        <v>0</v>
      </c>
      <c r="I74" s="10">
        <f t="shared" si="10"/>
        <v>0</v>
      </c>
      <c r="J74" s="10">
        <f t="shared" si="10"/>
        <v>-175667.67</v>
      </c>
      <c r="K74" s="10">
        <f t="shared" si="10"/>
        <v>-68772.02399999999</v>
      </c>
      <c r="L74" s="10">
        <f t="shared" si="10"/>
        <v>-12334.113000000003</v>
      </c>
      <c r="M74" s="10">
        <f t="shared" si="10"/>
        <v>-33140.142</v>
      </c>
      <c r="N74" s="10">
        <f t="shared" si="10"/>
        <v>-226623.75300000003</v>
      </c>
      <c r="O74" s="139">
        <f t="shared" si="10"/>
        <v>-48588.930000000008</v>
      </c>
      <c r="P74" s="117">
        <f>SUM(C74:O74)</f>
        <v>-174237.96060000028</v>
      </c>
    </row>
    <row r="75" spans="1:17">
      <c r="D75" s="80"/>
    </row>
    <row r="82" spans="6:9">
      <c r="F82" s="68"/>
    </row>
    <row r="83" spans="6:9">
      <c r="F83" s="68"/>
    </row>
    <row r="84" spans="6:9">
      <c r="F84" s="68"/>
    </row>
    <row r="85" spans="6:9">
      <c r="I85" s="111"/>
    </row>
    <row r="86" spans="6:9">
      <c r="F86" s="68"/>
    </row>
    <row r="87" spans="6:9">
      <c r="F87" s="68"/>
    </row>
  </sheetData>
  <mergeCells count="37">
    <mergeCell ref="C38:D38"/>
    <mergeCell ref="C54:D54"/>
    <mergeCell ref="C40:D40"/>
    <mergeCell ref="C55:D55"/>
    <mergeCell ref="C53:D53"/>
    <mergeCell ref="C41:D41"/>
    <mergeCell ref="C48:D48"/>
    <mergeCell ref="C49:D49"/>
    <mergeCell ref="C45:D45"/>
    <mergeCell ref="C44:F44"/>
    <mergeCell ref="C47:F47"/>
    <mergeCell ref="C35:D35"/>
    <mergeCell ref="C36:D36"/>
    <mergeCell ref="A4:A8"/>
    <mergeCell ref="A28:A35"/>
    <mergeCell ref="C37:D37"/>
    <mergeCell ref="A45:A51"/>
    <mergeCell ref="A63:A69"/>
    <mergeCell ref="B1:E1"/>
    <mergeCell ref="F1:G1"/>
    <mergeCell ref="H1:Z1"/>
    <mergeCell ref="C32:D32"/>
    <mergeCell ref="C33:D33"/>
    <mergeCell ref="C31:D31"/>
    <mergeCell ref="C30:D30"/>
    <mergeCell ref="C29:D29"/>
    <mergeCell ref="C28:D28"/>
    <mergeCell ref="Q27:Q28"/>
    <mergeCell ref="R27:R28"/>
    <mergeCell ref="C22:N22"/>
    <mergeCell ref="E27:P27"/>
    <mergeCell ref="C34:D34"/>
    <mergeCell ref="G58:I58"/>
    <mergeCell ref="C52:D52"/>
    <mergeCell ref="E51:P51"/>
    <mergeCell ref="C62:Q62"/>
    <mergeCell ref="C56:D56"/>
  </mergeCells>
  <phoneticPr fontId="3" type="noConversion"/>
  <conditionalFormatting sqref="Q29:Q38">
    <cfRule type="expression" dxfId="0" priority="1">
      <formula>$R29&lt;$Q29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28c45f-cebe-4509-9066-0257869280d0" xsi:nil="true"/>
    <lcf76f155ced4ddcb4097134ff3c332f xmlns="3e1f64af-336a-4cd0-ac0d-fe3d4e694e8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51508F35EA984B89BFC0F6DE5C8782" ma:contentTypeVersion="12" ma:contentTypeDescription="Create a new document." ma:contentTypeScope="" ma:versionID="ff6d7a831ec0bff549a0ff7a2dde2625">
  <xsd:schema xmlns:xsd="http://www.w3.org/2001/XMLSchema" xmlns:xs="http://www.w3.org/2001/XMLSchema" xmlns:p="http://schemas.microsoft.com/office/2006/metadata/properties" xmlns:ns2="3e1f64af-336a-4cd0-ac0d-fe3d4e694e88" xmlns:ns3="bd28c45f-cebe-4509-9066-0257869280d0" targetNamespace="http://schemas.microsoft.com/office/2006/metadata/properties" ma:root="true" ma:fieldsID="2be4df235d4cadcc50dd8ad9b508575b" ns2:_="" ns3:_="">
    <xsd:import namespace="3e1f64af-336a-4cd0-ac0d-fe3d4e694e88"/>
    <xsd:import namespace="bd28c45f-cebe-4509-9066-0257869280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f64af-336a-4cd0-ac0d-fe3d4e694e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8c45f-cebe-4509-9066-0257869280d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ed23800-8784-4d85-8156-ecdbdb478376}" ma:internalName="TaxCatchAll" ma:showField="CatchAllData" ma:web="bd28c45f-cebe-4509-9066-0257869280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9C5A49-5C83-4F13-B97C-56D2895C17C3}">
  <ds:schemaRefs>
    <ds:schemaRef ds:uri="http://schemas.openxmlformats.org/package/2006/metadata/core-properties"/>
    <ds:schemaRef ds:uri="http://purl.org/dc/terms/"/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bd28c45f-cebe-4509-9066-0257869280d0"/>
    <ds:schemaRef ds:uri="3e1f64af-336a-4cd0-ac0d-fe3d4e694e88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9FED7E-3583-4A54-832D-51787E2868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C069510-CF20-441C-9885-5F20E52D95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1f64af-336a-4cd0-ac0d-fe3d4e694e88"/>
    <ds:schemaRef ds:uri="bd28c45f-cebe-4509-9066-0257869280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Aircraft of interest</vt:lpstr>
      <vt:lpstr>Wing layout</vt:lpstr>
      <vt:lpstr> n-V diagram</vt:lpstr>
      <vt:lpstr>Wing inertia load</vt:lpstr>
      <vt:lpstr>Wing aero load</vt:lpstr>
      <vt:lpstr>Ground load</vt:lpstr>
      <vt:lpstr>Ground load all</vt:lpstr>
      <vt:lpstr>Wing Ground load</vt:lpstr>
      <vt:lpstr>Wing Torque</vt:lpstr>
      <vt:lpstr>Wing and Engine Torque</vt:lpstr>
      <vt:lpstr>Wing and Engine Torque Landing</vt:lpstr>
      <vt:lpstr>Fuselage Air Load</vt:lpstr>
      <vt:lpstr>Fuselage Inertial Load</vt:lpstr>
      <vt:lpstr>Fuselage Gear Load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2025-02-14T22:45:23Z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0x0101002F51508F35EA984B89BFC0F6DE5C8782</vt:lpwstr>
  </property>
  <property fmtid="{D5CDD505-2E9C-101B-9397-08002B2CF9AE}" pid="3" name="MediaServiceImageTags">
    <vt:lpwstr/>
  </property>
</Properties>
</file>