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ink/ink1.xml" ContentType="application/inkml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omments2.xml" ContentType="application/vnd.openxmlformats-officedocument.spreadsheetml.comments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20.xml" ContentType="application/vnd.openxmlformats-officedocument.drawingml.chart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ink/ink2.xml" ContentType="application/inkml+xml"/>
  <Override PartName="/xl/charts/chart2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charts/chart2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24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25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8"/>
  <workbookPr filterPrivacy="1"/>
  <xr:revisionPtr revIDLastSave="778" documentId="13_ncr:1_{D4FD8FE3-AA23-3D45-A754-13E16EDC475D}" xr6:coauthVersionLast="47" xr6:coauthVersionMax="47" xr10:uidLastSave="{8B4061B5-C9D1-40A0-A2BB-0B78CF63A617}"/>
  <bookViews>
    <workbookView xWindow="-110" yWindow="-110" windowWidth="25820" windowHeight="13900" firstSheet="6" activeTab="8" xr2:uid="{00000000-000D-0000-FFFF-FFFF00000000}"/>
  </bookViews>
  <sheets>
    <sheet name="Aircraft of interest" sheetId="6" r:id="rId1"/>
    <sheet name="Wing layout" sheetId="5" r:id="rId2"/>
    <sheet name=" n-V diagram" sheetId="1" r:id="rId3"/>
    <sheet name="Wing inertia load" sheetId="2" r:id="rId4"/>
    <sheet name="Wing aero load" sheetId="14" r:id="rId5"/>
    <sheet name="Ground load" sheetId="13" r:id="rId6"/>
    <sheet name="Ground load all" sheetId="7" r:id="rId7"/>
    <sheet name="Wing Ground load" sheetId="12" r:id="rId8"/>
    <sheet name="Wing Torque" sheetId="8" r:id="rId9"/>
    <sheet name="Engine Torque" sheetId="15" r:id="rId10"/>
    <sheet name="Fuselage Air Load" sheetId="10" r:id="rId11"/>
    <sheet name="Fuselage Inertial Load" sheetId="9" r:id="rId12"/>
    <sheet name="Fuselage Gear Load" sheetId="11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4" i="7" l="1"/>
  <c r="E44" i="7" s="1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10" i="12"/>
  <c r="X104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77" i="14"/>
  <c r="X78" i="14"/>
  <c r="X79" i="14"/>
  <c r="X80" i="14"/>
  <c r="X81" i="14"/>
  <c r="X82" i="14"/>
  <c r="X83" i="14"/>
  <c r="X84" i="14"/>
  <c r="X85" i="14"/>
  <c r="X86" i="14"/>
  <c r="X87" i="14"/>
  <c r="X88" i="14"/>
  <c r="X89" i="14"/>
  <c r="X90" i="14"/>
  <c r="X91" i="14"/>
  <c r="X92" i="14"/>
  <c r="X93" i="14"/>
  <c r="X94" i="14"/>
  <c r="X95" i="14"/>
  <c r="X96" i="14"/>
  <c r="X97" i="14"/>
  <c r="X98" i="14"/>
  <c r="X99" i="14"/>
  <c r="X100" i="14"/>
  <c r="X101" i="14"/>
  <c r="X102" i="14"/>
  <c r="X103" i="14"/>
  <c r="X45" i="14"/>
  <c r="I30" i="14"/>
  <c r="B3" i="12"/>
  <c r="B12" i="12" s="1"/>
  <c r="F57" i="13"/>
  <c r="I33" i="14"/>
  <c r="I31" i="14"/>
  <c r="I32" i="14" s="1"/>
  <c r="D44" i="14" s="1"/>
  <c r="F52" i="2"/>
  <c r="Y104" i="13"/>
  <c r="Y105" i="13"/>
  <c r="D46" i="13"/>
  <c r="X46" i="13"/>
  <c r="X47" i="13"/>
  <c r="X48" i="13"/>
  <c r="X49" i="13"/>
  <c r="X50" i="13"/>
  <c r="X52" i="13"/>
  <c r="X53" i="13"/>
  <c r="X54" i="13"/>
  <c r="X55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0" i="13"/>
  <c r="X71" i="13"/>
  <c r="X72" i="13"/>
  <c r="X73" i="13"/>
  <c r="X74" i="13"/>
  <c r="X75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45" i="13"/>
  <c r="B10" i="12"/>
  <c r="D52" i="13"/>
  <c r="F80" i="13"/>
  <c r="D44" i="12" s="1"/>
  <c r="D21" i="12"/>
  <c r="F57" i="2"/>
  <c r="F47" i="2"/>
  <c r="F48" i="2"/>
  <c r="F49" i="2"/>
  <c r="F50" i="2"/>
  <c r="F51" i="2"/>
  <c r="F46" i="2"/>
  <c r="J45" i="1"/>
  <c r="B4" i="12" l="1"/>
  <c r="X56" i="13"/>
  <c r="J15" i="1"/>
  <c r="J16" i="1"/>
  <c r="E28" i="8"/>
  <c r="H71" i="8"/>
  <c r="H42" i="8"/>
  <c r="I107" i="8"/>
  <c r="E109" i="8"/>
  <c r="I108" i="8"/>
  <c r="I109" i="8"/>
  <c r="E105" i="8"/>
  <c r="L37" i="8"/>
  <c r="K37" i="8"/>
  <c r="G37" i="8"/>
  <c r="D9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52" i="13" l="1"/>
  <c r="X51" i="13" s="1"/>
  <c r="D16" i="12"/>
  <c r="G69" i="12"/>
  <c r="AC104" i="2"/>
  <c r="E175" i="7"/>
  <c r="D175" i="7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46" i="2"/>
  <c r="F103" i="14"/>
  <c r="D175" i="14" s="1"/>
  <c r="E103" i="14"/>
  <c r="Z102" i="14"/>
  <c r="Z101" i="14"/>
  <c r="Z100" i="14"/>
  <c r="Z99" i="14"/>
  <c r="Z98" i="14"/>
  <c r="Z97" i="14"/>
  <c r="Z96" i="14"/>
  <c r="Z95" i="14"/>
  <c r="Z94" i="14"/>
  <c r="Z93" i="14"/>
  <c r="Z92" i="14"/>
  <c r="Z91" i="14"/>
  <c r="Z90" i="14"/>
  <c r="Z89" i="14"/>
  <c r="Z88" i="14"/>
  <c r="Z87" i="14"/>
  <c r="Z86" i="14"/>
  <c r="Z85" i="14"/>
  <c r="Z84" i="14"/>
  <c r="Z83" i="14"/>
  <c r="Z82" i="14"/>
  <c r="Z81" i="14"/>
  <c r="Z80" i="14"/>
  <c r="Z79" i="14"/>
  <c r="Z78" i="14"/>
  <c r="Z77" i="14"/>
  <c r="Z76" i="14"/>
  <c r="Z75" i="14"/>
  <c r="Z74" i="14"/>
  <c r="Z73" i="14"/>
  <c r="Z72" i="14"/>
  <c r="Z71" i="14"/>
  <c r="Z70" i="14"/>
  <c r="Z69" i="14"/>
  <c r="Z68" i="14"/>
  <c r="Z67" i="14"/>
  <c r="Z66" i="14"/>
  <c r="Z65" i="14"/>
  <c r="Z64" i="14"/>
  <c r="Z63" i="14"/>
  <c r="Z62" i="14"/>
  <c r="Z61" i="14"/>
  <c r="Z60" i="14"/>
  <c r="Z59" i="14"/>
  <c r="Z58" i="14"/>
  <c r="Z57" i="14"/>
  <c r="Z56" i="14"/>
  <c r="Z55" i="14"/>
  <c r="Z54" i="14"/>
  <c r="Z53" i="14"/>
  <c r="Z52" i="14"/>
  <c r="Z51" i="14"/>
  <c r="Z50" i="14"/>
  <c r="Z49" i="14"/>
  <c r="Z48" i="14"/>
  <c r="Z47" i="14"/>
  <c r="Z46" i="14"/>
  <c r="Z45" i="14"/>
  <c r="D38" i="14"/>
  <c r="D37" i="14"/>
  <c r="D36" i="14"/>
  <c r="D35" i="14"/>
  <c r="D34" i="14"/>
  <c r="D33" i="14"/>
  <c r="D32" i="14"/>
  <c r="D30" i="14"/>
  <c r="I29" i="14"/>
  <c r="D29" i="14"/>
  <c r="D31" i="14" s="1"/>
  <c r="E110" i="13"/>
  <c r="I105" i="13"/>
  <c r="J105" i="13" s="1"/>
  <c r="H105" i="13"/>
  <c r="D105" i="13"/>
  <c r="D104" i="13"/>
  <c r="D103" i="13"/>
  <c r="G103" i="13" s="1"/>
  <c r="Y102" i="13" s="1"/>
  <c r="D102" i="13"/>
  <c r="D101" i="13"/>
  <c r="D100" i="13"/>
  <c r="D99" i="13"/>
  <c r="G99" i="13" s="1"/>
  <c r="Y98" i="13" s="1"/>
  <c r="D98" i="13"/>
  <c r="D97" i="13"/>
  <c r="G97" i="13" s="1"/>
  <c r="Y96" i="13" s="1"/>
  <c r="D96" i="13"/>
  <c r="D95" i="13"/>
  <c r="G95" i="13" s="1"/>
  <c r="Y94" i="13" s="1"/>
  <c r="D94" i="13"/>
  <c r="D93" i="13"/>
  <c r="G93" i="13" s="1"/>
  <c r="Y92" i="13" s="1"/>
  <c r="D92" i="13"/>
  <c r="G92" i="13" s="1"/>
  <c r="Y91" i="13" s="1"/>
  <c r="D91" i="13"/>
  <c r="G91" i="13" s="1"/>
  <c r="Y90" i="13" s="1"/>
  <c r="D90" i="13"/>
  <c r="G90" i="13" s="1"/>
  <c r="Y89" i="13" s="1"/>
  <c r="D89" i="13"/>
  <c r="G89" i="13" s="1"/>
  <c r="Y88" i="13" s="1"/>
  <c r="D88" i="13"/>
  <c r="D87" i="13"/>
  <c r="G87" i="13" s="1"/>
  <c r="Y86" i="13" s="1"/>
  <c r="D86" i="13"/>
  <c r="G86" i="13" s="1"/>
  <c r="Y85" i="13" s="1"/>
  <c r="D85" i="13"/>
  <c r="G85" i="13" s="1"/>
  <c r="Y84" i="13" s="1"/>
  <c r="D84" i="13"/>
  <c r="D83" i="13"/>
  <c r="G83" i="13" s="1"/>
  <c r="Y82" i="13" s="1"/>
  <c r="D82" i="13"/>
  <c r="D81" i="13"/>
  <c r="G81" i="13" s="1"/>
  <c r="Y80" i="13" s="1"/>
  <c r="D80" i="13"/>
  <c r="D79" i="13"/>
  <c r="D78" i="13"/>
  <c r="D77" i="13"/>
  <c r="D76" i="13"/>
  <c r="G76" i="13" s="1"/>
  <c r="Y75" i="13" s="1"/>
  <c r="D75" i="13"/>
  <c r="D74" i="13"/>
  <c r="D73" i="13"/>
  <c r="G73" i="13" s="1"/>
  <c r="Y72" i="13" s="1"/>
  <c r="D72" i="13"/>
  <c r="D71" i="13"/>
  <c r="D70" i="13"/>
  <c r="D69" i="13"/>
  <c r="G69" i="13" s="1"/>
  <c r="Y68" i="13" s="1"/>
  <c r="D68" i="13"/>
  <c r="D67" i="13"/>
  <c r="D66" i="13"/>
  <c r="D65" i="13"/>
  <c r="G65" i="13" s="1"/>
  <c r="Y64" i="13" s="1"/>
  <c r="D64" i="13"/>
  <c r="D63" i="13"/>
  <c r="D62" i="13"/>
  <c r="D61" i="13"/>
  <c r="G61" i="13" s="1"/>
  <c r="Y60" i="13" s="1"/>
  <c r="D60" i="13"/>
  <c r="D59" i="13"/>
  <c r="D58" i="13"/>
  <c r="D57" i="13"/>
  <c r="D56" i="13"/>
  <c r="G56" i="13" s="1"/>
  <c r="Y55" i="13" s="1"/>
  <c r="D55" i="13"/>
  <c r="D54" i="13"/>
  <c r="D53" i="13"/>
  <c r="D51" i="13"/>
  <c r="D50" i="13"/>
  <c r="D49" i="13"/>
  <c r="D48" i="13"/>
  <c r="G48" i="13" s="1"/>
  <c r="Y47" i="13" s="1"/>
  <c r="D47" i="13"/>
  <c r="D39" i="13"/>
  <c r="I34" i="13"/>
  <c r="I33" i="13"/>
  <c r="I32" i="13"/>
  <c r="I30" i="13"/>
  <c r="D28" i="13"/>
  <c r="D30" i="13" s="1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H38" i="8"/>
  <c r="H39" i="8"/>
  <c r="H40" i="8"/>
  <c r="H41" i="8"/>
  <c r="H37" i="8"/>
  <c r="K23" i="8"/>
  <c r="J44" i="1"/>
  <c r="J42" i="1"/>
  <c r="J47" i="1"/>
  <c r="L5" i="1"/>
  <c r="L8" i="1"/>
  <c r="L7" i="1"/>
  <c r="L6" i="1"/>
  <c r="U8" i="1"/>
  <c r="U6" i="1"/>
  <c r="U7" i="1"/>
  <c r="U5" i="1"/>
  <c r="G60" i="13" l="1"/>
  <c r="Y59" i="13" s="1"/>
  <c r="G100" i="13"/>
  <c r="Y99" i="13" s="1"/>
  <c r="G47" i="13"/>
  <c r="Y46" i="13" s="1"/>
  <c r="G64" i="13"/>
  <c r="Y63" i="13" s="1"/>
  <c r="G84" i="13"/>
  <c r="Y83" i="13" s="1"/>
  <c r="G104" i="13"/>
  <c r="G77" i="13"/>
  <c r="Y76" i="13" s="1"/>
  <c r="G96" i="13"/>
  <c r="Y95" i="13" s="1"/>
  <c r="G49" i="13"/>
  <c r="Y48" i="13" s="1"/>
  <c r="G74" i="13"/>
  <c r="Y73" i="13" s="1"/>
  <c r="G79" i="13"/>
  <c r="Y78" i="13" s="1"/>
  <c r="G98" i="13"/>
  <c r="Y97" i="13" s="1"/>
  <c r="G82" i="13"/>
  <c r="Y81" i="13" s="1"/>
  <c r="G101" i="13"/>
  <c r="Y100" i="13" s="1"/>
  <c r="D37" i="8"/>
  <c r="G103" i="14"/>
  <c r="H103" i="14" s="1"/>
  <c r="E175" i="14" s="1"/>
  <c r="H103" i="13"/>
  <c r="G80" i="13"/>
  <c r="Y79" i="13" s="1"/>
  <c r="G52" i="13"/>
  <c r="Y51" i="13" s="1"/>
  <c r="G62" i="13"/>
  <c r="Y61" i="13" s="1"/>
  <c r="G66" i="13"/>
  <c r="Y65" i="13" s="1"/>
  <c r="G68" i="13"/>
  <c r="Y67" i="13" s="1"/>
  <c r="G58" i="13"/>
  <c r="Y57" i="13" s="1"/>
  <c r="G67" i="13"/>
  <c r="Y66" i="13" s="1"/>
  <c r="G50" i="13"/>
  <c r="Y49" i="13" s="1"/>
  <c r="G70" i="13"/>
  <c r="Y69" i="13" s="1"/>
  <c r="G53" i="13"/>
  <c r="Y52" i="13" s="1"/>
  <c r="G72" i="13"/>
  <c r="Y71" i="13" s="1"/>
  <c r="G88" i="13"/>
  <c r="Y87" i="13" s="1"/>
  <c r="G78" i="13"/>
  <c r="Y77" i="13" s="1"/>
  <c r="G46" i="13"/>
  <c r="Y45" i="13" s="1"/>
  <c r="G54" i="13"/>
  <c r="Y53" i="13" s="1"/>
  <c r="G55" i="13"/>
  <c r="Y54" i="13" s="1"/>
  <c r="G102" i="13"/>
  <c r="G75" i="13"/>
  <c r="Y74" i="13" s="1"/>
  <c r="G94" i="13"/>
  <c r="Y93" i="13" s="1"/>
  <c r="G59" i="13"/>
  <c r="Y58" i="13" s="1"/>
  <c r="G63" i="13"/>
  <c r="Y62" i="13" s="1"/>
  <c r="G51" i="13"/>
  <c r="Y50" i="13" s="1"/>
  <c r="G71" i="13"/>
  <c r="Y70" i="13" s="1"/>
  <c r="G57" i="13"/>
  <c r="Y56" i="13" s="1"/>
  <c r="I35" i="13"/>
  <c r="B13" i="12"/>
  <c r="B14" i="12"/>
  <c r="E13" i="12" s="1"/>
  <c r="G13" i="12" s="1"/>
  <c r="B15" i="12"/>
  <c r="B16" i="12"/>
  <c r="B17" i="12"/>
  <c r="B18" i="12"/>
  <c r="B19" i="12"/>
  <c r="E18" i="12" s="1"/>
  <c r="G18" i="12" s="1"/>
  <c r="B20" i="12"/>
  <c r="B21" i="12"/>
  <c r="B22" i="12"/>
  <c r="B23" i="12"/>
  <c r="E22" i="12" s="1"/>
  <c r="G22" i="12" s="1"/>
  <c r="B24" i="12"/>
  <c r="B25" i="12"/>
  <c r="B26" i="12"/>
  <c r="B27" i="12"/>
  <c r="B28" i="12"/>
  <c r="E27" i="12" s="1"/>
  <c r="G27" i="12" s="1"/>
  <c r="B29" i="12"/>
  <c r="E28" i="12" s="1"/>
  <c r="G28" i="12" s="1"/>
  <c r="B30" i="12"/>
  <c r="E29" i="12" s="1"/>
  <c r="G29" i="12" s="1"/>
  <c r="B31" i="12"/>
  <c r="B32" i="12"/>
  <c r="B33" i="12"/>
  <c r="B34" i="12"/>
  <c r="E33" i="12" s="1"/>
  <c r="G33" i="12" s="1"/>
  <c r="B35" i="12"/>
  <c r="E34" i="12" s="1"/>
  <c r="G34" i="12" s="1"/>
  <c r="B36" i="12"/>
  <c r="B37" i="12"/>
  <c r="B38" i="12"/>
  <c r="E37" i="12" s="1"/>
  <c r="G37" i="12" s="1"/>
  <c r="B39" i="12"/>
  <c r="E38" i="12" s="1"/>
  <c r="G38" i="12" s="1"/>
  <c r="B40" i="12"/>
  <c r="E39" i="12" s="1"/>
  <c r="G39" i="12" s="1"/>
  <c r="B41" i="12"/>
  <c r="B42" i="12"/>
  <c r="E41" i="12" s="1"/>
  <c r="G41" i="12" s="1"/>
  <c r="B43" i="12"/>
  <c r="E42" i="12" s="1"/>
  <c r="G42" i="12" s="1"/>
  <c r="B44" i="12"/>
  <c r="B45" i="12"/>
  <c r="E44" i="12" s="1"/>
  <c r="G44" i="12" s="1"/>
  <c r="B46" i="12"/>
  <c r="E45" i="12" s="1"/>
  <c r="G45" i="12" s="1"/>
  <c r="B47" i="12"/>
  <c r="B48" i="12"/>
  <c r="B49" i="12"/>
  <c r="E48" i="12" s="1"/>
  <c r="G48" i="12" s="1"/>
  <c r="B50" i="12"/>
  <c r="E49" i="12" s="1"/>
  <c r="G49" i="12" s="1"/>
  <c r="B51" i="12"/>
  <c r="B52" i="12"/>
  <c r="B53" i="12"/>
  <c r="E52" i="12" s="1"/>
  <c r="G52" i="12" s="1"/>
  <c r="B54" i="12"/>
  <c r="E53" i="12" s="1"/>
  <c r="G53" i="12" s="1"/>
  <c r="B55" i="12"/>
  <c r="E54" i="12" s="1"/>
  <c r="G54" i="12" s="1"/>
  <c r="B56" i="12"/>
  <c r="B57" i="12"/>
  <c r="B58" i="12"/>
  <c r="E57" i="12" s="1"/>
  <c r="G57" i="12" s="1"/>
  <c r="B59" i="12"/>
  <c r="E58" i="12" s="1"/>
  <c r="G58" i="12" s="1"/>
  <c r="B60" i="12"/>
  <c r="B61" i="12"/>
  <c r="E60" i="12" s="1"/>
  <c r="G60" i="12" s="1"/>
  <c r="B62" i="12"/>
  <c r="B63" i="12"/>
  <c r="E62" i="12" s="1"/>
  <c r="G62" i="12" s="1"/>
  <c r="B64" i="12"/>
  <c r="B65" i="12"/>
  <c r="E64" i="12" s="1"/>
  <c r="G64" i="12" s="1"/>
  <c r="B66" i="12"/>
  <c r="E65" i="12" s="1"/>
  <c r="G65" i="12" s="1"/>
  <c r="B67" i="12"/>
  <c r="B68" i="12"/>
  <c r="B69" i="12"/>
  <c r="B11" i="12"/>
  <c r="I32" i="2"/>
  <c r="F80" i="2" s="1"/>
  <c r="G46" i="2"/>
  <c r="AC45" i="2" s="1"/>
  <c r="E110" i="2"/>
  <c r="E103" i="7"/>
  <c r="F103" i="7" s="1"/>
  <c r="J105" i="2"/>
  <c r="E17" i="12" l="1"/>
  <c r="G17" i="12" s="1"/>
  <c r="E24" i="12"/>
  <c r="G24" i="12" s="1"/>
  <c r="E32" i="12"/>
  <c r="G32" i="12" s="1"/>
  <c r="E12" i="12"/>
  <c r="G12" i="12" s="1"/>
  <c r="H102" i="13"/>
  <c r="D172" i="7" s="1"/>
  <c r="Y101" i="13"/>
  <c r="H104" i="13"/>
  <c r="Y103" i="13"/>
  <c r="I103" i="13"/>
  <c r="D173" i="7"/>
  <c r="D97" i="14"/>
  <c r="D90" i="8" s="1"/>
  <c r="D87" i="14"/>
  <c r="D80" i="8" s="1"/>
  <c r="D77" i="14"/>
  <c r="D70" i="8" s="1"/>
  <c r="D67" i="14"/>
  <c r="D57" i="14"/>
  <c r="D47" i="14"/>
  <c r="D100" i="14"/>
  <c r="D93" i="8" s="1"/>
  <c r="D90" i="14"/>
  <c r="D80" i="14"/>
  <c r="D70" i="14"/>
  <c r="D50" i="14"/>
  <c r="D60" i="14"/>
  <c r="D93" i="14"/>
  <c r="D83" i="14"/>
  <c r="D76" i="8" s="1"/>
  <c r="D73" i="14"/>
  <c r="D63" i="14"/>
  <c r="D56" i="8" s="1"/>
  <c r="D53" i="14"/>
  <c r="D96" i="14"/>
  <c r="D86" i="14"/>
  <c r="D76" i="14"/>
  <c r="D66" i="14"/>
  <c r="D59" i="8" s="1"/>
  <c r="D56" i="14"/>
  <c r="D49" i="8" s="1"/>
  <c r="D46" i="14"/>
  <c r="D39" i="8" s="1"/>
  <c r="D69" i="14"/>
  <c r="D62" i="8" s="1"/>
  <c r="D68" i="14"/>
  <c r="D102" i="14"/>
  <c r="D95" i="8" s="1"/>
  <c r="D72" i="14"/>
  <c r="D65" i="8" s="1"/>
  <c r="D55" i="14"/>
  <c r="D48" i="8" s="1"/>
  <c r="D59" i="14"/>
  <c r="D52" i="8" s="1"/>
  <c r="D49" i="14"/>
  <c r="D42" i="8" s="1"/>
  <c r="D98" i="14"/>
  <c r="D101" i="14"/>
  <c r="D91" i="14"/>
  <c r="D81" i="14"/>
  <c r="D71" i="14"/>
  <c r="D61" i="14"/>
  <c r="D51" i="14"/>
  <c r="D99" i="14"/>
  <c r="D82" i="14"/>
  <c r="D95" i="14"/>
  <c r="D85" i="14"/>
  <c r="D78" i="8" s="1"/>
  <c r="D75" i="14"/>
  <c r="D68" i="8" s="1"/>
  <c r="D65" i="14"/>
  <c r="D58" i="8" s="1"/>
  <c r="D45" i="14"/>
  <c r="D38" i="8" s="1"/>
  <c r="I37" i="8" s="1"/>
  <c r="D89" i="14"/>
  <c r="D82" i="8" s="1"/>
  <c r="D88" i="14"/>
  <c r="D92" i="14"/>
  <c r="D85" i="8" s="1"/>
  <c r="D79" i="14"/>
  <c r="D72" i="8" s="1"/>
  <c r="D52" i="14"/>
  <c r="D45" i="8" s="1"/>
  <c r="D94" i="14"/>
  <c r="D87" i="8" s="1"/>
  <c r="D84" i="14"/>
  <c r="D77" i="8" s="1"/>
  <c r="D74" i="14"/>
  <c r="D67" i="8" s="1"/>
  <c r="D64" i="14"/>
  <c r="D57" i="8" s="1"/>
  <c r="D54" i="14"/>
  <c r="D47" i="8" s="1"/>
  <c r="D78" i="14"/>
  <c r="D58" i="14"/>
  <c r="D48" i="14"/>
  <c r="D62" i="14"/>
  <c r="E68" i="12"/>
  <c r="G68" i="12" s="1"/>
  <c r="E63" i="12"/>
  <c r="G63" i="12" s="1"/>
  <c r="E43" i="12"/>
  <c r="G43" i="12" s="1"/>
  <c r="E23" i="12"/>
  <c r="G23" i="12" s="1"/>
  <c r="I102" i="13"/>
  <c r="E56" i="12"/>
  <c r="G56" i="12" s="1"/>
  <c r="E36" i="12"/>
  <c r="G36" i="12" s="1"/>
  <c r="G103" i="7"/>
  <c r="H103" i="7" s="1"/>
  <c r="H60" i="13"/>
  <c r="D130" i="7" s="1"/>
  <c r="H81" i="13"/>
  <c r="D151" i="7" s="1"/>
  <c r="H64" i="13"/>
  <c r="D134" i="7" s="1"/>
  <c r="H87" i="13"/>
  <c r="D157" i="7" s="1"/>
  <c r="G107" i="13"/>
  <c r="H99" i="13"/>
  <c r="D169" i="7" s="1"/>
  <c r="H96" i="13"/>
  <c r="D166" i="7" s="1"/>
  <c r="H59" i="13"/>
  <c r="D129" i="7" s="1"/>
  <c r="H71" i="13"/>
  <c r="D141" i="7" s="1"/>
  <c r="H89" i="13"/>
  <c r="D159" i="7" s="1"/>
  <c r="H88" i="13"/>
  <c r="D158" i="7" s="1"/>
  <c r="H101" i="13"/>
  <c r="D171" i="7" s="1"/>
  <c r="H97" i="13"/>
  <c r="D167" i="7" s="1"/>
  <c r="H50" i="13"/>
  <c r="D120" i="7" s="1"/>
  <c r="H100" i="13"/>
  <c r="D170" i="7" s="1"/>
  <c r="H94" i="13"/>
  <c r="D164" i="7" s="1"/>
  <c r="H57" i="13"/>
  <c r="D127" i="7" s="1"/>
  <c r="H56" i="13"/>
  <c r="D126" i="7" s="1"/>
  <c r="H52" i="13"/>
  <c r="D122" i="7" s="1"/>
  <c r="H76" i="13"/>
  <c r="D146" i="7" s="1"/>
  <c r="H74" i="13"/>
  <c r="D144" i="7" s="1"/>
  <c r="H75" i="13"/>
  <c r="D145" i="7" s="1"/>
  <c r="H91" i="13"/>
  <c r="D161" i="7" s="1"/>
  <c r="H55" i="13"/>
  <c r="D125" i="7" s="1"/>
  <c r="H70" i="13"/>
  <c r="D140" i="7" s="1"/>
  <c r="H61" i="13"/>
  <c r="H72" i="13"/>
  <c r="D142" i="7" s="1"/>
  <c r="H79" i="13"/>
  <c r="D149" i="7" s="1"/>
  <c r="H58" i="13"/>
  <c r="D128" i="7" s="1"/>
  <c r="H93" i="13"/>
  <c r="D163" i="7" s="1"/>
  <c r="H83" i="13"/>
  <c r="D153" i="7" s="1"/>
  <c r="H47" i="13"/>
  <c r="D117" i="7" s="1"/>
  <c r="H53" i="13"/>
  <c r="D123" i="7" s="1"/>
  <c r="H68" i="13"/>
  <c r="D138" i="7" s="1"/>
  <c r="H51" i="13"/>
  <c r="D121" i="7" s="1"/>
  <c r="H85" i="13"/>
  <c r="D155" i="7" s="1"/>
  <c r="H77" i="13"/>
  <c r="D147" i="7" s="1"/>
  <c r="H46" i="13"/>
  <c r="H48" i="13"/>
  <c r="D118" i="7" s="1"/>
  <c r="H78" i="13"/>
  <c r="D148" i="7" s="1"/>
  <c r="H73" i="13"/>
  <c r="D143" i="7" s="1"/>
  <c r="H92" i="13"/>
  <c r="D162" i="7" s="1"/>
  <c r="H67" i="13"/>
  <c r="D137" i="7" s="1"/>
  <c r="H54" i="13"/>
  <c r="D124" i="7" s="1"/>
  <c r="H69" i="13"/>
  <c r="D139" i="7" s="1"/>
  <c r="H86" i="13"/>
  <c r="D156" i="7" s="1"/>
  <c r="H82" i="13"/>
  <c r="D152" i="7" s="1"/>
  <c r="H84" i="13"/>
  <c r="D154" i="7" s="1"/>
  <c r="H49" i="13"/>
  <c r="D119" i="7" s="1"/>
  <c r="H65" i="13"/>
  <c r="D135" i="7" s="1"/>
  <c r="H90" i="13"/>
  <c r="D160" i="7" s="1"/>
  <c r="H62" i="13"/>
  <c r="D132" i="7" s="1"/>
  <c r="H63" i="13"/>
  <c r="D133" i="7" s="1"/>
  <c r="H66" i="13"/>
  <c r="D136" i="7" s="1"/>
  <c r="H98" i="13"/>
  <c r="D168" i="7" s="1"/>
  <c r="H80" i="13"/>
  <c r="D150" i="7" s="1"/>
  <c r="H95" i="13"/>
  <c r="D165" i="7" s="1"/>
  <c r="E11" i="12"/>
  <c r="G11" i="12" s="1"/>
  <c r="E31" i="12"/>
  <c r="G31" i="12" s="1"/>
  <c r="E10" i="12"/>
  <c r="G10" i="12" s="1"/>
  <c r="E67" i="12"/>
  <c r="G67" i="12" s="1"/>
  <c r="E47" i="12"/>
  <c r="G47" i="12" s="1"/>
  <c r="E51" i="12"/>
  <c r="G51" i="12" s="1"/>
  <c r="E66" i="12"/>
  <c r="G66" i="12" s="1"/>
  <c r="E46" i="12"/>
  <c r="G46" i="12" s="1"/>
  <c r="E26" i="12"/>
  <c r="G26" i="12" s="1"/>
  <c r="E21" i="12"/>
  <c r="G21" i="12" s="1"/>
  <c r="E19" i="12"/>
  <c r="G19" i="12" s="1"/>
  <c r="E16" i="12"/>
  <c r="G16" i="12" s="1"/>
  <c r="E55" i="12"/>
  <c r="G55" i="12" s="1"/>
  <c r="E15" i="12"/>
  <c r="G15" i="12" s="1"/>
  <c r="E59" i="12"/>
  <c r="G59" i="12" s="1"/>
  <c r="E14" i="12"/>
  <c r="G14" i="12" s="1"/>
  <c r="E61" i="12"/>
  <c r="G61" i="12" s="1"/>
  <c r="E50" i="12"/>
  <c r="G50" i="12" s="1"/>
  <c r="E20" i="12"/>
  <c r="G20" i="12" s="1"/>
  <c r="E25" i="12"/>
  <c r="G25" i="12" s="1"/>
  <c r="E35" i="12"/>
  <c r="G35" i="12" s="1"/>
  <c r="E30" i="12"/>
  <c r="G30" i="12" s="1"/>
  <c r="E40" i="12"/>
  <c r="G40" i="12" s="1"/>
  <c r="D174" i="7" l="1"/>
  <c r="I104" i="13"/>
  <c r="E89" i="14"/>
  <c r="D83" i="8"/>
  <c r="E87" i="14"/>
  <c r="D81" i="8"/>
  <c r="E46" i="14"/>
  <c r="D40" i="8"/>
  <c r="E67" i="14"/>
  <c r="D61" i="8"/>
  <c r="E56" i="14"/>
  <c r="D50" i="8"/>
  <c r="E66" i="14"/>
  <c r="D60" i="8"/>
  <c r="E94" i="14"/>
  <c r="D88" i="8"/>
  <c r="E75" i="14"/>
  <c r="D69" i="8"/>
  <c r="E81" i="14"/>
  <c r="D75" i="8"/>
  <c r="E85" i="14"/>
  <c r="D79" i="8"/>
  <c r="E61" i="14"/>
  <c r="D55" i="8"/>
  <c r="E98" i="14"/>
  <c r="D92" i="8"/>
  <c r="E95" i="14"/>
  <c r="D89" i="8"/>
  <c r="E47" i="14"/>
  <c r="D41" i="8"/>
  <c r="E50" i="14"/>
  <c r="D44" i="8"/>
  <c r="E52" i="14"/>
  <c r="D46" i="8"/>
  <c r="E57" i="14"/>
  <c r="D51" i="8"/>
  <c r="E60" i="14"/>
  <c r="D54" i="8"/>
  <c r="E77" i="14"/>
  <c r="D71" i="8"/>
  <c r="E70" i="14"/>
  <c r="D64" i="8"/>
  <c r="E72" i="14"/>
  <c r="D66" i="8"/>
  <c r="E80" i="14"/>
  <c r="D74" i="8"/>
  <c r="E90" i="14"/>
  <c r="D84" i="8"/>
  <c r="E92" i="14"/>
  <c r="D86" i="8"/>
  <c r="E100" i="14"/>
  <c r="D94" i="8"/>
  <c r="E59" i="14"/>
  <c r="D53" i="8"/>
  <c r="E97" i="14"/>
  <c r="D91" i="8"/>
  <c r="E49" i="14"/>
  <c r="D43" i="8"/>
  <c r="E69" i="14"/>
  <c r="D63" i="8"/>
  <c r="E79" i="14"/>
  <c r="D73" i="8"/>
  <c r="I60" i="13"/>
  <c r="D131" i="7"/>
  <c r="I62" i="13"/>
  <c r="E73" i="14"/>
  <c r="E83" i="14"/>
  <c r="E93" i="14"/>
  <c r="E51" i="14"/>
  <c r="E78" i="14"/>
  <c r="E71" i="14"/>
  <c r="E62" i="14"/>
  <c r="E53" i="14"/>
  <c r="E63" i="14"/>
  <c r="E64" i="14"/>
  <c r="E76" i="14"/>
  <c r="E82" i="14"/>
  <c r="E91" i="14"/>
  <c r="E99" i="14"/>
  <c r="E74" i="14"/>
  <c r="E55" i="14"/>
  <c r="E86" i="14"/>
  <c r="E48" i="14"/>
  <c r="E58" i="14"/>
  <c r="E54" i="14"/>
  <c r="E101" i="14"/>
  <c r="E102" i="14"/>
  <c r="E88" i="14"/>
  <c r="E44" i="14"/>
  <c r="E68" i="14"/>
  <c r="E45" i="14"/>
  <c r="E84" i="14"/>
  <c r="E65" i="14"/>
  <c r="E96" i="14"/>
  <c r="I84" i="13"/>
  <c r="I65" i="13"/>
  <c r="I96" i="13"/>
  <c r="I50" i="13"/>
  <c r="I89" i="13"/>
  <c r="I76" i="13"/>
  <c r="I99" i="13"/>
  <c r="I87" i="13"/>
  <c r="I59" i="13"/>
  <c r="I64" i="13"/>
  <c r="I70" i="13"/>
  <c r="I81" i="13"/>
  <c r="I91" i="13"/>
  <c r="I52" i="13"/>
  <c r="I83" i="13"/>
  <c r="I71" i="13"/>
  <c r="I74" i="13"/>
  <c r="I51" i="13"/>
  <c r="I85" i="13"/>
  <c r="I88" i="13"/>
  <c r="I69" i="13"/>
  <c r="I57" i="13"/>
  <c r="I68" i="13"/>
  <c r="I100" i="13"/>
  <c r="I66" i="13"/>
  <c r="I54" i="13"/>
  <c r="I58" i="13"/>
  <c r="I86" i="13"/>
  <c r="I77" i="13"/>
  <c r="I94" i="13"/>
  <c r="I47" i="13"/>
  <c r="I90" i="13"/>
  <c r="I79" i="13"/>
  <c r="I97" i="13"/>
  <c r="I101" i="13"/>
  <c r="J101" i="13" s="1"/>
  <c r="E171" i="7" s="1"/>
  <c r="I48" i="13"/>
  <c r="I75" i="13"/>
  <c r="I98" i="13"/>
  <c r="I67" i="13"/>
  <c r="I72" i="13"/>
  <c r="I61" i="13"/>
  <c r="I73" i="13"/>
  <c r="I80" i="13"/>
  <c r="I53" i="13"/>
  <c r="I56" i="13"/>
  <c r="I46" i="13"/>
  <c r="I95" i="13"/>
  <c r="I82" i="13"/>
  <c r="I92" i="13"/>
  <c r="I55" i="13"/>
  <c r="I63" i="13"/>
  <c r="I93" i="13"/>
  <c r="I78" i="13"/>
  <c r="I49" i="13"/>
  <c r="I105" i="2"/>
  <c r="H105" i="2"/>
  <c r="G104" i="2"/>
  <c r="G103" i="2"/>
  <c r="G102" i="2"/>
  <c r="AC101" i="2" s="1"/>
  <c r="G101" i="2"/>
  <c r="AC100" i="2" s="1"/>
  <c r="G100" i="2"/>
  <c r="AC99" i="2" s="1"/>
  <c r="G99" i="2"/>
  <c r="AC98" i="2" s="1"/>
  <c r="G98" i="2"/>
  <c r="AC97" i="2" s="1"/>
  <c r="G97" i="2"/>
  <c r="AC96" i="2" s="1"/>
  <c r="G96" i="2"/>
  <c r="AC95" i="2" s="1"/>
  <c r="G95" i="2"/>
  <c r="AC94" i="2" s="1"/>
  <c r="G94" i="2"/>
  <c r="AC93" i="2" s="1"/>
  <c r="G93" i="2"/>
  <c r="AC92" i="2" s="1"/>
  <c r="G92" i="2"/>
  <c r="AC91" i="2" s="1"/>
  <c r="G91" i="2"/>
  <c r="AC90" i="2" s="1"/>
  <c r="G90" i="2"/>
  <c r="AC89" i="2" s="1"/>
  <c r="G89" i="2"/>
  <c r="AC88" i="2" s="1"/>
  <c r="G88" i="2"/>
  <c r="AC87" i="2" s="1"/>
  <c r="G87" i="2"/>
  <c r="AC86" i="2" s="1"/>
  <c r="G86" i="2"/>
  <c r="AC85" i="2" s="1"/>
  <c r="G85" i="2"/>
  <c r="AC84" i="2" s="1"/>
  <c r="G84" i="2"/>
  <c r="AC83" i="2" s="1"/>
  <c r="G83" i="2"/>
  <c r="AC82" i="2" s="1"/>
  <c r="G82" i="2"/>
  <c r="AC81" i="2" s="1"/>
  <c r="I33" i="2"/>
  <c r="F100" i="14" l="1"/>
  <c r="E47" i="8"/>
  <c r="J104" i="13"/>
  <c r="E174" i="7" s="1"/>
  <c r="J102" i="13"/>
  <c r="E172" i="7" s="1"/>
  <c r="J103" i="13"/>
  <c r="E173" i="7" s="1"/>
  <c r="E66" i="8"/>
  <c r="F55" i="14"/>
  <c r="E48" i="8"/>
  <c r="E72" i="8"/>
  <c r="E78" i="8"/>
  <c r="F99" i="14"/>
  <c r="G99" i="14" s="1"/>
  <c r="E92" i="8"/>
  <c r="F91" i="14"/>
  <c r="E84" i="8"/>
  <c r="E62" i="8"/>
  <c r="E70" i="8"/>
  <c r="E74" i="8"/>
  <c r="E53" i="8"/>
  <c r="F96" i="14"/>
  <c r="E89" i="8"/>
  <c r="E67" i="8"/>
  <c r="E63" i="8"/>
  <c r="E75" i="8"/>
  <c r="E42" i="8"/>
  <c r="E68" i="8"/>
  <c r="E69" i="8"/>
  <c r="E57" i="8"/>
  <c r="E90" i="8"/>
  <c r="E50" i="8"/>
  <c r="E87" i="8"/>
  <c r="E58" i="8"/>
  <c r="E56" i="8"/>
  <c r="E77" i="8"/>
  <c r="E46" i="8"/>
  <c r="E52" i="8"/>
  <c r="E45" i="8"/>
  <c r="E59" i="8"/>
  <c r="E38" i="8"/>
  <c r="F62" i="14"/>
  <c r="E55" i="8"/>
  <c r="E61" i="8"/>
  <c r="E64" i="8"/>
  <c r="E93" i="8"/>
  <c r="E43" i="8"/>
  <c r="E37" i="8"/>
  <c r="E96" i="8"/>
  <c r="F77" i="14"/>
  <c r="E71" i="8"/>
  <c r="E49" i="8"/>
  <c r="E81" i="8"/>
  <c r="E44" i="8"/>
  <c r="E85" i="8"/>
  <c r="E40" i="8"/>
  <c r="F102" i="14"/>
  <c r="G102" i="14" s="1"/>
  <c r="H102" i="14" s="1"/>
  <c r="E95" i="8"/>
  <c r="F92" i="14"/>
  <c r="E86" i="8"/>
  <c r="E60" i="8"/>
  <c r="E94" i="8"/>
  <c r="E76" i="8"/>
  <c r="E83" i="8"/>
  <c r="E88" i="8"/>
  <c r="E39" i="8"/>
  <c r="E51" i="8"/>
  <c r="E73" i="8"/>
  <c r="E91" i="8"/>
  <c r="F46" i="14"/>
  <c r="E41" i="8"/>
  <c r="E80" i="8"/>
  <c r="E79" i="8"/>
  <c r="E65" i="8"/>
  <c r="E54" i="8"/>
  <c r="E82" i="8"/>
  <c r="H103" i="2"/>
  <c r="AC102" i="2"/>
  <c r="H104" i="2"/>
  <c r="I103" i="2" s="1"/>
  <c r="AC103" i="2"/>
  <c r="G91" i="14"/>
  <c r="F82" i="14"/>
  <c r="F61" i="14"/>
  <c r="F65" i="14"/>
  <c r="F84" i="14"/>
  <c r="F45" i="14"/>
  <c r="F71" i="14"/>
  <c r="F49" i="14"/>
  <c r="F51" i="14"/>
  <c r="F101" i="14"/>
  <c r="F73" i="14"/>
  <c r="F76" i="14"/>
  <c r="G76" i="14" s="1"/>
  <c r="F72" i="14"/>
  <c r="F70" i="14"/>
  <c r="F80" i="14"/>
  <c r="F74" i="14"/>
  <c r="F81" i="14"/>
  <c r="F66" i="14"/>
  <c r="F79" i="14"/>
  <c r="F78" i="14"/>
  <c r="F93" i="14"/>
  <c r="F60" i="14"/>
  <c r="F57" i="14"/>
  <c r="F90" i="14"/>
  <c r="F64" i="14"/>
  <c r="F97" i="14"/>
  <c r="F89" i="14"/>
  <c r="F63" i="14"/>
  <c r="F98" i="14"/>
  <c r="F50" i="14"/>
  <c r="F67" i="14"/>
  <c r="F94" i="14"/>
  <c r="F68" i="14"/>
  <c r="F106" i="14"/>
  <c r="F44" i="14"/>
  <c r="F88" i="14"/>
  <c r="D174" i="14"/>
  <c r="F83" i="14"/>
  <c r="F87" i="14"/>
  <c r="F54" i="14"/>
  <c r="F58" i="14"/>
  <c r="F48" i="14"/>
  <c r="F47" i="14"/>
  <c r="F75" i="14"/>
  <c r="F69" i="14"/>
  <c r="F56" i="14"/>
  <c r="F52" i="14"/>
  <c r="F59" i="14"/>
  <c r="F85" i="14"/>
  <c r="F86" i="14"/>
  <c r="F53" i="14"/>
  <c r="F95" i="14"/>
  <c r="H102" i="2"/>
  <c r="J79" i="13"/>
  <c r="E149" i="7" s="1"/>
  <c r="J54" i="13"/>
  <c r="E124" i="7" s="1"/>
  <c r="J91" i="13"/>
  <c r="E161" i="7" s="1"/>
  <c r="J81" i="13"/>
  <c r="E151" i="7" s="1"/>
  <c r="J58" i="13"/>
  <c r="E128" i="7" s="1"/>
  <c r="J60" i="13"/>
  <c r="E130" i="7" s="1"/>
  <c r="J56" i="13"/>
  <c r="E126" i="7" s="1"/>
  <c r="J71" i="13"/>
  <c r="E141" i="7" s="1"/>
  <c r="J100" i="13"/>
  <c r="E170" i="7" s="1"/>
  <c r="J69" i="13"/>
  <c r="E139" i="7" s="1"/>
  <c r="J70" i="13"/>
  <c r="E140" i="7" s="1"/>
  <c r="J99" i="13"/>
  <c r="E169" i="7" s="1"/>
  <c r="J67" i="13"/>
  <c r="E137" i="7" s="1"/>
  <c r="J98" i="13"/>
  <c r="E168" i="7" s="1"/>
  <c r="J53" i="13"/>
  <c r="E123" i="7" s="1"/>
  <c r="J93" i="13"/>
  <c r="E163" i="7" s="1"/>
  <c r="J57" i="13"/>
  <c r="E127" i="7" s="1"/>
  <c r="J78" i="13"/>
  <c r="E148" i="7" s="1"/>
  <c r="J73" i="13"/>
  <c r="E143" i="7" s="1"/>
  <c r="J86" i="13"/>
  <c r="E156" i="7" s="1"/>
  <c r="J80" i="13"/>
  <c r="E150" i="7" s="1"/>
  <c r="J68" i="13"/>
  <c r="E138" i="7" s="1"/>
  <c r="J84" i="13"/>
  <c r="E154" i="7" s="1"/>
  <c r="J82" i="13"/>
  <c r="E152" i="7" s="1"/>
  <c r="J90" i="13"/>
  <c r="E160" i="7" s="1"/>
  <c r="J77" i="13"/>
  <c r="E147" i="7" s="1"/>
  <c r="J66" i="13"/>
  <c r="E136" i="7" s="1"/>
  <c r="J49" i="13"/>
  <c r="E119" i="7" s="1"/>
  <c r="J50" i="13"/>
  <c r="E120" i="7" s="1"/>
  <c r="J63" i="13"/>
  <c r="E133" i="7" s="1"/>
  <c r="J48" i="13"/>
  <c r="E118" i="7" s="1"/>
  <c r="J95" i="13"/>
  <c r="E165" i="7" s="1"/>
  <c r="J94" i="13"/>
  <c r="E164" i="7" s="1"/>
  <c r="J87" i="13"/>
  <c r="E157" i="7" s="1"/>
  <c r="J47" i="13"/>
  <c r="E117" i="7" s="1"/>
  <c r="J96" i="13"/>
  <c r="E166" i="7" s="1"/>
  <c r="J83" i="13"/>
  <c r="E153" i="7" s="1"/>
  <c r="J75" i="13"/>
  <c r="E145" i="7" s="1"/>
  <c r="J52" i="13"/>
  <c r="E122" i="7" s="1"/>
  <c r="J55" i="13"/>
  <c r="E125" i="7" s="1"/>
  <c r="J92" i="13"/>
  <c r="E162" i="7" s="1"/>
  <c r="J74" i="13"/>
  <c r="E144" i="7" s="1"/>
  <c r="J76" i="13"/>
  <c r="E146" i="7" s="1"/>
  <c r="J61" i="13"/>
  <c r="E131" i="7" s="1"/>
  <c r="J46" i="13"/>
  <c r="J65" i="13"/>
  <c r="E135" i="7" s="1"/>
  <c r="J88" i="13"/>
  <c r="E158" i="7" s="1"/>
  <c r="J97" i="13"/>
  <c r="E167" i="7" s="1"/>
  <c r="J51" i="13"/>
  <c r="E121" i="7" s="1"/>
  <c r="J85" i="13"/>
  <c r="E155" i="7" s="1"/>
  <c r="J89" i="13"/>
  <c r="E159" i="7" s="1"/>
  <c r="J64" i="13"/>
  <c r="E134" i="7" s="1"/>
  <c r="J62" i="13"/>
  <c r="E132" i="7" s="1"/>
  <c r="J72" i="13"/>
  <c r="E142" i="7" s="1"/>
  <c r="J59" i="13"/>
  <c r="E129" i="7" s="1"/>
  <c r="H101" i="2"/>
  <c r="H95" i="2"/>
  <c r="H92" i="2"/>
  <c r="H97" i="2"/>
  <c r="H88" i="2"/>
  <c r="H91" i="2"/>
  <c r="H87" i="2"/>
  <c r="H98" i="2"/>
  <c r="H89" i="2"/>
  <c r="H99" i="2"/>
  <c r="H90" i="2"/>
  <c r="H100" i="2"/>
  <c r="H86" i="2"/>
  <c r="H93" i="2"/>
  <c r="D163" i="14" s="1"/>
  <c r="H83" i="2"/>
  <c r="H94" i="2"/>
  <c r="H85" i="2"/>
  <c r="H84" i="2"/>
  <c r="H96" i="2"/>
  <c r="H82" i="2"/>
  <c r="D28" i="2"/>
  <c r="K35" i="1"/>
  <c r="K33" i="1"/>
  <c r="L31" i="14" l="1"/>
  <c r="L32" i="14"/>
  <c r="D168" i="14"/>
  <c r="I104" i="2"/>
  <c r="J104" i="2" s="1"/>
  <c r="I102" i="2"/>
  <c r="J37" i="8"/>
  <c r="G98" i="14"/>
  <c r="D171" i="14"/>
  <c r="D164" i="14"/>
  <c r="E174" i="14"/>
  <c r="D172" i="14"/>
  <c r="I101" i="2"/>
  <c r="J101" i="2" s="1"/>
  <c r="G57" i="14"/>
  <c r="G63" i="14"/>
  <c r="G72" i="14"/>
  <c r="G53" i="14"/>
  <c r="G89" i="14"/>
  <c r="D162" i="14"/>
  <c r="D173" i="14"/>
  <c r="G100" i="14"/>
  <c r="H100" i="14" s="1"/>
  <c r="G86" i="14"/>
  <c r="D159" i="14"/>
  <c r="G56" i="14"/>
  <c r="G50" i="14"/>
  <c r="D155" i="14"/>
  <c r="G82" i="14"/>
  <c r="G59" i="14"/>
  <c r="G48" i="14"/>
  <c r="G101" i="14"/>
  <c r="H101" i="14" s="1"/>
  <c r="D165" i="14"/>
  <c r="G92" i="14"/>
  <c r="G70" i="14"/>
  <c r="G44" i="14"/>
  <c r="G83" i="14"/>
  <c r="D156" i="14"/>
  <c r="D160" i="14"/>
  <c r="G87" i="14"/>
  <c r="G77" i="14"/>
  <c r="G64" i="14"/>
  <c r="G78" i="14"/>
  <c r="D167" i="14"/>
  <c r="G94" i="14"/>
  <c r="G65" i="14"/>
  <c r="G95" i="14"/>
  <c r="G52" i="14"/>
  <c r="G67" i="14"/>
  <c r="G60" i="14"/>
  <c r="G85" i="14"/>
  <c r="D158" i="14"/>
  <c r="G93" i="14"/>
  <c r="D166" i="14"/>
  <c r="D154" i="14"/>
  <c r="G81" i="14"/>
  <c r="D157" i="14"/>
  <c r="G84" i="14"/>
  <c r="G66" i="14"/>
  <c r="D153" i="14"/>
  <c r="G80" i="14"/>
  <c r="G90" i="14"/>
  <c r="G58" i="14"/>
  <c r="G49" i="14"/>
  <c r="G73" i="14"/>
  <c r="G51" i="14"/>
  <c r="G61" i="14"/>
  <c r="G55" i="14"/>
  <c r="G54" i="14"/>
  <c r="G68" i="14"/>
  <c r="D170" i="14"/>
  <c r="G97" i="14"/>
  <c r="D152" i="14"/>
  <c r="G79" i="14"/>
  <c r="G74" i="14"/>
  <c r="G62" i="14"/>
  <c r="G69" i="14"/>
  <c r="G46" i="14"/>
  <c r="G88" i="14"/>
  <c r="D161" i="14"/>
  <c r="G71" i="14"/>
  <c r="G47" i="14"/>
  <c r="G96" i="14"/>
  <c r="D169" i="14"/>
  <c r="G75" i="14"/>
  <c r="G45" i="14"/>
  <c r="I87" i="2"/>
  <c r="J102" i="2"/>
  <c r="I99" i="2"/>
  <c r="I91" i="2"/>
  <c r="I86" i="2"/>
  <c r="I88" i="2"/>
  <c r="I96" i="2"/>
  <c r="I98" i="2"/>
  <c r="I89" i="2"/>
  <c r="I90" i="2"/>
  <c r="I100" i="2"/>
  <c r="I97" i="2"/>
  <c r="I84" i="2"/>
  <c r="I83" i="2"/>
  <c r="I85" i="2"/>
  <c r="I95" i="2"/>
  <c r="I93" i="2"/>
  <c r="I92" i="2"/>
  <c r="I94" i="2"/>
  <c r="I65" i="11"/>
  <c r="J65" i="11"/>
  <c r="K65" i="11"/>
  <c r="L65" i="11"/>
  <c r="M65" i="11"/>
  <c r="N65" i="11"/>
  <c r="O65" i="11"/>
  <c r="P65" i="11"/>
  <c r="D65" i="11"/>
  <c r="E65" i="11"/>
  <c r="F65" i="11"/>
  <c r="G65" i="11"/>
  <c r="G69" i="9"/>
  <c r="F45" i="11"/>
  <c r="O54" i="10"/>
  <c r="J42" i="10"/>
  <c r="Q35" i="9"/>
  <c r="Q31" i="9"/>
  <c r="D55" i="10"/>
  <c r="F55" i="10"/>
  <c r="E55" i="10"/>
  <c r="F29" i="10"/>
  <c r="G29" i="10"/>
  <c r="H29" i="10"/>
  <c r="I29" i="10"/>
  <c r="J29" i="10"/>
  <c r="K29" i="10"/>
  <c r="L29" i="10"/>
  <c r="M29" i="10"/>
  <c r="N29" i="10"/>
  <c r="O29" i="10"/>
  <c r="P29" i="10"/>
  <c r="E29" i="10"/>
  <c r="Q28" i="10"/>
  <c r="E39" i="9"/>
  <c r="F39" i="9"/>
  <c r="G39" i="9"/>
  <c r="H39" i="9"/>
  <c r="I39" i="9"/>
  <c r="J39" i="9"/>
  <c r="K39" i="9"/>
  <c r="K65" i="9" s="1"/>
  <c r="L39" i="9"/>
  <c r="L65" i="9" s="1"/>
  <c r="M39" i="9"/>
  <c r="N39" i="9"/>
  <c r="O39" i="9"/>
  <c r="P39" i="9"/>
  <c r="D38" i="7"/>
  <c r="D37" i="7"/>
  <c r="D36" i="7"/>
  <c r="D35" i="7"/>
  <c r="D34" i="7"/>
  <c r="D33" i="7"/>
  <c r="D30" i="7"/>
  <c r="D29" i="7"/>
  <c r="J103" i="2" l="1"/>
  <c r="E173" i="14" s="1"/>
  <c r="H99" i="14"/>
  <c r="H98" i="14"/>
  <c r="H93" i="14"/>
  <c r="H95" i="14"/>
  <c r="H82" i="14"/>
  <c r="E172" i="14"/>
  <c r="E171" i="14"/>
  <c r="H50" i="14"/>
  <c r="H77" i="14"/>
  <c r="H76" i="14"/>
  <c r="H58" i="14"/>
  <c r="H52" i="14"/>
  <c r="H69" i="14"/>
  <c r="H64" i="14"/>
  <c r="H51" i="14"/>
  <c r="H46" i="14"/>
  <c r="H56" i="14"/>
  <c r="H73" i="14"/>
  <c r="H83" i="14"/>
  <c r="H49" i="14"/>
  <c r="H45" i="14"/>
  <c r="H65" i="14"/>
  <c r="H53" i="14"/>
  <c r="H66" i="14"/>
  <c r="H96" i="14"/>
  <c r="H47" i="14"/>
  <c r="H63" i="14"/>
  <c r="H91" i="14"/>
  <c r="H88" i="14"/>
  <c r="H85" i="14"/>
  <c r="H87" i="14"/>
  <c r="H86" i="14"/>
  <c r="H74" i="14"/>
  <c r="H70" i="14"/>
  <c r="H80" i="14"/>
  <c r="H97" i="14"/>
  <c r="H72" i="14"/>
  <c r="H84" i="14"/>
  <c r="H48" i="14"/>
  <c r="H54" i="14"/>
  <c r="H81" i="14"/>
  <c r="H78" i="14"/>
  <c r="H59" i="14"/>
  <c r="H61" i="14"/>
  <c r="H60" i="14"/>
  <c r="H67" i="14"/>
  <c r="H62" i="14"/>
  <c r="H44" i="14"/>
  <c r="H90" i="14"/>
  <c r="H89" i="14"/>
  <c r="H79" i="14"/>
  <c r="H92" i="14"/>
  <c r="H75" i="14"/>
  <c r="H68" i="14"/>
  <c r="H94" i="14"/>
  <c r="H71" i="14"/>
  <c r="H55" i="14"/>
  <c r="H57" i="14"/>
  <c r="J98" i="2"/>
  <c r="J95" i="2"/>
  <c r="J86" i="2"/>
  <c r="J96" i="2"/>
  <c r="J93" i="2"/>
  <c r="J97" i="2"/>
  <c r="E167" i="14" s="1"/>
  <c r="J94" i="2"/>
  <c r="J99" i="2"/>
  <c r="J100" i="2"/>
  <c r="E170" i="14" s="1"/>
  <c r="J88" i="2"/>
  <c r="J92" i="2"/>
  <c r="J83" i="2"/>
  <c r="J91" i="2"/>
  <c r="J84" i="2"/>
  <c r="J90" i="2"/>
  <c r="J85" i="2"/>
  <c r="J87" i="2"/>
  <c r="J89" i="2"/>
  <c r="H40" i="9"/>
  <c r="H65" i="9"/>
  <c r="J40" i="9"/>
  <c r="J65" i="9"/>
  <c r="M40" i="9"/>
  <c r="M65" i="9"/>
  <c r="M67" i="9" s="1"/>
  <c r="E40" i="9"/>
  <c r="E65" i="9"/>
  <c r="F40" i="9"/>
  <c r="F65" i="9"/>
  <c r="G40" i="9"/>
  <c r="G65" i="9"/>
  <c r="L40" i="9"/>
  <c r="P40" i="9"/>
  <c r="P65" i="9"/>
  <c r="I40" i="9"/>
  <c r="I65" i="9"/>
  <c r="O40" i="9"/>
  <c r="O65" i="9"/>
  <c r="K40" i="9"/>
  <c r="N40" i="9"/>
  <c r="N65" i="9"/>
  <c r="J28" i="1"/>
  <c r="J27" i="1"/>
  <c r="J22" i="1"/>
  <c r="E18" i="1"/>
  <c r="J43" i="1"/>
  <c r="K28" i="1"/>
  <c r="K27" i="1"/>
  <c r="K22" i="1"/>
  <c r="K21" i="1"/>
  <c r="K16" i="1"/>
  <c r="K15" i="1"/>
  <c r="D73" i="11"/>
  <c r="E73" i="11"/>
  <c r="F73" i="11"/>
  <c r="G73" i="11"/>
  <c r="H73" i="11"/>
  <c r="I73" i="11"/>
  <c r="J73" i="11"/>
  <c r="K73" i="11"/>
  <c r="L73" i="11"/>
  <c r="M73" i="11"/>
  <c r="N73" i="11"/>
  <c r="D69" i="11"/>
  <c r="O73" i="11"/>
  <c r="D67" i="11"/>
  <c r="P40" i="11"/>
  <c r="O40" i="11"/>
  <c r="O41" i="11" s="1"/>
  <c r="N40" i="11"/>
  <c r="M40" i="11"/>
  <c r="L40" i="11"/>
  <c r="K40" i="11"/>
  <c r="J40" i="11"/>
  <c r="J64" i="11" s="1"/>
  <c r="I40" i="11"/>
  <c r="H40" i="11"/>
  <c r="G40" i="11"/>
  <c r="F40" i="11"/>
  <c r="E40" i="11"/>
  <c r="E55" i="11" s="1"/>
  <c r="Q38" i="11"/>
  <c r="Q37" i="11"/>
  <c r="Q36" i="11"/>
  <c r="Q35" i="11"/>
  <c r="Q34" i="11"/>
  <c r="Q33" i="11"/>
  <c r="Q32" i="11"/>
  <c r="Q31" i="11"/>
  <c r="Q30" i="11"/>
  <c r="Q29" i="11"/>
  <c r="D57" i="10"/>
  <c r="D70" i="9"/>
  <c r="D68" i="9"/>
  <c r="N67" i="9"/>
  <c r="L67" i="9"/>
  <c r="H67" i="9"/>
  <c r="Q37" i="9"/>
  <c r="Q36" i="9"/>
  <c r="Q34" i="9"/>
  <c r="Q33" i="9"/>
  <c r="Q32" i="9"/>
  <c r="Q30" i="9"/>
  <c r="Q29" i="9"/>
  <c r="Q28" i="9"/>
  <c r="E154" i="14" l="1"/>
  <c r="E153" i="14"/>
  <c r="E155" i="14"/>
  <c r="E165" i="14"/>
  <c r="E169" i="14"/>
  <c r="E158" i="14"/>
  <c r="E164" i="14"/>
  <c r="E162" i="14"/>
  <c r="E156" i="14"/>
  <c r="E159" i="14"/>
  <c r="E163" i="14"/>
  <c r="E157" i="14"/>
  <c r="E160" i="14"/>
  <c r="E168" i="14"/>
  <c r="E166" i="14"/>
  <c r="E161" i="14"/>
  <c r="G64" i="11"/>
  <c r="G66" i="11" s="1"/>
  <c r="F74" i="11" s="1"/>
  <c r="G55" i="11"/>
  <c r="G56" i="11" s="1"/>
  <c r="F55" i="11"/>
  <c r="F56" i="11" s="1"/>
  <c r="H64" i="11"/>
  <c r="I64" i="11"/>
  <c r="I66" i="11" s="1"/>
  <c r="H74" i="11" s="1"/>
  <c r="I55" i="11"/>
  <c r="I56" i="11" s="1"/>
  <c r="K64" i="11"/>
  <c r="K66" i="11" s="1"/>
  <c r="J74" i="11" s="1"/>
  <c r="K55" i="11"/>
  <c r="K56" i="11" s="1"/>
  <c r="M55" i="11"/>
  <c r="M56" i="11" s="1"/>
  <c r="L64" i="11"/>
  <c r="L66" i="11" s="1"/>
  <c r="K74" i="11" s="1"/>
  <c r="L55" i="11"/>
  <c r="L56" i="11" s="1"/>
  <c r="N55" i="11"/>
  <c r="N56" i="11" s="1"/>
  <c r="P55" i="11"/>
  <c r="P56" i="11" s="1"/>
  <c r="O53" i="11"/>
  <c r="E64" i="11"/>
  <c r="E66" i="11" s="1"/>
  <c r="D74" i="11" s="1"/>
  <c r="Q40" i="11"/>
  <c r="E49" i="11" s="1"/>
  <c r="J58" i="11" s="1"/>
  <c r="F41" i="11"/>
  <c r="E41" i="11"/>
  <c r="E56" i="11"/>
  <c r="M64" i="11"/>
  <c r="M66" i="11" s="1"/>
  <c r="L74" i="11" s="1"/>
  <c r="N64" i="11"/>
  <c r="N66" i="11" s="1"/>
  <c r="M74" i="11" s="1"/>
  <c r="O64" i="11"/>
  <c r="Q40" i="9"/>
  <c r="J52" i="9" s="1"/>
  <c r="Q39" i="9"/>
  <c r="J53" i="9" s="1"/>
  <c r="Q42" i="9"/>
  <c r="E67" i="9"/>
  <c r="E68" i="9" s="1"/>
  <c r="E69" i="9" s="1"/>
  <c r="F67" i="9"/>
  <c r="P67" i="9"/>
  <c r="O67" i="9"/>
  <c r="G41" i="11"/>
  <c r="H41" i="11"/>
  <c r="I41" i="11"/>
  <c r="P64" i="11"/>
  <c r="P66" i="11" s="1"/>
  <c r="O74" i="11" s="1"/>
  <c r="J41" i="11"/>
  <c r="K41" i="11"/>
  <c r="F64" i="11"/>
  <c r="F66" i="11" s="1"/>
  <c r="E74" i="11" s="1"/>
  <c r="L41" i="11"/>
  <c r="M41" i="11"/>
  <c r="N41" i="11"/>
  <c r="P41" i="11"/>
  <c r="J67" i="9"/>
  <c r="K67" i="9"/>
  <c r="E107" i="8"/>
  <c r="J46" i="1"/>
  <c r="D50" i="1"/>
  <c r="E50" i="1" s="1"/>
  <c r="D49" i="1"/>
  <c r="F49" i="1" s="1"/>
  <c r="D48" i="1"/>
  <c r="F48" i="1" s="1"/>
  <c r="D43" i="1"/>
  <c r="F43" i="1" s="1"/>
  <c r="D44" i="1"/>
  <c r="F44" i="1" s="1"/>
  <c r="D45" i="1"/>
  <c r="F45" i="1" s="1"/>
  <c r="D46" i="1"/>
  <c r="F46" i="1" s="1"/>
  <c r="D47" i="1"/>
  <c r="F47" i="1" s="1"/>
  <c r="D42" i="1"/>
  <c r="F42" i="1" s="1"/>
  <c r="E29" i="8" l="1"/>
  <c r="H48" i="8"/>
  <c r="O55" i="11"/>
  <c r="O56" i="11" s="1"/>
  <c r="Q53" i="11"/>
  <c r="F49" i="11"/>
  <c r="Q41" i="11"/>
  <c r="O66" i="11"/>
  <c r="N74" i="11" s="1"/>
  <c r="Q29" i="10"/>
  <c r="J41" i="10" s="1"/>
  <c r="F68" i="9"/>
  <c r="F69" i="9" s="1"/>
  <c r="F70" i="9" s="1"/>
  <c r="Q65" i="9"/>
  <c r="F44" i="10" a="1"/>
  <c r="Q64" i="11"/>
  <c r="F67" i="11"/>
  <c r="E67" i="11"/>
  <c r="E68" i="11" s="1"/>
  <c r="G67" i="11"/>
  <c r="E70" i="9"/>
  <c r="E42" i="1"/>
  <c r="F50" i="1"/>
  <c r="E48" i="1"/>
  <c r="E43" i="1"/>
  <c r="E47" i="1"/>
  <c r="E46" i="1"/>
  <c r="E45" i="1"/>
  <c r="E44" i="1"/>
  <c r="E49" i="1"/>
  <c r="J55" i="11" l="1"/>
  <c r="H54" i="11"/>
  <c r="Q54" i="11"/>
  <c r="J56" i="11"/>
  <c r="G68" i="11"/>
  <c r="F55" i="9" a="1"/>
  <c r="F56" i="9" s="1"/>
  <c r="F68" i="11"/>
  <c r="F45" i="10"/>
  <c r="F44" i="10"/>
  <c r="D39" i="2"/>
  <c r="K24" i="8"/>
  <c r="E108" i="8" s="1"/>
  <c r="D31" i="7"/>
  <c r="H65" i="11" l="1"/>
  <c r="H55" i="11"/>
  <c r="J66" i="11"/>
  <c r="I74" i="11" s="1"/>
  <c r="F55" i="9"/>
  <c r="G66" i="9" s="1"/>
  <c r="F56" i="10"/>
  <c r="E56" i="10"/>
  <c r="F48" i="10"/>
  <c r="I54" i="10"/>
  <c r="E69" i="11"/>
  <c r="G69" i="11"/>
  <c r="F69" i="11"/>
  <c r="F47" i="10"/>
  <c r="G54" i="10"/>
  <c r="F59" i="9"/>
  <c r="I66" i="9"/>
  <c r="I67" i="9" s="1"/>
  <c r="K25" i="8"/>
  <c r="I33" i="7"/>
  <c r="I29" i="7"/>
  <c r="I31" i="7" s="1"/>
  <c r="D30" i="2"/>
  <c r="D32" i="1"/>
  <c r="E32" i="1"/>
  <c r="F32" i="1" s="1"/>
  <c r="D33" i="1"/>
  <c r="E33" i="1"/>
  <c r="F33" i="1" s="1"/>
  <c r="D34" i="1"/>
  <c r="E34" i="1"/>
  <c r="F34" i="1" s="1"/>
  <c r="D36" i="1"/>
  <c r="E36" i="1"/>
  <c r="D37" i="1"/>
  <c r="E37" i="1"/>
  <c r="G9" i="1"/>
  <c r="J21" i="1" s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1" i="1"/>
  <c r="D15" i="1"/>
  <c r="E31" i="1"/>
  <c r="F31" i="1" s="1"/>
  <c r="E16" i="1"/>
  <c r="G16" i="1" s="1"/>
  <c r="E17" i="1"/>
  <c r="F17" i="1" s="1"/>
  <c r="F18" i="1"/>
  <c r="E19" i="1"/>
  <c r="F19" i="1" s="1"/>
  <c r="E20" i="1"/>
  <c r="F20" i="1" s="1"/>
  <c r="E21" i="1"/>
  <c r="G21" i="1" s="1"/>
  <c r="E22" i="1"/>
  <c r="G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G29" i="1" s="1"/>
  <c r="E15" i="1"/>
  <c r="F15" i="1" s="1"/>
  <c r="G7" i="1"/>
  <c r="I32" i="7" l="1"/>
  <c r="E106" i="8"/>
  <c r="H66" i="11"/>
  <c r="Q65" i="11"/>
  <c r="H56" i="11"/>
  <c r="Q56" i="11" s="1"/>
  <c r="Q55" i="11"/>
  <c r="L67" i="11"/>
  <c r="M67" i="11"/>
  <c r="J67" i="11"/>
  <c r="P67" i="11"/>
  <c r="Q66" i="11"/>
  <c r="K67" i="11"/>
  <c r="N67" i="11"/>
  <c r="O67" i="11"/>
  <c r="P55" i="10"/>
  <c r="O55" i="10"/>
  <c r="N55" i="10"/>
  <c r="M55" i="10"/>
  <c r="L55" i="10"/>
  <c r="K55" i="10"/>
  <c r="J55" i="10"/>
  <c r="I55" i="10"/>
  <c r="H55" i="10"/>
  <c r="G55" i="10"/>
  <c r="F58" i="9"/>
  <c r="I30" i="2"/>
  <c r="C30" i="1"/>
  <c r="C35" i="1"/>
  <c r="F57" i="10"/>
  <c r="E57" i="10"/>
  <c r="Q54" i="10"/>
  <c r="Q66" i="9"/>
  <c r="G67" i="9"/>
  <c r="G17" i="1"/>
  <c r="G23" i="1"/>
  <c r="G27" i="1"/>
  <c r="G19" i="1"/>
  <c r="G15" i="1"/>
  <c r="G25" i="1"/>
  <c r="G24" i="1"/>
  <c r="G28" i="1"/>
  <c r="F22" i="1"/>
  <c r="G26" i="1"/>
  <c r="F21" i="1"/>
  <c r="F29" i="1"/>
  <c r="G20" i="1"/>
  <c r="G18" i="1"/>
  <c r="F16" i="1"/>
  <c r="D51" i="7" l="1"/>
  <c r="D71" i="7"/>
  <c r="D91" i="7"/>
  <c r="D52" i="7"/>
  <c r="D72" i="7"/>
  <c r="D92" i="7"/>
  <c r="D60" i="7"/>
  <c r="D61" i="7"/>
  <c r="D102" i="7"/>
  <c r="D63" i="7"/>
  <c r="D64" i="7"/>
  <c r="D85" i="7"/>
  <c r="D46" i="7"/>
  <c r="D47" i="7"/>
  <c r="E47" i="7" s="1"/>
  <c r="D49" i="7"/>
  <c r="D70" i="7"/>
  <c r="D45" i="7"/>
  <c r="D88" i="7"/>
  <c r="D90" i="7"/>
  <c r="D53" i="7"/>
  <c r="D73" i="7"/>
  <c r="D93" i="7"/>
  <c r="D54" i="7"/>
  <c r="D74" i="7"/>
  <c r="D94" i="7"/>
  <c r="D56" i="7"/>
  <c r="D76" i="7"/>
  <c r="D96" i="7"/>
  <c r="D78" i="7"/>
  <c r="D79" i="7"/>
  <c r="D80" i="7"/>
  <c r="D101" i="7"/>
  <c r="D62" i="7"/>
  <c r="D83" i="7"/>
  <c r="D84" i="7"/>
  <c r="D66" i="7"/>
  <c r="D87" i="7"/>
  <c r="D48" i="7"/>
  <c r="D50" i="7"/>
  <c r="D55" i="7"/>
  <c r="D75" i="7"/>
  <c r="D95" i="7"/>
  <c r="D57" i="7"/>
  <c r="D77" i="7"/>
  <c r="D97" i="7"/>
  <c r="D58" i="7"/>
  <c r="D98" i="7"/>
  <c r="D59" i="7"/>
  <c r="D99" i="7"/>
  <c r="D100" i="7"/>
  <c r="D81" i="7"/>
  <c r="D82" i="7"/>
  <c r="D65" i="7"/>
  <c r="D86" i="7"/>
  <c r="D67" i="7"/>
  <c r="D68" i="7"/>
  <c r="D69" i="7"/>
  <c r="D89" i="7"/>
  <c r="G74" i="11"/>
  <c r="P74" i="11" s="1"/>
  <c r="H67" i="11"/>
  <c r="I67" i="11"/>
  <c r="J68" i="11" s="1"/>
  <c r="K68" i="11"/>
  <c r="P68" i="11"/>
  <c r="M68" i="11"/>
  <c r="L68" i="11"/>
  <c r="N68" i="11"/>
  <c r="O68" i="11"/>
  <c r="G81" i="2"/>
  <c r="G80" i="2"/>
  <c r="AC79" i="2" s="1"/>
  <c r="D32" i="7"/>
  <c r="I34" i="2"/>
  <c r="I35" i="2" s="1"/>
  <c r="G57" i="2"/>
  <c r="AC56" i="2" s="1"/>
  <c r="D35" i="1"/>
  <c r="E35" i="1"/>
  <c r="F35" i="1" s="1"/>
  <c r="J32" i="1" s="1"/>
  <c r="K32" i="1" s="1"/>
  <c r="E30" i="1"/>
  <c r="D30" i="1"/>
  <c r="G56" i="10"/>
  <c r="H68" i="9"/>
  <c r="P68" i="9"/>
  <c r="I68" i="9"/>
  <c r="O68" i="9"/>
  <c r="N68" i="9"/>
  <c r="Q67" i="9"/>
  <c r="M68" i="9"/>
  <c r="L68" i="9"/>
  <c r="G68" i="9"/>
  <c r="K68" i="9"/>
  <c r="J68" i="9"/>
  <c r="E76" i="7"/>
  <c r="H81" i="2" l="1"/>
  <c r="D151" i="14" s="1"/>
  <c r="AC80" i="2"/>
  <c r="E64" i="7"/>
  <c r="E65" i="7"/>
  <c r="E54" i="7"/>
  <c r="E46" i="7"/>
  <c r="E68" i="7"/>
  <c r="E48" i="7"/>
  <c r="E52" i="7"/>
  <c r="E53" i="7"/>
  <c r="E79" i="7"/>
  <c r="E100" i="7"/>
  <c r="E91" i="7"/>
  <c r="E95" i="7"/>
  <c r="E84" i="7"/>
  <c r="E96" i="7"/>
  <c r="E71" i="7"/>
  <c r="E87" i="7"/>
  <c r="E72" i="7"/>
  <c r="E92" i="7"/>
  <c r="E86" i="7"/>
  <c r="E81" i="7"/>
  <c r="E73" i="7"/>
  <c r="E94" i="7"/>
  <c r="E88" i="7"/>
  <c r="E82" i="7"/>
  <c r="E90" i="7"/>
  <c r="E85" i="7"/>
  <c r="E93" i="7"/>
  <c r="E99" i="7"/>
  <c r="E62" i="7"/>
  <c r="E97" i="7"/>
  <c r="E89" i="7"/>
  <c r="E83" i="7"/>
  <c r="E101" i="7"/>
  <c r="E102" i="7"/>
  <c r="E98" i="7"/>
  <c r="H80" i="2"/>
  <c r="D150" i="14" s="1"/>
  <c r="E67" i="7"/>
  <c r="E66" i="7"/>
  <c r="E74" i="7"/>
  <c r="E75" i="7"/>
  <c r="E56" i="7"/>
  <c r="E55" i="7"/>
  <c r="E49" i="7"/>
  <c r="E59" i="7"/>
  <c r="E63" i="7"/>
  <c r="E57" i="7"/>
  <c r="J33" i="1"/>
  <c r="E50" i="7"/>
  <c r="E51" i="7"/>
  <c r="E58" i="7"/>
  <c r="E45" i="7"/>
  <c r="G54" i="2"/>
  <c r="AC53" i="2" s="1"/>
  <c r="E77" i="7"/>
  <c r="G59" i="2"/>
  <c r="AC58" i="2" s="1"/>
  <c r="G64" i="2"/>
  <c r="AC63" i="2" s="1"/>
  <c r="G52" i="2"/>
  <c r="AC51" i="2" s="1"/>
  <c r="E78" i="7"/>
  <c r="I68" i="11"/>
  <c r="H68" i="11"/>
  <c r="P69" i="11" s="1"/>
  <c r="E61" i="7"/>
  <c r="G77" i="2"/>
  <c r="AC76" i="2" s="1"/>
  <c r="G58" i="2"/>
  <c r="AC57" i="2" s="1"/>
  <c r="G75" i="2"/>
  <c r="AC74" i="2" s="1"/>
  <c r="G50" i="2"/>
  <c r="AC49" i="2" s="1"/>
  <c r="G79" i="2"/>
  <c r="E60" i="7"/>
  <c r="E69" i="7"/>
  <c r="E80" i="7"/>
  <c r="E70" i="7"/>
  <c r="G72" i="2"/>
  <c r="AC71" i="2" s="1"/>
  <c r="G68" i="2"/>
  <c r="AC67" i="2" s="1"/>
  <c r="G55" i="2"/>
  <c r="AC54" i="2" s="1"/>
  <c r="G47" i="2"/>
  <c r="AC46" i="2" s="1"/>
  <c r="G65" i="2"/>
  <c r="AC64" i="2" s="1"/>
  <c r="G61" i="2"/>
  <c r="AC60" i="2" s="1"/>
  <c r="G71" i="2"/>
  <c r="AC70" i="2" s="1"/>
  <c r="G73" i="2"/>
  <c r="AC72" i="2" s="1"/>
  <c r="G48" i="2"/>
  <c r="AC47" i="2" s="1"/>
  <c r="G56" i="2"/>
  <c r="AC55" i="2" s="1"/>
  <c r="G76" i="2"/>
  <c r="AC75" i="2" s="1"/>
  <c r="G78" i="2"/>
  <c r="AC77" i="2" s="1"/>
  <c r="G69" i="2"/>
  <c r="AC68" i="2" s="1"/>
  <c r="G49" i="2"/>
  <c r="AC48" i="2" s="1"/>
  <c r="G62" i="2"/>
  <c r="AC61" i="2" s="1"/>
  <c r="G67" i="2"/>
  <c r="AC66" i="2" s="1"/>
  <c r="G70" i="2"/>
  <c r="AC69" i="2" s="1"/>
  <c r="G53" i="2"/>
  <c r="AC52" i="2" s="1"/>
  <c r="G51" i="2"/>
  <c r="AC50" i="2" s="1"/>
  <c r="G66" i="2"/>
  <c r="AC65" i="2" s="1"/>
  <c r="G74" i="2"/>
  <c r="AC73" i="2" s="1"/>
  <c r="G63" i="2"/>
  <c r="AC62" i="2" s="1"/>
  <c r="G60" i="2"/>
  <c r="AC59" i="2" s="1"/>
  <c r="G30" i="1"/>
  <c r="J34" i="1" s="1"/>
  <c r="K34" i="1" s="1"/>
  <c r="F30" i="1"/>
  <c r="M69" i="9"/>
  <c r="K69" i="9"/>
  <c r="N69" i="9"/>
  <c r="P69" i="9"/>
  <c r="I69" i="9"/>
  <c r="L69" i="9"/>
  <c r="N56" i="10"/>
  <c r="L56" i="10"/>
  <c r="O56" i="10"/>
  <c r="P56" i="10"/>
  <c r="J56" i="10"/>
  <c r="K56" i="10"/>
  <c r="H56" i="10"/>
  <c r="M56" i="10"/>
  <c r="I56" i="10"/>
  <c r="H69" i="9"/>
  <c r="O69" i="9"/>
  <c r="J69" i="9"/>
  <c r="P30" i="8"/>
  <c r="P29" i="8" s="1"/>
  <c r="H79" i="2" l="1"/>
  <c r="D149" i="14" s="1"/>
  <c r="AC78" i="2"/>
  <c r="F47" i="7"/>
  <c r="F54" i="7"/>
  <c r="F86" i="7"/>
  <c r="F96" i="7"/>
  <c r="J88" i="8"/>
  <c r="F70" i="7"/>
  <c r="F75" i="7"/>
  <c r="F98" i="7"/>
  <c r="F97" i="7"/>
  <c r="F68" i="7"/>
  <c r="F80" i="7"/>
  <c r="F61" i="7"/>
  <c r="F45" i="7"/>
  <c r="F63" i="7"/>
  <c r="F85" i="7"/>
  <c r="F106" i="7"/>
  <c r="L31" i="7" s="1"/>
  <c r="F44" i="7"/>
  <c r="D116" i="7" s="1"/>
  <c r="F58" i="7"/>
  <c r="F102" i="7"/>
  <c r="F62" i="7"/>
  <c r="F94" i="7"/>
  <c r="F92" i="7"/>
  <c r="F84" i="7"/>
  <c r="F59" i="7"/>
  <c r="F74" i="7"/>
  <c r="F101" i="7"/>
  <c r="F99" i="7"/>
  <c r="F73" i="7"/>
  <c r="F95" i="7"/>
  <c r="F71" i="7"/>
  <c r="F66" i="7"/>
  <c r="F83" i="7"/>
  <c r="F90" i="7"/>
  <c r="F50" i="7"/>
  <c r="F49" i="7"/>
  <c r="F46" i="7"/>
  <c r="F93" i="7"/>
  <c r="F81" i="7"/>
  <c r="F57" i="7"/>
  <c r="F89" i="7"/>
  <c r="F76" i="7"/>
  <c r="F65" i="7"/>
  <c r="F69" i="7"/>
  <c r="F60" i="7"/>
  <c r="F78" i="7"/>
  <c r="F51" i="7"/>
  <c r="F72" i="7"/>
  <c r="F55" i="7"/>
  <c r="F67" i="7"/>
  <c r="F82" i="7"/>
  <c r="F53" i="7"/>
  <c r="J79" i="8"/>
  <c r="F87" i="7"/>
  <c r="J83" i="8"/>
  <c r="F91" i="7"/>
  <c r="F56" i="7"/>
  <c r="F48" i="7"/>
  <c r="F52" i="7"/>
  <c r="F100" i="7"/>
  <c r="J92" i="8"/>
  <c r="F77" i="7"/>
  <c r="F64" i="7"/>
  <c r="F88" i="7"/>
  <c r="F79" i="7"/>
  <c r="H77" i="2"/>
  <c r="D147" i="14" s="1"/>
  <c r="H51" i="2"/>
  <c r="D121" i="14" s="1"/>
  <c r="H54" i="2"/>
  <c r="D124" i="14" s="1"/>
  <c r="H48" i="2"/>
  <c r="D118" i="14" s="1"/>
  <c r="H66" i="2"/>
  <c r="D136" i="14" s="1"/>
  <c r="H56" i="2"/>
  <c r="D126" i="14" s="1"/>
  <c r="H72" i="2"/>
  <c r="D142" i="14" s="1"/>
  <c r="H58" i="2"/>
  <c r="D128" i="14" s="1"/>
  <c r="H53" i="2"/>
  <c r="D123" i="14" s="1"/>
  <c r="H65" i="2"/>
  <c r="D135" i="14" s="1"/>
  <c r="H67" i="2"/>
  <c r="D137" i="14" s="1"/>
  <c r="H49" i="2"/>
  <c r="D119" i="14" s="1"/>
  <c r="H47" i="2"/>
  <c r="D117" i="14" s="1"/>
  <c r="H52" i="2"/>
  <c r="D122" i="14" s="1"/>
  <c r="H73" i="2"/>
  <c r="D143" i="14" s="1"/>
  <c r="H61" i="2"/>
  <c r="D131" i="14" s="1"/>
  <c r="H64" i="2"/>
  <c r="D134" i="14" s="1"/>
  <c r="H70" i="2"/>
  <c r="D140" i="14" s="1"/>
  <c r="H62" i="2"/>
  <c r="D132" i="14" s="1"/>
  <c r="H69" i="2"/>
  <c r="D139" i="14" s="1"/>
  <c r="H63" i="2"/>
  <c r="D133" i="14" s="1"/>
  <c r="H78" i="2"/>
  <c r="D148" i="14" s="1"/>
  <c r="H68" i="2"/>
  <c r="D138" i="14" s="1"/>
  <c r="H50" i="2"/>
  <c r="D120" i="14" s="1"/>
  <c r="H59" i="2"/>
  <c r="D129" i="14" s="1"/>
  <c r="H71" i="2"/>
  <c r="D141" i="14" s="1"/>
  <c r="H60" i="2"/>
  <c r="D130" i="14" s="1"/>
  <c r="H55" i="2"/>
  <c r="D125" i="14" s="1"/>
  <c r="H74" i="2"/>
  <c r="D144" i="14" s="1"/>
  <c r="H76" i="2"/>
  <c r="D146" i="14" s="1"/>
  <c r="H46" i="2"/>
  <c r="D116" i="14" s="1"/>
  <c r="G107" i="2"/>
  <c r="H75" i="2"/>
  <c r="D145" i="14" s="1"/>
  <c r="H57" i="2"/>
  <c r="D127" i="14" s="1"/>
  <c r="J35" i="1"/>
  <c r="O69" i="11"/>
  <c r="M69" i="11"/>
  <c r="H69" i="11"/>
  <c r="I69" i="11"/>
  <c r="J69" i="11"/>
  <c r="L69" i="11"/>
  <c r="N69" i="11"/>
  <c r="K69" i="11"/>
  <c r="P57" i="10"/>
  <c r="O57" i="10"/>
  <c r="N57" i="10"/>
  <c r="L57" i="10"/>
  <c r="K57" i="10"/>
  <c r="J57" i="10"/>
  <c r="I57" i="10"/>
  <c r="H57" i="10"/>
  <c r="G57" i="10"/>
  <c r="M57" i="10"/>
  <c r="G70" i="9"/>
  <c r="H70" i="9"/>
  <c r="P70" i="9"/>
  <c r="I70" i="9"/>
  <c r="N70" i="9"/>
  <c r="K70" i="9"/>
  <c r="M70" i="9"/>
  <c r="J70" i="9"/>
  <c r="O70" i="9"/>
  <c r="L70" i="9"/>
  <c r="J77" i="8" l="1"/>
  <c r="J81" i="8"/>
  <c r="J91" i="8"/>
  <c r="G80" i="7"/>
  <c r="J90" i="8"/>
  <c r="J84" i="8"/>
  <c r="J86" i="8"/>
  <c r="J75" i="8"/>
  <c r="J80" i="8"/>
  <c r="J85" i="8"/>
  <c r="J76" i="8"/>
  <c r="J89" i="8"/>
  <c r="J93" i="8"/>
  <c r="J74" i="8"/>
  <c r="J82" i="8"/>
  <c r="J94" i="8"/>
  <c r="J78" i="8"/>
  <c r="J95" i="8"/>
  <c r="J96" i="8"/>
  <c r="J87" i="8"/>
  <c r="J73" i="8"/>
  <c r="G96" i="7"/>
  <c r="G97" i="7"/>
  <c r="G91" i="7"/>
  <c r="G85" i="7"/>
  <c r="G84" i="7"/>
  <c r="G95" i="7"/>
  <c r="G94" i="7"/>
  <c r="G99" i="7"/>
  <c r="G81" i="7"/>
  <c r="G89" i="7"/>
  <c r="G98" i="7"/>
  <c r="G93" i="7"/>
  <c r="G88" i="7"/>
  <c r="G100" i="7"/>
  <c r="G87" i="7"/>
  <c r="G92" i="7"/>
  <c r="G82" i="7"/>
  <c r="G101" i="7"/>
  <c r="G102" i="7"/>
  <c r="H102" i="7" s="1"/>
  <c r="G86" i="7"/>
  <c r="G83" i="7"/>
  <c r="G90" i="7"/>
  <c r="J67" i="8"/>
  <c r="J61" i="8"/>
  <c r="G53" i="7"/>
  <c r="J46" i="8"/>
  <c r="J53" i="8"/>
  <c r="J42" i="8"/>
  <c r="J65" i="8"/>
  <c r="J48" i="8"/>
  <c r="J55" i="8"/>
  <c r="J64" i="8"/>
  <c r="J66" i="8"/>
  <c r="J41" i="8"/>
  <c r="J69" i="8"/>
  <c r="J39" i="8"/>
  <c r="J63" i="8"/>
  <c r="J71" i="8"/>
  <c r="J49" i="8"/>
  <c r="J58" i="8"/>
  <c r="J44" i="8"/>
  <c r="J68" i="8"/>
  <c r="J52" i="8"/>
  <c r="J62" i="8"/>
  <c r="J50" i="8"/>
  <c r="J56" i="8"/>
  <c r="J59" i="8"/>
  <c r="G63" i="7"/>
  <c r="J60" i="8"/>
  <c r="J72" i="8"/>
  <c r="J38" i="8"/>
  <c r="J45" i="8"/>
  <c r="J51" i="8"/>
  <c r="J57" i="8"/>
  <c r="J54" i="8"/>
  <c r="J47" i="8"/>
  <c r="J43" i="8"/>
  <c r="J40" i="8"/>
  <c r="J70" i="8"/>
  <c r="G74" i="7"/>
  <c r="G62" i="7"/>
  <c r="G52" i="7"/>
  <c r="G65" i="7"/>
  <c r="G48" i="7"/>
  <c r="G75" i="7"/>
  <c r="G67" i="7"/>
  <c r="G44" i="7"/>
  <c r="G59" i="7"/>
  <c r="G66" i="7"/>
  <c r="G51" i="7"/>
  <c r="G45" i="7"/>
  <c r="G71" i="7"/>
  <c r="G57" i="7"/>
  <c r="G76" i="7"/>
  <c r="G60" i="7"/>
  <c r="G46" i="7"/>
  <c r="G78" i="7"/>
  <c r="G73" i="7"/>
  <c r="G56" i="7"/>
  <c r="G64" i="7"/>
  <c r="G79" i="7"/>
  <c r="G69" i="7"/>
  <c r="L32" i="7"/>
  <c r="G72" i="7"/>
  <c r="G77" i="7"/>
  <c r="G70" i="7"/>
  <c r="G61" i="7"/>
  <c r="G55" i="7"/>
  <c r="G49" i="7"/>
  <c r="G47" i="7"/>
  <c r="G58" i="7"/>
  <c r="G68" i="7"/>
  <c r="G54" i="7"/>
  <c r="G50" i="7"/>
  <c r="H92" i="7" l="1"/>
  <c r="H55" i="7"/>
  <c r="H73" i="7"/>
  <c r="H78" i="7"/>
  <c r="H84" i="7"/>
  <c r="H67" i="7"/>
  <c r="H87" i="7"/>
  <c r="H80" i="7"/>
  <c r="H91" i="7"/>
  <c r="H59" i="7"/>
  <c r="H63" i="7"/>
  <c r="H95" i="7"/>
  <c r="H56" i="7"/>
  <c r="H44" i="7"/>
  <c r="E116" i="7" s="1"/>
  <c r="H83" i="7"/>
  <c r="H98" i="7"/>
  <c r="H77" i="7"/>
  <c r="H60" i="7"/>
  <c r="H75" i="7"/>
  <c r="H53" i="7"/>
  <c r="H86" i="7"/>
  <c r="H89" i="7"/>
  <c r="H85" i="7"/>
  <c r="H50" i="7"/>
  <c r="H72" i="7"/>
  <c r="H76" i="7"/>
  <c r="H48" i="7"/>
  <c r="H100" i="7"/>
  <c r="H49" i="7"/>
  <c r="H66" i="7"/>
  <c r="H61" i="7"/>
  <c r="H70" i="7"/>
  <c r="H46" i="7"/>
  <c r="H54" i="7"/>
  <c r="H57" i="7"/>
  <c r="H65" i="7"/>
  <c r="H101" i="7"/>
  <c r="H88" i="7"/>
  <c r="H45" i="7"/>
  <c r="H99" i="7"/>
  <c r="H97" i="7"/>
  <c r="H81" i="7"/>
  <c r="H68" i="7"/>
  <c r="H69" i="7"/>
  <c r="H71" i="7"/>
  <c r="H52" i="7"/>
  <c r="H58" i="7"/>
  <c r="H79" i="7"/>
  <c r="H62" i="7"/>
  <c r="H47" i="7"/>
  <c r="H64" i="7"/>
  <c r="H51" i="7"/>
  <c r="H74" i="7"/>
  <c r="H82" i="7"/>
  <c r="H90" i="7"/>
  <c r="H93" i="7"/>
  <c r="H94" i="7"/>
  <c r="H96" i="7"/>
  <c r="I106" i="8"/>
  <c r="I77" i="2"/>
  <c r="I57" i="2"/>
  <c r="I59" i="2"/>
  <c r="I62" i="2"/>
  <c r="I76" i="2" l="1"/>
  <c r="I78" i="2"/>
  <c r="I50" i="2"/>
  <c r="I69" i="2"/>
  <c r="I73" i="2"/>
  <c r="I46" i="2"/>
  <c r="I64" i="2"/>
  <c r="I49" i="2"/>
  <c r="I81" i="2"/>
  <c r="I75" i="2"/>
  <c r="I53" i="2"/>
  <c r="I52" i="2"/>
  <c r="I79" i="2"/>
  <c r="I56" i="2"/>
  <c r="I82" i="2"/>
  <c r="J82" i="2" s="1"/>
  <c r="E152" i="14" s="1"/>
  <c r="I67" i="2"/>
  <c r="I72" i="2"/>
  <c r="I63" i="2"/>
  <c r="I48" i="2"/>
  <c r="I70" i="2"/>
  <c r="I58" i="2"/>
  <c r="I65" i="2"/>
  <c r="I61" i="2"/>
  <c r="I47" i="2"/>
  <c r="I54" i="2"/>
  <c r="I71" i="2"/>
  <c r="I74" i="2"/>
  <c r="I51" i="2"/>
  <c r="I80" i="2"/>
  <c r="I68" i="2"/>
  <c r="I66" i="2"/>
  <c r="I55" i="2"/>
  <c r="I60" i="2"/>
  <c r="J81" i="2" l="1"/>
  <c r="E151" i="14" s="1"/>
  <c r="J74" i="2"/>
  <c r="E144" i="14" s="1"/>
  <c r="J79" i="2"/>
  <c r="J62" i="2"/>
  <c r="J69" i="2"/>
  <c r="J46" i="2"/>
  <c r="J60" i="2"/>
  <c r="J71" i="2"/>
  <c r="J70" i="2"/>
  <c r="J47" i="2"/>
  <c r="J48" i="2"/>
  <c r="J55" i="2"/>
  <c r="J50" i="2"/>
  <c r="J78" i="2"/>
  <c r="J53" i="2"/>
  <c r="J66" i="2"/>
  <c r="J72" i="2"/>
  <c r="J65" i="2"/>
  <c r="J80" i="2"/>
  <c r="J58" i="2"/>
  <c r="J49" i="2"/>
  <c r="J77" i="2"/>
  <c r="J73" i="2"/>
  <c r="J54" i="2"/>
  <c r="J52" i="2"/>
  <c r="J63" i="2"/>
  <c r="J76" i="2"/>
  <c r="J61" i="2"/>
  <c r="J75" i="2"/>
  <c r="J68" i="2"/>
  <c r="J67" i="2"/>
  <c r="J59" i="2"/>
  <c r="J51" i="2"/>
  <c r="J56" i="2"/>
  <c r="J64" i="2"/>
  <c r="J57" i="2"/>
  <c r="E148" i="14" l="1"/>
  <c r="E135" i="14"/>
  <c r="E142" i="14"/>
  <c r="E123" i="14"/>
  <c r="E126" i="14"/>
  <c r="E125" i="14"/>
  <c r="E138" i="14"/>
  <c r="E145" i="14"/>
  <c r="E116" i="14"/>
  <c r="E122" i="14"/>
  <c r="E139" i="14"/>
  <c r="E143" i="14"/>
  <c r="E149" i="14"/>
  <c r="E128" i="14"/>
  <c r="E127" i="14"/>
  <c r="E134" i="14"/>
  <c r="E121" i="14"/>
  <c r="E118" i="14"/>
  <c r="E117" i="14"/>
  <c r="E141" i="14"/>
  <c r="E130" i="14"/>
  <c r="E124" i="14"/>
  <c r="E147" i="14"/>
  <c r="E150" i="14"/>
  <c r="E136" i="14"/>
  <c r="E120" i="14"/>
  <c r="E129" i="14"/>
  <c r="E137" i="14"/>
  <c r="E140" i="14"/>
  <c r="E131" i="14"/>
  <c r="E146" i="14"/>
  <c r="E133" i="14"/>
  <c r="E132" i="14"/>
  <c r="E119" i="14"/>
  <c r="I84" i="8" l="1"/>
  <c r="I86" i="8"/>
  <c r="I77" i="8"/>
  <c r="I64" i="8"/>
  <c r="I67" i="8"/>
  <c r="I72" i="8"/>
  <c r="I54" i="8"/>
  <c r="I76" i="8"/>
  <c r="I44" i="8"/>
  <c r="I79" i="8"/>
  <c r="I61" i="8"/>
  <c r="I90" i="8"/>
  <c r="I43" i="8"/>
  <c r="I83" i="8"/>
  <c r="I70" i="8"/>
  <c r="I69" i="8"/>
  <c r="I95" i="8"/>
  <c r="I96" i="8"/>
  <c r="I65" i="8"/>
  <c r="I51" i="8"/>
  <c r="I82" i="8"/>
  <c r="I52" i="8"/>
  <c r="I62" i="8"/>
  <c r="I60" i="8"/>
  <c r="I75" i="8"/>
  <c r="I49" i="8"/>
  <c r="I46" i="8"/>
  <c r="I45" i="8"/>
  <c r="I50" i="8"/>
  <c r="I78" i="8"/>
  <c r="I92" i="8"/>
  <c r="I58" i="8"/>
  <c r="I94" i="8"/>
  <c r="G38" i="8"/>
  <c r="G45" i="8"/>
  <c r="K72" i="8"/>
  <c r="G47" i="8"/>
  <c r="G40" i="8"/>
  <c r="G44" i="8"/>
  <c r="G46" i="8"/>
  <c r="K65" i="8"/>
  <c r="K41" i="8"/>
  <c r="K42" i="8"/>
  <c r="G53" i="8"/>
  <c r="G54" i="8"/>
  <c r="L53" i="8" s="1"/>
  <c r="K38" i="8"/>
  <c r="K58" i="8"/>
  <c r="G49" i="8"/>
  <c r="K50" i="8"/>
  <c r="G42" i="8"/>
  <c r="G41" i="8"/>
  <c r="K62" i="8"/>
  <c r="G50" i="8"/>
  <c r="G43" i="8"/>
  <c r="G48" i="8"/>
  <c r="G39" i="8"/>
  <c r="L38" i="8" s="1"/>
  <c r="G51" i="8"/>
  <c r="G52" i="8"/>
  <c r="L51" i="8" s="1"/>
  <c r="K56" i="8"/>
  <c r="K96" i="8"/>
  <c r="K82" i="8"/>
  <c r="G64" i="8"/>
  <c r="G72" i="8"/>
  <c r="G56" i="8"/>
  <c r="G57" i="8"/>
  <c r="L56" i="8" s="1"/>
  <c r="G71" i="8"/>
  <c r="G70" i="8"/>
  <c r="G69" i="8"/>
  <c r="L69" i="8" s="1"/>
  <c r="G68" i="8"/>
  <c r="L67" i="8" s="1"/>
  <c r="G63" i="8"/>
  <c r="G62" i="8"/>
  <c r="G61" i="8"/>
  <c r="G60" i="8"/>
  <c r="G55" i="8"/>
  <c r="G73" i="8"/>
  <c r="G67" i="8"/>
  <c r="G66" i="8"/>
  <c r="G65" i="8"/>
  <c r="L65" i="8" s="1"/>
  <c r="G59" i="8"/>
  <c r="G58" i="8"/>
  <c r="L58" i="8" s="1"/>
  <c r="G74" i="8"/>
  <c r="G80" i="8"/>
  <c r="G81" i="8"/>
  <c r="L80" i="8" s="1"/>
  <c r="G78" i="8"/>
  <c r="L77" i="8" s="1"/>
  <c r="G85" i="8"/>
  <c r="G96" i="8"/>
  <c r="L96" i="8" s="1"/>
  <c r="G86" i="8"/>
  <c r="L85" i="8" s="1"/>
  <c r="K91" i="8"/>
  <c r="G92" i="8"/>
  <c r="G95" i="8"/>
  <c r="G94" i="8"/>
  <c r="G83" i="8"/>
  <c r="K84" i="8"/>
  <c r="G76" i="8"/>
  <c r="G89" i="8"/>
  <c r="G84" i="8"/>
  <c r="G88" i="8"/>
  <c r="G77" i="8"/>
  <c r="L76" i="8" s="1"/>
  <c r="G75" i="8"/>
  <c r="L74" i="8" s="1"/>
  <c r="G90" i="8"/>
  <c r="L89" i="8" s="1"/>
  <c r="K79" i="8"/>
  <c r="K92" i="8"/>
  <c r="G93" i="8"/>
  <c r="G91" i="8"/>
  <c r="G87" i="8"/>
  <c r="G82" i="8"/>
  <c r="G79" i="8"/>
  <c r="K70" i="8" l="1"/>
  <c r="K51" i="8"/>
  <c r="K46" i="8"/>
  <c r="K45" i="8"/>
  <c r="K67" i="8"/>
  <c r="K53" i="8"/>
  <c r="K77" i="8"/>
  <c r="M77" i="8" s="1"/>
  <c r="K57" i="8"/>
  <c r="K64" i="8"/>
  <c r="K85" i="8"/>
  <c r="K40" i="8"/>
  <c r="K61" i="8"/>
  <c r="L70" i="8"/>
  <c r="M96" i="8"/>
  <c r="N96" i="8" s="1"/>
  <c r="Y96" i="8" s="1"/>
  <c r="L47" i="8"/>
  <c r="L52" i="8"/>
  <c r="L49" i="8"/>
  <c r="L87" i="8"/>
  <c r="L66" i="8"/>
  <c r="L78" i="8"/>
  <c r="L91" i="8"/>
  <c r="L44" i="8"/>
  <c r="L42" i="8"/>
  <c r="L83" i="8"/>
  <c r="L59" i="8"/>
  <c r="L72" i="8"/>
  <c r="M72" i="8" s="1"/>
  <c r="L93" i="8"/>
  <c r="L40" i="8"/>
  <c r="L54" i="8"/>
  <c r="K83" i="8"/>
  <c r="M83" i="8" s="1"/>
  <c r="I85" i="8"/>
  <c r="M85" i="8" s="1"/>
  <c r="L94" i="8"/>
  <c r="L62" i="8"/>
  <c r="M62" i="8" s="1"/>
  <c r="K78" i="8"/>
  <c r="I88" i="8"/>
  <c r="L61" i="8"/>
  <c r="M61" i="8" s="1"/>
  <c r="I41" i="8"/>
  <c r="L95" i="8"/>
  <c r="K43" i="8"/>
  <c r="L39" i="8"/>
  <c r="I81" i="8"/>
  <c r="M51" i="8"/>
  <c r="I47" i="8"/>
  <c r="L86" i="8"/>
  <c r="M43" i="8"/>
  <c r="L50" i="8"/>
  <c r="M50" i="8" s="1"/>
  <c r="L48" i="8"/>
  <c r="K54" i="8"/>
  <c r="I63" i="8"/>
  <c r="I53" i="8"/>
  <c r="M53" i="8" s="1"/>
  <c r="K94" i="8"/>
  <c r="L60" i="8"/>
  <c r="K68" i="8"/>
  <c r="I68" i="8"/>
  <c r="L88" i="8"/>
  <c r="K47" i="8"/>
  <c r="L45" i="8"/>
  <c r="M45" i="8" s="1"/>
  <c r="K89" i="8"/>
  <c r="M89" i="8" s="1"/>
  <c r="K52" i="8"/>
  <c r="M52" i="8" s="1"/>
  <c r="I42" i="8"/>
  <c r="K75" i="8"/>
  <c r="L75" i="8"/>
  <c r="L73" i="8"/>
  <c r="L55" i="8"/>
  <c r="K63" i="8"/>
  <c r="K69" i="8"/>
  <c r="L46" i="8"/>
  <c r="M46" i="8" s="1"/>
  <c r="I93" i="8"/>
  <c r="I91" i="8"/>
  <c r="M91" i="8" s="1"/>
  <c r="K93" i="8"/>
  <c r="M93" i="8" s="1"/>
  <c r="K87" i="8"/>
  <c r="K80" i="8"/>
  <c r="I71" i="8"/>
  <c r="I39" i="8"/>
  <c r="L84" i="8"/>
  <c r="M84" i="8" s="1"/>
  <c r="L41" i="8"/>
  <c r="L79" i="8"/>
  <c r="M79" i="8" s="1"/>
  <c r="L90" i="8"/>
  <c r="L71" i="8"/>
  <c r="K44" i="8"/>
  <c r="K60" i="8"/>
  <c r="K66" i="8"/>
  <c r="I89" i="8"/>
  <c r="I57" i="8"/>
  <c r="K71" i="8"/>
  <c r="I87" i="8"/>
  <c r="M69" i="8"/>
  <c r="K81" i="8"/>
  <c r="K73" i="8"/>
  <c r="K90" i="8"/>
  <c r="K39" i="8"/>
  <c r="I48" i="8"/>
  <c r="L43" i="8"/>
  <c r="K59" i="8"/>
  <c r="L92" i="8"/>
  <c r="M92" i="8" s="1"/>
  <c r="K76" i="8"/>
  <c r="M76" i="8" s="1"/>
  <c r="L63" i="8"/>
  <c r="K48" i="8"/>
  <c r="K55" i="8"/>
  <c r="K49" i="8"/>
  <c r="M49" i="8" s="1"/>
  <c r="I74" i="8"/>
  <c r="M65" i="8"/>
  <c r="M70" i="8"/>
  <c r="M67" i="8"/>
  <c r="M58" i="8"/>
  <c r="M60" i="8"/>
  <c r="I40" i="8"/>
  <c r="L82" i="8"/>
  <c r="M82" i="8" s="1"/>
  <c r="I38" i="8"/>
  <c r="K88" i="8"/>
  <c r="I59" i="8"/>
  <c r="I66" i="8"/>
  <c r="M66" i="8" s="1"/>
  <c r="L81" i="8"/>
  <c r="I55" i="8"/>
  <c r="K74" i="8"/>
  <c r="M74" i="8" s="1"/>
  <c r="I56" i="8"/>
  <c r="M56" i="8" s="1"/>
  <c r="L57" i="8"/>
  <c r="L64" i="8"/>
  <c r="L68" i="8"/>
  <c r="I80" i="8"/>
  <c r="I73" i="8"/>
  <c r="K95" i="8"/>
  <c r="K86" i="8"/>
  <c r="M38" i="8" l="1"/>
  <c r="I105" i="8"/>
  <c r="M88" i="8"/>
  <c r="M54" i="8"/>
  <c r="M41" i="8"/>
  <c r="M87" i="8"/>
  <c r="M68" i="8"/>
  <c r="M64" i="8"/>
  <c r="M47" i="8"/>
  <c r="M57" i="8"/>
  <c r="M71" i="8"/>
  <c r="M90" i="8"/>
  <c r="M78" i="8"/>
  <c r="M94" i="8"/>
  <c r="M42" i="8"/>
  <c r="M95" i="8"/>
  <c r="N95" i="8" s="1"/>
  <c r="Y95" i="8" s="1"/>
  <c r="M75" i="8"/>
  <c r="M81" i="8"/>
  <c r="M40" i="8"/>
  <c r="M86" i="8"/>
  <c r="M39" i="8"/>
  <c r="M73" i="8"/>
  <c r="M80" i="8"/>
  <c r="M48" i="8"/>
  <c r="M44" i="8"/>
  <c r="M55" i="8"/>
  <c r="M63" i="8"/>
  <c r="M59" i="8"/>
  <c r="N37" i="8" l="1"/>
  <c r="Y37" i="8" s="1"/>
  <c r="N82" i="8"/>
  <c r="Y82" i="8" s="1"/>
  <c r="N89" i="8"/>
  <c r="Y89" i="8" s="1"/>
  <c r="N88" i="8"/>
  <c r="Y88" i="8" s="1"/>
  <c r="N92" i="8"/>
  <c r="Y92" i="8" s="1"/>
  <c r="N94" i="8"/>
  <c r="Y94" i="8" s="1"/>
  <c r="N69" i="8"/>
  <c r="Y69" i="8" s="1"/>
  <c r="N93" i="8"/>
  <c r="Y93" i="8" s="1"/>
  <c r="N91" i="8"/>
  <c r="Y91" i="8" s="1"/>
  <c r="N81" i="8"/>
  <c r="Y81" i="8" s="1"/>
  <c r="N86" i="8"/>
  <c r="Y86" i="8" s="1"/>
  <c r="N60" i="8"/>
  <c r="Y60" i="8" s="1"/>
  <c r="N74" i="8"/>
  <c r="Y74" i="8" s="1"/>
  <c r="N71" i="8"/>
  <c r="Y71" i="8" s="1"/>
  <c r="N67" i="8"/>
  <c r="Y67" i="8" s="1"/>
  <c r="N87" i="8"/>
  <c r="Y87" i="8" s="1"/>
  <c r="N41" i="8"/>
  <c r="Y41" i="8" s="1"/>
  <c r="N90" i="8"/>
  <c r="Y90" i="8" s="1"/>
  <c r="N59" i="8"/>
  <c r="Y59" i="8" s="1"/>
  <c r="N75" i="8"/>
  <c r="Y75" i="8" s="1"/>
  <c r="N53" i="8"/>
  <c r="Y53" i="8" s="1"/>
  <c r="N38" i="8"/>
  <c r="Y38" i="8" s="1"/>
  <c r="N70" i="8"/>
  <c r="Y70" i="8" s="1"/>
  <c r="N85" i="8"/>
  <c r="Y85" i="8" s="1"/>
  <c r="N79" i="8"/>
  <c r="Y79" i="8" s="1"/>
  <c r="N43" i="8"/>
  <c r="Y43" i="8" s="1"/>
  <c r="N42" i="8"/>
  <c r="Y42" i="8" s="1"/>
  <c r="N54" i="8"/>
  <c r="Y54" i="8" s="1"/>
  <c r="N80" i="8"/>
  <c r="Y80" i="8" s="1"/>
  <c r="N39" i="8"/>
  <c r="Y39" i="8" s="1"/>
  <c r="N51" i="8"/>
  <c r="Y51" i="8" s="1"/>
  <c r="N46" i="8"/>
  <c r="Y46" i="8" s="1"/>
  <c r="N72" i="8"/>
  <c r="Y72" i="8" s="1"/>
  <c r="N83" i="8"/>
  <c r="Y83" i="8" s="1"/>
  <c r="N68" i="8"/>
  <c r="Y68" i="8" s="1"/>
  <c r="N44" i="8"/>
  <c r="Y44" i="8" s="1"/>
  <c r="N66" i="8"/>
  <c r="Y66" i="8" s="1"/>
  <c r="N76" i="8"/>
  <c r="Y76" i="8" s="1"/>
  <c r="N48" i="8"/>
  <c r="Y48" i="8" s="1"/>
  <c r="N65" i="8"/>
  <c r="Y65" i="8" s="1"/>
  <c r="N52" i="8"/>
  <c r="Y52" i="8" s="1"/>
  <c r="N64" i="8"/>
  <c r="Y64" i="8" s="1"/>
  <c r="N84" i="8"/>
  <c r="Y84" i="8" s="1"/>
  <c r="N77" i="8"/>
  <c r="Y77" i="8" s="1"/>
  <c r="N57" i="8"/>
  <c r="Y57" i="8" s="1"/>
  <c r="N78" i="8"/>
  <c r="Y78" i="8" s="1"/>
  <c r="N63" i="8"/>
  <c r="Y63" i="8" s="1"/>
  <c r="N40" i="8"/>
  <c r="Y40" i="8" s="1"/>
  <c r="N47" i="8"/>
  <c r="Y47" i="8" s="1"/>
  <c r="N56" i="8"/>
  <c r="Y56" i="8" s="1"/>
  <c r="N45" i="8"/>
  <c r="Y45" i="8" s="1"/>
  <c r="N50" i="8"/>
  <c r="Y50" i="8" s="1"/>
  <c r="N62" i="8"/>
  <c r="Y62" i="8" s="1"/>
  <c r="N73" i="8"/>
  <c r="Y73" i="8" s="1"/>
  <c r="N55" i="8"/>
  <c r="Y55" i="8" s="1"/>
  <c r="N61" i="8"/>
  <c r="Y61" i="8" s="1"/>
  <c r="N58" i="8"/>
  <c r="Y58" i="8" s="1"/>
  <c r="N49" i="8"/>
  <c r="Y49" i="8" s="1"/>
  <c r="Z45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31" authorId="0" shapeId="0" xr:uid="{00000000-0006-0000-0300-000001000000}">
      <text>
        <r>
          <rPr>
            <b/>
            <sz val="9"/>
            <color rgb="FF000000"/>
            <rFont val="Tahoma"/>
            <family val="2"/>
          </rPr>
          <t>作者:</t>
        </r>
        <r>
          <rPr>
            <sz val="9"/>
            <color rgb="FF000000"/>
            <rFont val="Tahoma"/>
            <family val="2"/>
          </rPr>
          <t xml:space="preserve">
Wing mass is 10% of MTOM
Single wing is half of that, hence 5%.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31" authorId="0" shapeId="0" xr:uid="{DCE73DA7-3F9E-492F-8142-BF51AF32C5D4}">
      <text>
        <r>
          <rPr>
            <b/>
            <sz val="9"/>
            <color rgb="FF000000"/>
            <rFont val="Tahoma"/>
            <family val="2"/>
          </rPr>
          <t>作者:</t>
        </r>
        <r>
          <rPr>
            <sz val="9"/>
            <color rgb="FF000000"/>
            <rFont val="Tahoma"/>
            <family val="2"/>
          </rPr>
          <t xml:space="preserve">
Wing mass is 10% of MTOM
Single wing is half of that, hence 5%.</t>
        </r>
      </text>
    </comment>
  </commentList>
</comments>
</file>

<file path=xl/sharedStrings.xml><?xml version="1.0" encoding="utf-8"?>
<sst xmlns="http://schemas.openxmlformats.org/spreadsheetml/2006/main" count="769" uniqueCount="329">
  <si>
    <t>Introduction</t>
  </si>
  <si>
    <t>Objective:</t>
  </si>
  <si>
    <t>Provide an introduction to the work sheet</t>
  </si>
  <si>
    <t>This worksheet presents an analysis of the of the loading of a Zenith CH650 light sport aircraft.</t>
  </si>
  <si>
    <t>It is broken into 8 sections, each presenting a step in the loading analysis. These can be accessed using the link below.</t>
  </si>
  <si>
    <t>Section</t>
  </si>
  <si>
    <t>Title</t>
  </si>
  <si>
    <t>Wing Layout</t>
  </si>
  <si>
    <t>n-V Diagram</t>
  </si>
  <si>
    <t>Wing Inertia Load</t>
  </si>
  <si>
    <t>Wing Aero Load</t>
  </si>
  <si>
    <t>Wing Torque</t>
  </si>
  <si>
    <t>Fuselage Air Load</t>
  </si>
  <si>
    <t>Fuselage Inertial Load</t>
  </si>
  <si>
    <t>Fuselage Gear Load</t>
  </si>
  <si>
    <t>Define geometric wing properties and understand the wing structure</t>
  </si>
  <si>
    <t>Satep 1</t>
  </si>
  <si>
    <t>Geometric Wing Properties</t>
  </si>
  <si>
    <t>Define geometric wing  properties</t>
  </si>
  <si>
    <t>Property</t>
  </si>
  <si>
    <t>Value</t>
  </si>
  <si>
    <t>Unit</t>
  </si>
  <si>
    <t>Single Wing box span</t>
    <phoneticPr fontId="3" type="noConversion"/>
  </si>
  <si>
    <t>m</t>
  </si>
  <si>
    <t>Single Wing mass</t>
    <phoneticPr fontId="3" type="noConversion"/>
  </si>
  <si>
    <t>kg</t>
  </si>
  <si>
    <t>Fuel tank span</t>
  </si>
  <si>
    <t>Fuel tank capacity</t>
  </si>
  <si>
    <t>L</t>
  </si>
  <si>
    <t>Additional hardpoint</t>
  </si>
  <si>
    <t>Cross Section</t>
  </si>
  <si>
    <t>65-018</t>
  </si>
  <si>
    <t>Step 2</t>
  </si>
  <si>
    <t>Diagram show the aircrafts basic dimensions</t>
  </si>
  <si>
    <t>Step 3</t>
  </si>
  <si>
    <t>Diagrams to show the structural components of the aircraft wing and their assembly</t>
  </si>
  <si>
    <t>V-n  diagram</t>
  </si>
  <si>
    <t>Visualise the operational limits to gain an understanding of the critical aerodynamic and structural load cases</t>
  </si>
  <si>
    <t>Step 1</t>
  </si>
  <si>
    <t>Define variables to characterise aircraft and vertices of V-n diagram</t>
  </si>
  <si>
    <t>Load Factors</t>
  </si>
  <si>
    <t>Specification</t>
  </si>
  <si>
    <t>Source</t>
  </si>
  <si>
    <t xml:space="preserve">Design Airspeeds </t>
  </si>
  <si>
    <t>Aero Coefficients</t>
  </si>
  <si>
    <t xml:space="preserve">Calculated Design Airspeeds </t>
  </si>
  <si>
    <t>Variable</t>
  </si>
  <si>
    <t>Units</t>
  </si>
  <si>
    <t>Definition</t>
  </si>
  <si>
    <t>Max Load</t>
  </si>
  <si>
    <t>Sref</t>
  </si>
  <si>
    <t>m^2</t>
  </si>
  <si>
    <t>Vs0</t>
  </si>
  <si>
    <t>km/hr</t>
  </si>
  <si>
    <t>CL_0</t>
  </si>
  <si>
    <t>Va</t>
  </si>
  <si>
    <t>Minimum speed at which positive limit load can be aerodynamically sustained</t>
  </si>
  <si>
    <t>Min Load</t>
  </si>
  <si>
    <t>bref</t>
  </si>
  <si>
    <t>Vs1</t>
  </si>
  <si>
    <t>CL_a</t>
  </si>
  <si>
    <t>Vg</t>
  </si>
  <si>
    <t>Minimum speed at which negative limit load can be aerodynamically sustained</t>
  </si>
  <si>
    <t>cref</t>
  </si>
  <si>
    <t>Vc</t>
  </si>
  <si>
    <t>CL_max</t>
  </si>
  <si>
    <t>Vau</t>
  </si>
  <si>
    <t>Minimum speed at which positive ultimate load can be aerodynamically sustained</t>
  </si>
  <si>
    <t>MTOW</t>
  </si>
  <si>
    <t>Vne</t>
  </si>
  <si>
    <t>CL_min</t>
  </si>
  <si>
    <t>Vgu</t>
  </si>
  <si>
    <t>Minimum speed at which negative ultimate load can be aerodynamically sustained</t>
  </si>
  <si>
    <t>W/S</t>
  </si>
  <si>
    <t>kg/m^2</t>
  </si>
  <si>
    <t>Cm_0</t>
  </si>
  <si>
    <t>Note: Va and Vg are defined in ASTM F2245-10c 5.2 (see CS-LSA.15) but Vau and Vgu are are only defined in this worksheet</t>
  </si>
  <si>
    <t>Cm_a</t>
  </si>
  <si>
    <t>ASTM F2245-10c</t>
  </si>
  <si>
    <t>CS-LSA</t>
  </si>
  <si>
    <t>Plot envelope</t>
  </si>
  <si>
    <t>V-n Diagram</t>
  </si>
  <si>
    <t>Upper Ultimate Load Limit</t>
  </si>
  <si>
    <t>Source: ASTM F2245-10c 5.2</t>
  </si>
  <si>
    <t>EAS (m/s)</t>
  </si>
  <si>
    <t>EAS (km/hr)</t>
  </si>
  <si>
    <t>qbar</t>
  </si>
  <si>
    <t>Left up</t>
  </si>
  <si>
    <t>Left down</t>
  </si>
  <si>
    <t>Design Speed</t>
  </si>
  <si>
    <t>Speed Value</t>
  </si>
  <si>
    <t>Load Factor</t>
  </si>
  <si>
    <t>Lower Ultimate Load Limit</t>
  </si>
  <si>
    <t>Upper Speed Limit</t>
  </si>
  <si>
    <t>Limit Load Limits</t>
  </si>
  <si>
    <t>Case</t>
  </si>
  <si>
    <t>n</t>
  </si>
  <si>
    <t>v</t>
  </si>
  <si>
    <t>Step 3:</t>
  </si>
  <si>
    <t>Calculate wing pitching moment at Vau and Vne (for use by later sheets)</t>
  </si>
  <si>
    <t>Lift and Moment Plots</t>
  </si>
  <si>
    <t>Calculating pitching moments</t>
  </si>
  <si>
    <t>AOA deg</t>
  </si>
  <si>
    <t>AOA rad</t>
  </si>
  <si>
    <t>CL</t>
  </si>
  <si>
    <t>Cm</t>
  </si>
  <si>
    <t>M_0</t>
  </si>
  <si>
    <t>Nm</t>
  </si>
  <si>
    <t>AOA</t>
  </si>
  <si>
    <t>deg</t>
  </si>
  <si>
    <t>Calculate the shear and bending moment distributions across the wing semi span caused by inertia only</t>
  </si>
  <si>
    <t xml:space="preserve">Diagrams to illustrate wing geometry </t>
  </si>
  <si>
    <t>Information for loading estimation</t>
  </si>
  <si>
    <t>Calculate Total Wing Weight</t>
  </si>
  <si>
    <t>Define variable to characterise wing inertial properties</t>
  </si>
  <si>
    <t>Wing span</t>
  </si>
  <si>
    <t>Cabin width</t>
  </si>
  <si>
    <t>Load factor</t>
  </si>
  <si>
    <t>Lift required</t>
  </si>
  <si>
    <t>N</t>
  </si>
  <si>
    <t>Roskam Part V Appendix A</t>
  </si>
  <si>
    <t>Payload</t>
  </si>
  <si>
    <t>Engine</t>
  </si>
  <si>
    <t>PL weight</t>
  </si>
  <si>
    <t>WT fuel weight</t>
    <phoneticPr fontId="3" type="noConversion"/>
  </si>
  <si>
    <t>N</t>
    <phoneticPr fontId="3" type="noConversion"/>
  </si>
  <si>
    <t>Wing weight</t>
    <phoneticPr fontId="3" type="noConversion"/>
  </si>
  <si>
    <t>No Payload</t>
  </si>
  <si>
    <t>Total weight</t>
    <phoneticPr fontId="3" type="noConversion"/>
  </si>
  <si>
    <t>source</t>
  </si>
  <si>
    <t>Auxiliary fuel tank</t>
    <phoneticPr fontId="3" type="noConversion"/>
  </si>
  <si>
    <t>Jet A-1 density</t>
  </si>
  <si>
    <t>kg/m^3</t>
  </si>
  <si>
    <t> </t>
  </si>
  <si>
    <t>Inertial, Shear and Bending Moment Distribution Plots</t>
  </si>
  <si>
    <t>Plot inertia, shear and bending moment distributions</t>
  </si>
  <si>
    <t>Span station</t>
  </si>
  <si>
    <t>Wing</t>
  </si>
  <si>
    <t>Fuel</t>
  </si>
  <si>
    <t>Combined</t>
    <phoneticPr fontId="3" type="noConversion"/>
  </si>
  <si>
    <t>SF</t>
  </si>
  <si>
    <t>dM</t>
  </si>
  <si>
    <t>BM</t>
  </si>
  <si>
    <t>N/m</t>
  </si>
  <si>
    <t>Sum</t>
  </si>
  <si>
    <t xml:space="preserve">Calculate shear and bending moment distributions across the wing semi-span caused by lift and combine with previous inertial results </t>
  </si>
  <si>
    <t>Diagram to illustrate wing geometry</t>
  </si>
  <si>
    <t>Wing Parameters Duplicated from Previous Sheet</t>
  </si>
  <si>
    <t>Calculate Parameters to Characterise Lift Distribution</t>
  </si>
  <si>
    <t>Elliptical lift distribution</t>
  </si>
  <si>
    <t>Define variables to characterise wing lift distribution</t>
  </si>
  <si>
    <t>Fundamentals of Aerodynamcis, Anderson J, 1984, Section 5.3.1</t>
  </si>
  <si>
    <t>Check Lift</t>
  </si>
  <si>
    <t>L0</t>
  </si>
  <si>
    <t>1/2 Lift</t>
    <phoneticPr fontId="3" type="noConversion"/>
  </si>
  <si>
    <t>b/2</t>
  </si>
  <si>
    <t>Mk 81 GPB</t>
  </si>
  <si>
    <t>Auxiliary fuel tank</t>
  </si>
  <si>
    <t>Jet-A1 density</t>
  </si>
  <si>
    <t>Plot lift, shear and bending moment distribution for semi-span</t>
  </si>
  <si>
    <t>dL</t>
  </si>
  <si>
    <t>Lift (N)</t>
  </si>
  <si>
    <t>Step 4</t>
  </si>
  <si>
    <t>Aero+Inertia Loading on the wing</t>
    <phoneticPr fontId="3" type="noConversion"/>
  </si>
  <si>
    <t>Add the shear and bending moment distributions caused by the aerodynamic loads to those caused by the inertial loads</t>
  </si>
  <si>
    <t>Calculate Total Fground Reaction Force</t>
    <phoneticPr fontId="3" type="noConversion"/>
  </si>
  <si>
    <t>Ground Load</t>
  </si>
  <si>
    <t>Plotting Ground Reaction Force</t>
  </si>
  <si>
    <t>Combined Ground/Aero</t>
  </si>
  <si>
    <t xml:space="preserve"> </t>
  </si>
  <si>
    <t>Evaluate and visualise the torques acting across the semispan due to structural and aerodynamic loads for a given design case</t>
  </si>
  <si>
    <t xml:space="preserve">Diagrams to illustrate the causes of the wing toques, their geometries, and their relationship with the total wing torque </t>
  </si>
  <si>
    <t>Wing Properties</t>
  </si>
  <si>
    <t>Load Conditions</t>
  </si>
  <si>
    <t>Double-cell Case Properties</t>
  </si>
  <si>
    <t>Define the wing geometry properties, case load conditions, and double-cell case properties.</t>
  </si>
  <si>
    <t>Symbol</t>
  </si>
  <si>
    <t>case</t>
  </si>
  <si>
    <t>Lift arm</t>
    <phoneticPr fontId="3" type="noConversion"/>
  </si>
  <si>
    <t>a</t>
    <phoneticPr fontId="3" type="noConversion"/>
  </si>
  <si>
    <t>mm</t>
    <phoneticPr fontId="3" type="noConversion"/>
  </si>
  <si>
    <t>Lift</t>
    <phoneticPr fontId="3" type="noConversion"/>
  </si>
  <si>
    <t>L</t>
    <phoneticPr fontId="3" type="noConversion"/>
  </si>
  <si>
    <t>Cell 1 area</t>
    <phoneticPr fontId="3" type="noConversion"/>
  </si>
  <si>
    <t>An</t>
    <phoneticPr fontId="3" type="noConversion"/>
  </si>
  <si>
    <t>mm^2</t>
    <phoneticPr fontId="3" type="noConversion"/>
  </si>
  <si>
    <t>Wing mass</t>
    <phoneticPr fontId="3" type="noConversion"/>
  </si>
  <si>
    <t>W_wing</t>
    <phoneticPr fontId="3" type="noConversion"/>
  </si>
  <si>
    <t>kg</t>
    <phoneticPr fontId="3" type="noConversion"/>
  </si>
  <si>
    <t>Fuel mass</t>
    <phoneticPr fontId="3" type="noConversion"/>
  </si>
  <si>
    <t>W_fuel</t>
    <phoneticPr fontId="3" type="noConversion"/>
  </si>
  <si>
    <t>Cell 2 area</t>
    <phoneticPr fontId="3" type="noConversion"/>
  </si>
  <si>
    <t>Ar</t>
    <phoneticPr fontId="3" type="noConversion"/>
  </si>
  <si>
    <t>WM arm</t>
    <phoneticPr fontId="3" type="noConversion"/>
  </si>
  <si>
    <t>b1</t>
  </si>
  <si>
    <t>Payload mass</t>
  </si>
  <si>
    <t>W_PL</t>
  </si>
  <si>
    <t>Circumference 1</t>
    <phoneticPr fontId="3" type="noConversion"/>
  </si>
  <si>
    <t>Sn</t>
    <phoneticPr fontId="3" type="noConversion"/>
  </si>
  <si>
    <t>FM arm</t>
    <phoneticPr fontId="3" type="noConversion"/>
  </si>
  <si>
    <t>b2</t>
  </si>
  <si>
    <t>Load factor</t>
    <phoneticPr fontId="3" type="noConversion"/>
  </si>
  <si>
    <t>n</t>
    <phoneticPr fontId="3" type="noConversion"/>
  </si>
  <si>
    <t>Sr</t>
    <phoneticPr fontId="3" type="noConversion"/>
  </si>
  <si>
    <t>PL arm</t>
  </si>
  <si>
    <t>b3</t>
  </si>
  <si>
    <t>Spar height</t>
    <phoneticPr fontId="3" type="noConversion"/>
  </si>
  <si>
    <t>h_w</t>
    <phoneticPr fontId="3" type="noConversion"/>
  </si>
  <si>
    <t>Aero Pitch moment</t>
  </si>
  <si>
    <t>M_0</t>
    <phoneticPr fontId="3" type="noConversion"/>
  </si>
  <si>
    <t>Nm</t>
    <phoneticPr fontId="3" type="noConversion"/>
  </si>
  <si>
    <t>Spar Dist to SC</t>
    <phoneticPr fontId="3" type="noConversion"/>
  </si>
  <si>
    <t>d</t>
    <phoneticPr fontId="3" type="noConversion"/>
  </si>
  <si>
    <t xml:space="preserve">Torque </t>
    <phoneticPr fontId="3" type="noConversion"/>
  </si>
  <si>
    <t>T</t>
    <phoneticPr fontId="3" type="noConversion"/>
  </si>
  <si>
    <t>Nmm</t>
  </si>
  <si>
    <t>Load</t>
    <phoneticPr fontId="3" type="noConversion"/>
  </si>
  <si>
    <t>P</t>
    <phoneticPr fontId="3" type="noConversion"/>
  </si>
  <si>
    <t>Spar thichness</t>
  </si>
  <si>
    <t>t_w</t>
    <phoneticPr fontId="3" type="noConversion"/>
  </si>
  <si>
    <t>Torque</t>
    <phoneticPr fontId="3" type="noConversion"/>
  </si>
  <si>
    <t>Skin thickness</t>
  </si>
  <si>
    <t>tn</t>
    <phoneticPr fontId="3" type="noConversion"/>
  </si>
  <si>
    <t>tr</t>
    <phoneticPr fontId="3" type="noConversion"/>
  </si>
  <si>
    <t>c/c_root</t>
  </si>
  <si>
    <t>Moment Distributions</t>
  </si>
  <si>
    <t xml:space="preserve"> Integral Contributions</t>
  </si>
  <si>
    <t>Calculate the moment distributions and their integral contributions. Then calculate and visulaise the combined torque and its integral across the semispan.</t>
  </si>
  <si>
    <t>root
correction</t>
    <phoneticPr fontId="3" type="noConversion"/>
  </si>
  <si>
    <t>Location (m)</t>
  </si>
  <si>
    <t>Lift Moment Distribution (Nmm/m)</t>
  </si>
  <si>
    <t>Pitching Moment Distribution (Nm/m)</t>
  </si>
  <si>
    <t>Wing Weight Moment Distribution (Nmm/m)</t>
  </si>
  <si>
    <t>Fuel Weight Moment Distribution(Nmm/m)</t>
  </si>
  <si>
    <t>Payload Weight Moment (Nmm)</t>
  </si>
  <si>
    <t>Lift Moment</t>
  </si>
  <si>
    <t>Pitching Moment (Nmm)</t>
  </si>
  <si>
    <t>Wing Weight Moment (Nmm)</t>
  </si>
  <si>
    <t>Fuel Weight Moment (Nmm)</t>
  </si>
  <si>
    <t>Combined  Moment (Nmm)</t>
  </si>
  <si>
    <t xml:space="preserve"> Torque Integral from b to x  (Nmm)</t>
  </si>
  <si>
    <t xml:space="preserve"> Torque Integral from b to x  (Nm)</t>
    <phoneticPr fontId="3" type="noConversion"/>
  </si>
  <si>
    <t>Pointwise Moment Calculation Results</t>
  </si>
  <si>
    <t>Moment Distribution Integral Results</t>
  </si>
  <si>
    <t>Evaluate the moment distribution integrals across the semispan and compare to the pointwise calculations</t>
  </si>
  <si>
    <t>Integral</t>
  </si>
  <si>
    <t>L*a</t>
  </si>
  <si>
    <t>Pitching Moment</t>
  </si>
  <si>
    <t xml:space="preserve">M_0 </t>
  </si>
  <si>
    <t xml:space="preserve">Nm </t>
  </si>
  <si>
    <t>Wing Weight Moment</t>
  </si>
  <si>
    <t>W_wing*b1</t>
  </si>
  <si>
    <t>Fuel Weight Moment</t>
  </si>
  <si>
    <t>W_fuel*b2</t>
  </si>
  <si>
    <t>Payload Weight Moment</t>
  </si>
  <si>
    <t>W_PL*b3</t>
  </si>
  <si>
    <t>Calculate fuselage loads caused by horizontal tail trim load</t>
  </si>
  <si>
    <t>R_F</t>
  </si>
  <si>
    <t>Front spar reaction force</t>
  </si>
  <si>
    <t>Discretise fuselage across its length</t>
  </si>
  <si>
    <t>R_R</t>
  </si>
  <si>
    <t>Rear spar reaction force</t>
  </si>
  <si>
    <t>Fuselage Station No. = Distance from reference point in cm</t>
  </si>
  <si>
    <t>Tail load</t>
  </si>
  <si>
    <t>Find moment caused by maximum load on horizontal tail</t>
  </si>
  <si>
    <t>Aero load</t>
  </si>
  <si>
    <t>Total</t>
  </si>
  <si>
    <t>Tail trim load</t>
    <phoneticPr fontId="2" type="noConversion"/>
  </si>
  <si>
    <t>kg</t>
    <phoneticPr fontId="2" type="noConversion"/>
  </si>
  <si>
    <t>Moment about ref</t>
  </si>
  <si>
    <t>kg*cm</t>
    <phoneticPr fontId="2" type="noConversion"/>
  </si>
  <si>
    <t>Calculate reaction forces in wing spars</t>
  </si>
  <si>
    <t>Matrix solution</t>
  </si>
  <si>
    <t>=</t>
    <phoneticPr fontId="2" type="noConversion"/>
  </si>
  <si>
    <t>MMULT(MINVERSE(A),B)</t>
  </si>
  <si>
    <t>Reaction R_F at stat 185.4 =</t>
  </si>
  <si>
    <t>Reaction R_R at stat 294.6 =</t>
  </si>
  <si>
    <t>Moment R_F from stat 185.4 =</t>
  </si>
  <si>
    <t>Moment R_R from stat 294.6 =</t>
  </si>
  <si>
    <t>Shear and Bending Moment on the Fuselage</t>
  </si>
  <si>
    <t>Calculate shear and bending moment at each station</t>
  </si>
  <si>
    <t>Station</t>
  </si>
  <si>
    <t>Sum</t>
    <phoneticPr fontId="2" type="noConversion"/>
  </si>
  <si>
    <t xml:space="preserve">Aero </t>
    <phoneticPr fontId="2" type="noConversion"/>
  </si>
  <si>
    <t>dBM</t>
    <phoneticPr fontId="2" type="noConversion"/>
  </si>
  <si>
    <t>BM</t>
    <phoneticPr fontId="2" type="noConversion"/>
  </si>
  <si>
    <t>Objective</t>
  </si>
  <si>
    <t>Calculate fuselage loads caused inertia</t>
  </si>
  <si>
    <t>Weight budget</t>
  </si>
  <si>
    <t>Calculate moment about reference caused inertial components</t>
  </si>
  <si>
    <t>Inertia Item</t>
  </si>
  <si>
    <t>Power plant</t>
  </si>
  <si>
    <t>Fuselage</t>
  </si>
  <si>
    <t>Tail</t>
  </si>
  <si>
    <t>Control surfaces</t>
  </si>
  <si>
    <t>Electrical system</t>
  </si>
  <si>
    <t>Tail wheel</t>
  </si>
  <si>
    <t>Furnishings</t>
  </si>
  <si>
    <t>Radio</t>
  </si>
  <si>
    <t>Pilot</t>
  </si>
  <si>
    <t>Student</t>
  </si>
  <si>
    <t>Total load</t>
    <phoneticPr fontId="2" type="noConversion"/>
  </si>
  <si>
    <t>kg*cm</t>
  </si>
  <si>
    <t>Fuselage CG at</t>
  </si>
  <si>
    <t>cm</t>
    <phoneticPr fontId="2" type="noConversion"/>
  </si>
  <si>
    <t>Inertia</t>
    <phoneticPr fontId="2" type="noConversion"/>
  </si>
  <si>
    <t xml:space="preserve">Spar reaction </t>
  </si>
  <si>
    <t xml:space="preserve">Total </t>
    <phoneticPr fontId="2" type="noConversion"/>
  </si>
  <si>
    <t>Calculate fuselage loadds due to landing gear</t>
  </si>
  <si>
    <t>Gear Load</t>
  </si>
  <si>
    <t>Weight Check</t>
  </si>
  <si>
    <t>Calculate total inertial load at each station</t>
  </si>
  <si>
    <t>Inertia item</t>
  </si>
  <si>
    <t>Total inertial load</t>
  </si>
  <si>
    <t>Total inertial moment</t>
  </si>
  <si>
    <t xml:space="preserve">Input tail aerodynamic load </t>
  </si>
  <si>
    <t>Calculate resultant load and bending moment when including gear reaction load</t>
  </si>
  <si>
    <t>Additional landing gear load</t>
  </si>
  <si>
    <t>Landing load factor</t>
  </si>
  <si>
    <t>Gear load</t>
  </si>
  <si>
    <t>Loads</t>
  </si>
  <si>
    <t>Resultant load</t>
  </si>
  <si>
    <t>Resultant moment</t>
  </si>
  <si>
    <t>Actual Gear Load Factor</t>
  </si>
  <si>
    <t>Shear and Bending Moment on Fuselage</t>
  </si>
  <si>
    <t>Gear+Tail</t>
  </si>
  <si>
    <t>Arm</t>
  </si>
  <si>
    <t>Total BM</t>
  </si>
  <si>
    <t>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</si>
</sst>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_ "/>
    <numFmt numFmtId="167" formatCode="0.000000000"/>
    <numFmt numFmtId="168" formatCode="0.00000_ "/>
    <numFmt numFmtId="169" formatCode="0.00000000_ "/>
  </numFmts>
  <fonts count="40">
    <font>
      <sz val="11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  <font>
      <b/>
      <sz val="20"/>
      <color rgb="FF000000"/>
      <name val="Arial"/>
      <family val="2"/>
    </font>
    <font>
      <sz val="9"/>
      <name val="等线"/>
      <family val="3"/>
      <charset val="134"/>
      <scheme val="minor"/>
    </font>
    <font>
      <b/>
      <sz val="11"/>
      <name val="Arial"/>
      <family val="2"/>
    </font>
    <font>
      <sz val="11"/>
      <color theme="1"/>
      <name val="Aptos"/>
      <family val="2"/>
    </font>
    <font>
      <b/>
      <sz val="18"/>
      <color theme="1"/>
      <name val="Aptos"/>
      <family val="2"/>
    </font>
    <font>
      <b/>
      <sz val="11"/>
      <color theme="1"/>
      <name val="Aptos"/>
      <family val="2"/>
    </font>
    <font>
      <b/>
      <sz val="11"/>
      <name val="Aptos"/>
      <family val="2"/>
    </font>
    <font>
      <sz val="11"/>
      <color theme="0"/>
      <name val="Aptos"/>
      <family val="2"/>
    </font>
    <font>
      <i/>
      <sz val="11"/>
      <color theme="1"/>
      <name val="Aptos"/>
      <family val="2"/>
    </font>
    <font>
      <b/>
      <sz val="14"/>
      <color theme="1"/>
      <name val="Aptos"/>
      <family val="2"/>
    </font>
    <font>
      <b/>
      <sz val="14"/>
      <color theme="0"/>
      <name val="Aptos"/>
      <family val="2"/>
    </font>
    <font>
      <sz val="14"/>
      <color theme="0"/>
      <name val="Aptos"/>
      <family val="2"/>
    </font>
    <font>
      <sz val="18"/>
      <color theme="1"/>
      <name val="Aptos"/>
      <family val="2"/>
    </font>
    <font>
      <sz val="11"/>
      <color theme="1"/>
      <name val="Aptos"/>
      <family val="2"/>
    </font>
    <font>
      <b/>
      <sz val="12"/>
      <color theme="1"/>
      <name val="Aptos"/>
      <family val="2"/>
    </font>
    <font>
      <sz val="14"/>
      <color theme="1"/>
      <name val="Aptos"/>
      <family val="2"/>
    </font>
    <font>
      <sz val="11"/>
      <name val="Aptos"/>
      <family val="2"/>
    </font>
    <font>
      <sz val="11"/>
      <color rgb="FFFF0000"/>
      <name val="Aptos"/>
      <family val="2"/>
    </font>
    <font>
      <b/>
      <sz val="14"/>
      <name val="Aptos"/>
      <family val="2"/>
    </font>
    <font>
      <sz val="11"/>
      <color theme="0"/>
      <name val="Aptos"/>
      <family val="2"/>
    </font>
    <font>
      <i/>
      <sz val="11"/>
      <name val="Aptos"/>
      <family val="2"/>
    </font>
    <font>
      <b/>
      <sz val="11"/>
      <color theme="0"/>
      <name val="Aptos"/>
      <family val="2"/>
    </font>
    <font>
      <sz val="11"/>
      <color theme="0"/>
      <name val="等线"/>
      <family val="2"/>
      <scheme val="minor"/>
    </font>
    <font>
      <b/>
      <sz val="18"/>
      <color theme="1"/>
      <name val="等线"/>
      <family val="2"/>
      <scheme val="minor"/>
    </font>
    <font>
      <b/>
      <sz val="14"/>
      <color theme="1"/>
      <name val="等线"/>
      <family val="2"/>
      <scheme val="minor"/>
    </font>
    <font>
      <i/>
      <sz val="11"/>
      <color theme="1"/>
      <name val="等线"/>
      <family val="2"/>
      <scheme val="minor"/>
    </font>
    <font>
      <b/>
      <sz val="11"/>
      <color theme="0"/>
      <name val="等线"/>
      <family val="2"/>
      <scheme val="minor"/>
    </font>
    <font>
      <sz val="11"/>
      <color theme="1"/>
      <name val="Aptos"/>
      <family val="2"/>
    </font>
    <font>
      <b/>
      <sz val="20"/>
      <color rgb="FF000000"/>
      <name val="Aptos"/>
      <family val="2"/>
    </font>
    <font>
      <u/>
      <sz val="11"/>
      <color theme="10"/>
      <name val="Aptos"/>
      <family val="2"/>
    </font>
    <font>
      <b/>
      <sz val="18"/>
      <color rgb="FF000000"/>
      <name val="Aptos"/>
      <family val="2"/>
    </font>
    <font>
      <b/>
      <sz val="14"/>
      <color rgb="FF000000"/>
      <name val="Aptos"/>
      <family val="2"/>
    </font>
    <font>
      <sz val="14"/>
      <color theme="1"/>
      <name val="等线"/>
      <family val="2"/>
      <scheme val="minor"/>
    </font>
    <font>
      <sz val="11"/>
      <color rgb="FF0000CD"/>
      <name val="Aptos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0"/>
      <color rgb="FF000000"/>
      <name val="Helvetica Neue"/>
      <family val="2"/>
    </font>
    <font>
      <b/>
      <strike/>
      <sz val="11"/>
      <color rgb="FF00B0F0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rgb="FF0000C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theme="1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93">
    <xf numFmtId="0" fontId="0" fillId="0" borderId="0" xfId="0"/>
    <xf numFmtId="0" fontId="1" fillId="0" borderId="0" xfId="1"/>
    <xf numFmtId="0" fontId="4" fillId="0" borderId="0" xfId="0" applyFont="1"/>
    <xf numFmtId="0" fontId="0" fillId="0" borderId="1" xfId="0" applyBorder="1" applyAlignment="1">
      <alignment horizontal="right"/>
    </xf>
    <xf numFmtId="0" fontId="5" fillId="0" borderId="0" xfId="0" applyFont="1"/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/>
    <xf numFmtId="0" fontId="5" fillId="0" borderId="1" xfId="0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165" fontId="5" fillId="0" borderId="1" xfId="0" applyNumberFormat="1" applyFont="1" applyBorder="1"/>
    <xf numFmtId="0" fontId="0" fillId="0" borderId="0" xfId="0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7" fillId="3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1" fontId="7" fillId="0" borderId="1" xfId="0" applyNumberFormat="1" applyFont="1" applyBorder="1" applyAlignment="1">
      <alignment horizontal="center"/>
    </xf>
    <xf numFmtId="0" fontId="5" fillId="0" borderId="18" xfId="0" applyFont="1" applyBorder="1"/>
    <xf numFmtId="0" fontId="5" fillId="0" borderId="10" xfId="0" applyFont="1" applyBorder="1"/>
    <xf numFmtId="2" fontId="5" fillId="0" borderId="1" xfId="0" applyNumberFormat="1" applyFont="1" applyBorder="1" applyAlignment="1">
      <alignment horizontal="center"/>
    </xf>
    <xf numFmtId="0" fontId="5" fillId="2" borderId="19" xfId="0" applyFont="1" applyFill="1" applyBorder="1"/>
    <xf numFmtId="0" fontId="9" fillId="2" borderId="19" xfId="0" applyFont="1" applyFill="1" applyBorder="1"/>
    <xf numFmtId="165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 vertical="center"/>
    </xf>
    <xf numFmtId="1" fontId="5" fillId="0" borderId="1" xfId="0" applyNumberFormat="1" applyFont="1" applyBorder="1" applyAlignment="1">
      <alignment horizontal="center"/>
    </xf>
    <xf numFmtId="165" fontId="5" fillId="0" borderId="1" xfId="0" applyNumberFormat="1" applyFont="1" applyBorder="1" applyAlignment="1">
      <alignment horizontal="right"/>
    </xf>
    <xf numFmtId="0" fontId="13" fillId="2" borderId="19" xfId="0" applyFont="1" applyFill="1" applyBorder="1"/>
    <xf numFmtId="0" fontId="5" fillId="4" borderId="21" xfId="0" applyFont="1" applyFill="1" applyBorder="1" applyAlignment="1">
      <alignment horizontal="justify" vertical="center"/>
    </xf>
    <xf numFmtId="0" fontId="15" fillId="4" borderId="21" xfId="0" applyFont="1" applyFill="1" applyBorder="1"/>
    <xf numFmtId="0" fontId="15" fillId="0" borderId="0" xfId="0" applyFont="1"/>
    <xf numFmtId="0" fontId="16" fillId="0" borderId="0" xfId="0" applyFont="1" applyAlignment="1">
      <alignment vertical="center"/>
    </xf>
    <xf numFmtId="0" fontId="15" fillId="0" borderId="10" xfId="0" applyFont="1" applyBorder="1"/>
    <xf numFmtId="165" fontId="5" fillId="0" borderId="1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0" fontId="5" fillId="0" borderId="0" xfId="0" applyFont="1" applyAlignment="1">
      <alignment vertical="center"/>
    </xf>
    <xf numFmtId="0" fontId="13" fillId="2" borderId="20" xfId="0" applyFont="1" applyFill="1" applyBorder="1" applyAlignment="1">
      <alignment horizontal="justify" vertical="center"/>
    </xf>
    <xf numFmtId="0" fontId="17" fillId="4" borderId="21" xfId="0" applyFont="1" applyFill="1" applyBorder="1"/>
    <xf numFmtId="0" fontId="18" fillId="0" borderId="1" xfId="0" applyFont="1" applyBorder="1" applyAlignment="1">
      <alignment horizontal="center"/>
    </xf>
    <xf numFmtId="0" fontId="5" fillId="2" borderId="0" xfId="0" applyFont="1" applyFill="1"/>
    <xf numFmtId="0" fontId="8" fillId="0" borderId="0" xfId="0" applyFont="1"/>
    <xf numFmtId="2" fontId="5" fillId="0" borderId="1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/>
    </xf>
    <xf numFmtId="165" fontId="5" fillId="0" borderId="0" xfId="0" applyNumberFormat="1" applyFont="1"/>
    <xf numFmtId="0" fontId="5" fillId="0" borderId="7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2" borderId="25" xfId="0" applyFont="1" applyFill="1" applyBorder="1"/>
    <xf numFmtId="0" fontId="5" fillId="2" borderId="0" xfId="0" applyFont="1" applyFill="1" applyAlignment="1">
      <alignment horizontal="justify" vertical="center"/>
    </xf>
    <xf numFmtId="0" fontId="9" fillId="2" borderId="0" xfId="0" applyFont="1" applyFill="1" applyAlignment="1">
      <alignment horizontal="justify" vertical="center"/>
    </xf>
    <xf numFmtId="0" fontId="9" fillId="2" borderId="25" xfId="0" applyFont="1" applyFill="1" applyBorder="1"/>
    <xf numFmtId="0" fontId="7" fillId="0" borderId="0" xfId="0" applyFont="1"/>
    <xf numFmtId="0" fontId="7" fillId="0" borderId="3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2" fontId="5" fillId="0" borderId="7" xfId="0" applyNumberFormat="1" applyFont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18" fillId="0" borderId="0" xfId="0" applyFont="1" applyAlignment="1">
      <alignment horizontal="center"/>
    </xf>
    <xf numFmtId="0" fontId="15" fillId="4" borderId="10" xfId="0" applyFont="1" applyFill="1" applyBorder="1"/>
    <xf numFmtId="2" fontId="5" fillId="0" borderId="0" xfId="0" applyNumberFormat="1" applyFont="1"/>
    <xf numFmtId="2" fontId="5" fillId="0" borderId="9" xfId="0" applyNumberFormat="1" applyFont="1" applyBorder="1" applyAlignment="1">
      <alignment horizontal="center" vertical="center"/>
    </xf>
    <xf numFmtId="2" fontId="5" fillId="0" borderId="26" xfId="0" applyNumberFormat="1" applyFont="1" applyBorder="1" applyAlignment="1">
      <alignment horizontal="center" vertical="center"/>
    </xf>
    <xf numFmtId="2" fontId="5" fillId="0" borderId="27" xfId="0" applyNumberFormat="1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4" borderId="10" xfId="0" applyFont="1" applyFill="1" applyBorder="1"/>
    <xf numFmtId="2" fontId="5" fillId="0" borderId="1" xfId="0" applyNumberFormat="1" applyFont="1" applyBorder="1"/>
    <xf numFmtId="0" fontId="9" fillId="2" borderId="0" xfId="0" applyFont="1" applyFill="1"/>
    <xf numFmtId="0" fontId="5" fillId="0" borderId="3" xfId="0" applyFont="1" applyBorder="1" applyAlignment="1">
      <alignment horizontal="center"/>
    </xf>
    <xf numFmtId="0" fontId="18" fillId="0" borderId="17" xfId="0" applyFont="1" applyBorder="1"/>
    <xf numFmtId="0" fontId="18" fillId="0" borderId="4" xfId="0" applyFont="1" applyBorder="1"/>
    <xf numFmtId="0" fontId="18" fillId="0" borderId="15" xfId="0" applyFont="1" applyBorder="1"/>
    <xf numFmtId="0" fontId="5" fillId="0" borderId="16" xfId="0" applyFont="1" applyBorder="1"/>
    <xf numFmtId="0" fontId="5" fillId="0" borderId="17" xfId="0" applyFont="1" applyBorder="1"/>
    <xf numFmtId="0" fontId="5" fillId="0" borderId="14" xfId="0" applyFont="1" applyBorder="1"/>
    <xf numFmtId="0" fontId="5" fillId="0" borderId="15" xfId="0" applyFont="1" applyBorder="1"/>
    <xf numFmtId="0" fontId="18" fillId="0" borderId="2" xfId="0" applyFont="1" applyBorder="1"/>
    <xf numFmtId="0" fontId="18" fillId="0" borderId="6" xfId="0" applyFont="1" applyBorder="1"/>
    <xf numFmtId="0" fontId="18" fillId="0" borderId="3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0" xfId="0" applyFont="1" applyAlignment="1">
      <alignment horizontal="left"/>
    </xf>
    <xf numFmtId="0" fontId="21" fillId="2" borderId="19" xfId="0" applyFont="1" applyFill="1" applyBorder="1"/>
    <xf numFmtId="0" fontId="19" fillId="0" borderId="3" xfId="0" applyFont="1" applyBorder="1"/>
    <xf numFmtId="0" fontId="5" fillId="0" borderId="28" xfId="0" applyFont="1" applyBorder="1" applyAlignment="1">
      <alignment horizontal="right"/>
    </xf>
    <xf numFmtId="165" fontId="18" fillId="3" borderId="3" xfId="0" applyNumberFormat="1" applyFont="1" applyFill="1" applyBorder="1"/>
    <xf numFmtId="0" fontId="18" fillId="3" borderId="1" xfId="0" applyFont="1" applyFill="1" applyBorder="1"/>
    <xf numFmtId="165" fontId="5" fillId="0" borderId="12" xfId="0" applyNumberFormat="1" applyFont="1" applyBorder="1" applyAlignment="1">
      <alignment horizontal="center"/>
    </xf>
    <xf numFmtId="0" fontId="5" fillId="3" borderId="16" xfId="0" applyFont="1" applyFill="1" applyBorder="1"/>
    <xf numFmtId="0" fontId="5" fillId="3" borderId="29" xfId="0" applyFont="1" applyFill="1" applyBorder="1"/>
    <xf numFmtId="0" fontId="5" fillId="3" borderId="17" xfId="0" applyFont="1" applyFill="1" applyBorder="1"/>
    <xf numFmtId="0" fontId="5" fillId="3" borderId="5" xfId="0" applyFont="1" applyFill="1" applyBorder="1"/>
    <xf numFmtId="0" fontId="5" fillId="3" borderId="0" xfId="0" applyFont="1" applyFill="1"/>
    <xf numFmtId="0" fontId="5" fillId="3" borderId="4" xfId="0" applyFont="1" applyFill="1" applyBorder="1"/>
    <xf numFmtId="0" fontId="5" fillId="3" borderId="14" xfId="0" applyFont="1" applyFill="1" applyBorder="1"/>
    <xf numFmtId="0" fontId="5" fillId="3" borderId="28" xfId="0" applyFont="1" applyFill="1" applyBorder="1"/>
    <xf numFmtId="0" fontId="5" fillId="3" borderId="15" xfId="0" applyFont="1" applyFill="1" applyBorder="1"/>
    <xf numFmtId="0" fontId="22" fillId="0" borderId="1" xfId="0" applyFont="1" applyBorder="1" applyAlignment="1">
      <alignment horizontal="center"/>
    </xf>
    <xf numFmtId="0" fontId="10" fillId="0" borderId="1" xfId="0" applyFont="1" applyBorder="1"/>
    <xf numFmtId="0" fontId="10" fillId="0" borderId="8" xfId="0" applyFont="1" applyBorder="1"/>
    <xf numFmtId="0" fontId="10" fillId="0" borderId="13" xfId="0" applyFont="1" applyBorder="1"/>
    <xf numFmtId="0" fontId="10" fillId="0" borderId="7" xfId="0" applyFont="1" applyBorder="1"/>
    <xf numFmtId="165" fontId="5" fillId="0" borderId="3" xfId="0" applyNumberFormat="1" applyFont="1" applyBorder="1"/>
    <xf numFmtId="165" fontId="18" fillId="0" borderId="1" xfId="0" applyNumberFormat="1" applyFont="1" applyBorder="1"/>
    <xf numFmtId="165" fontId="10" fillId="0" borderId="1" xfId="0" applyNumberFormat="1" applyFont="1" applyBorder="1"/>
    <xf numFmtId="165" fontId="10" fillId="0" borderId="1" xfId="0" applyNumberFormat="1" applyFont="1" applyBorder="1" applyAlignment="1">
      <alignment horizontal="center"/>
    </xf>
    <xf numFmtId="165" fontId="5" fillId="0" borderId="8" xfId="0" applyNumberFormat="1" applyFont="1" applyBorder="1"/>
    <xf numFmtId="165" fontId="5" fillId="0" borderId="11" xfId="0" applyNumberFormat="1" applyFont="1" applyBorder="1"/>
    <xf numFmtId="0" fontId="5" fillId="0" borderId="5" xfId="0" applyFont="1" applyBorder="1"/>
    <xf numFmtId="0" fontId="5" fillId="2" borderId="30" xfId="0" applyFont="1" applyFill="1" applyBorder="1"/>
    <xf numFmtId="0" fontId="5" fillId="0" borderId="31" xfId="0" applyFont="1" applyBorder="1"/>
    <xf numFmtId="0" fontId="5" fillId="2" borderId="32" xfId="0" applyFont="1" applyFill="1" applyBorder="1"/>
    <xf numFmtId="0" fontId="10" fillId="0" borderId="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2" fontId="5" fillId="0" borderId="8" xfId="0" applyNumberFormat="1" applyFont="1" applyBorder="1" applyAlignment="1">
      <alignment horizontal="center" vertical="center"/>
    </xf>
    <xf numFmtId="2" fontId="5" fillId="0" borderId="33" xfId="0" applyNumberFormat="1" applyFon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2" fontId="5" fillId="0" borderId="2" xfId="0" applyNumberFormat="1" applyFont="1" applyBorder="1" applyAlignment="1">
      <alignment horizontal="center" vertical="center"/>
    </xf>
    <xf numFmtId="0" fontId="0" fillId="0" borderId="33" xfId="0" applyBorder="1" applyAlignment="1">
      <alignment horizontal="center"/>
    </xf>
    <xf numFmtId="0" fontId="12" fillId="2" borderId="19" xfId="0" applyFont="1" applyFill="1" applyBorder="1" applyAlignment="1">
      <alignment horizontal="center"/>
    </xf>
    <xf numFmtId="0" fontId="12" fillId="2" borderId="19" xfId="0" applyFont="1" applyFill="1" applyBorder="1" applyAlignment="1">
      <alignment horizontal="center" vertical="center"/>
    </xf>
    <xf numFmtId="0" fontId="12" fillId="2" borderId="19" xfId="0" applyFont="1" applyFill="1" applyBorder="1" applyAlignment="1">
      <alignment horizontal="center" vertical="top"/>
    </xf>
    <xf numFmtId="0" fontId="12" fillId="2" borderId="24" xfId="0" applyFont="1" applyFill="1" applyBorder="1" applyAlignment="1">
      <alignment horizontal="center" vertical="top"/>
    </xf>
    <xf numFmtId="0" fontId="13" fillId="2" borderId="19" xfId="0" applyFont="1" applyFill="1" applyBorder="1" applyAlignment="1">
      <alignment horizontal="center" vertical="top"/>
    </xf>
    <xf numFmtId="0" fontId="23" fillId="2" borderId="0" xfId="0" applyFont="1" applyFill="1" applyAlignment="1">
      <alignment horizontal="center" vertical="center"/>
    </xf>
    <xf numFmtId="0" fontId="5" fillId="0" borderId="37" xfId="0" applyFont="1" applyBorder="1"/>
    <xf numFmtId="0" fontId="5" fillId="2" borderId="30" xfId="0" applyFont="1" applyFill="1" applyBorder="1" applyAlignment="1">
      <alignment horizontal="justify" vertical="center"/>
    </xf>
    <xf numFmtId="165" fontId="5" fillId="0" borderId="37" xfId="0" applyNumberFormat="1" applyFont="1" applyBorder="1"/>
    <xf numFmtId="0" fontId="9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/>
    </xf>
    <xf numFmtId="0" fontId="0" fillId="2" borderId="0" xfId="0" applyFill="1"/>
    <xf numFmtId="0" fontId="0" fillId="4" borderId="31" xfId="0" applyFill="1" applyBorder="1"/>
    <xf numFmtId="0" fontId="24" fillId="2" borderId="0" xfId="0" applyFont="1" applyFill="1" applyAlignment="1">
      <alignment horizontal="center"/>
    </xf>
    <xf numFmtId="2" fontId="0" fillId="0" borderId="33" xfId="0" applyNumberFormat="1" applyBorder="1" applyAlignment="1">
      <alignment horizontal="center"/>
    </xf>
    <xf numFmtId="0" fontId="27" fillId="0" borderId="33" xfId="0" applyFont="1" applyBorder="1" applyAlignment="1">
      <alignment horizontal="center"/>
    </xf>
    <xf numFmtId="0" fontId="0" fillId="0" borderId="37" xfId="0" applyBorder="1"/>
    <xf numFmtId="0" fontId="28" fillId="2" borderId="0" xfId="0" applyFont="1" applyFill="1" applyAlignment="1">
      <alignment horizontal="center"/>
    </xf>
    <xf numFmtId="0" fontId="0" fillId="0" borderId="31" xfId="0" applyBorder="1"/>
    <xf numFmtId="0" fontId="0" fillId="0" borderId="34" xfId="0" applyBorder="1" applyAlignment="1">
      <alignment horizontal="center"/>
    </xf>
    <xf numFmtId="2" fontId="0" fillId="0" borderId="34" xfId="0" applyNumberFormat="1" applyBorder="1" applyAlignment="1">
      <alignment horizontal="center"/>
    </xf>
    <xf numFmtId="0" fontId="27" fillId="0" borderId="0" xfId="0" applyFont="1" applyAlignment="1">
      <alignment horizontal="center"/>
    </xf>
    <xf numFmtId="0" fontId="13" fillId="2" borderId="19" xfId="0" applyFont="1" applyFill="1" applyBorder="1" applyAlignment="1">
      <alignment horizontal="left" vertical="center" wrapText="1"/>
    </xf>
    <xf numFmtId="0" fontId="13" fillId="2" borderId="0" xfId="0" applyFont="1" applyFill="1" applyAlignment="1">
      <alignment vertical="center" wrapText="1"/>
    </xf>
    <xf numFmtId="0" fontId="0" fillId="0" borderId="33" xfId="0" applyBorder="1"/>
    <xf numFmtId="0" fontId="0" fillId="0" borderId="29" xfId="0" applyBorder="1"/>
    <xf numFmtId="0" fontId="0" fillId="2" borderId="32" xfId="0" applyFill="1" applyBorder="1"/>
    <xf numFmtId="0" fontId="0" fillId="2" borderId="30" xfId="0" applyFill="1" applyBorder="1"/>
    <xf numFmtId="0" fontId="30" fillId="2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29" fillId="0" borderId="0" xfId="0" applyFont="1"/>
    <xf numFmtId="0" fontId="31" fillId="0" borderId="0" xfId="1" applyFont="1"/>
    <xf numFmtId="0" fontId="29" fillId="2" borderId="0" xfId="0" applyFont="1" applyFill="1"/>
    <xf numFmtId="0" fontId="29" fillId="4" borderId="31" xfId="0" applyFont="1" applyFill="1" applyBorder="1"/>
    <xf numFmtId="0" fontId="29" fillId="0" borderId="37" xfId="0" applyFont="1" applyBorder="1"/>
    <xf numFmtId="0" fontId="0" fillId="0" borderId="0" xfId="0" applyAlignment="1">
      <alignment horizontal="left" vertical="top"/>
    </xf>
    <xf numFmtId="0" fontId="0" fillId="0" borderId="33" xfId="0" applyBorder="1" applyAlignment="1">
      <alignment horizontal="center" vertical="center"/>
    </xf>
    <xf numFmtId="0" fontId="0" fillId="0" borderId="33" xfId="0" applyBorder="1" applyAlignment="1">
      <alignment horizontal="right" vertical="top"/>
    </xf>
    <xf numFmtId="0" fontId="35" fillId="0" borderId="33" xfId="1" applyFont="1" applyBorder="1" applyAlignment="1">
      <alignment horizontal="left" vertical="top" indent="1"/>
    </xf>
    <xf numFmtId="0" fontId="35" fillId="0" borderId="33" xfId="1" applyFont="1" applyBorder="1" applyAlignment="1">
      <alignment horizontal="left" indent="1"/>
    </xf>
    <xf numFmtId="0" fontId="29" fillId="0" borderId="31" xfId="0" applyFont="1" applyBorder="1"/>
    <xf numFmtId="0" fontId="13" fillId="2" borderId="25" xfId="0" applyFont="1" applyFill="1" applyBorder="1"/>
    <xf numFmtId="0" fontId="13" fillId="2" borderId="0" xfId="0" applyFont="1" applyFill="1" applyAlignment="1">
      <alignment horizontal="justify" vertical="center"/>
    </xf>
    <xf numFmtId="0" fontId="9" fillId="2" borderId="24" xfId="0" applyFont="1" applyFill="1" applyBorder="1"/>
    <xf numFmtId="0" fontId="12" fillId="2" borderId="0" xfId="0" applyFont="1" applyFill="1" applyAlignment="1">
      <alignment horizontal="center"/>
    </xf>
    <xf numFmtId="0" fontId="9" fillId="2" borderId="30" xfId="0" applyFont="1" applyFill="1" applyBorder="1"/>
    <xf numFmtId="0" fontId="10" fillId="0" borderId="39" xfId="0" applyFont="1" applyBorder="1" applyAlignment="1">
      <alignment horizontal="center" vertical="center" wrapText="1"/>
    </xf>
    <xf numFmtId="2" fontId="5" fillId="0" borderId="40" xfId="0" applyNumberFormat="1" applyFont="1" applyBorder="1" applyAlignment="1">
      <alignment horizontal="center" vertical="center"/>
    </xf>
    <xf numFmtId="2" fontId="5" fillId="0" borderId="41" xfId="0" applyNumberFormat="1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 wrapText="1"/>
    </xf>
    <xf numFmtId="0" fontId="5" fillId="0" borderId="1" xfId="0" quotePrefix="1" applyFont="1" applyBorder="1"/>
    <xf numFmtId="0" fontId="38" fillId="0" borderId="0" xfId="0" applyFont="1"/>
    <xf numFmtId="0" fontId="5" fillId="0" borderId="5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165" fontId="0" fillId="0" borderId="0" xfId="0" applyNumberFormat="1"/>
    <xf numFmtId="167" fontId="0" fillId="0" borderId="0" xfId="0" applyNumberFormat="1"/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8" fontId="5" fillId="0" borderId="0" xfId="0" applyNumberFormat="1" applyFont="1"/>
    <xf numFmtId="0" fontId="32" fillId="4" borderId="31" xfId="0" applyFont="1" applyFill="1" applyBorder="1" applyAlignment="1">
      <alignment horizontal="center" vertical="center"/>
    </xf>
    <xf numFmtId="0" fontId="33" fillId="4" borderId="31" xfId="0" applyFont="1" applyFill="1" applyBorder="1" applyAlignment="1">
      <alignment horizontal="center" vertical="center"/>
    </xf>
    <xf numFmtId="0" fontId="34" fillId="0" borderId="31" xfId="0" applyFont="1" applyBorder="1" applyAlignment="1">
      <alignment vertical="center"/>
    </xf>
    <xf numFmtId="0" fontId="0" fillId="0" borderId="31" xfId="0" applyBorder="1" applyAlignment="1">
      <alignment horizontal="left" vertical="center"/>
    </xf>
    <xf numFmtId="0" fontId="24" fillId="2" borderId="0" xfId="0" applyFont="1" applyFill="1" applyAlignment="1">
      <alignment horizontal="center" wrapText="1"/>
    </xf>
    <xf numFmtId="0" fontId="25" fillId="4" borderId="31" xfId="0" applyFont="1" applyFill="1" applyBorder="1" applyAlignment="1">
      <alignment horizontal="center" vertical="center"/>
    </xf>
    <xf numFmtId="0" fontId="25" fillId="0" borderId="31" xfId="0" applyFont="1" applyBorder="1" applyAlignment="1">
      <alignment horizontal="center" vertical="center"/>
    </xf>
    <xf numFmtId="0" fontId="26" fillId="4" borderId="31" xfId="0" applyFont="1" applyFill="1" applyBorder="1" applyAlignment="1">
      <alignment horizontal="center" vertical="center"/>
    </xf>
    <xf numFmtId="0" fontId="26" fillId="0" borderId="31" xfId="0" applyFont="1" applyBorder="1" applyAlignment="1">
      <alignment horizontal="center" vertical="center"/>
    </xf>
    <xf numFmtId="0" fontId="26" fillId="4" borderId="31" xfId="0" applyFont="1" applyFill="1" applyBorder="1" applyAlignment="1">
      <alignment vertical="center"/>
    </xf>
    <xf numFmtId="0" fontId="26" fillId="0" borderId="31" xfId="0" applyFont="1" applyBorder="1" applyAlignment="1">
      <alignment vertical="center"/>
    </xf>
    <xf numFmtId="0" fontId="0" fillId="0" borderId="36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5" xfId="0" applyBorder="1" applyAlignment="1">
      <alignment horizontal="center"/>
    </xf>
    <xf numFmtId="0" fontId="24" fillId="2" borderId="0" xfId="0" applyFont="1" applyFill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5" fillId="0" borderId="8" xfId="0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7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1" fillId="4" borderId="21" xfId="0" applyFont="1" applyFill="1" applyBorder="1" applyAlignment="1">
      <alignment horizontal="justify" vertical="center"/>
    </xf>
    <xf numFmtId="0" fontId="5" fillId="0" borderId="8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3" fillId="2" borderId="19" xfId="0" applyFont="1" applyFill="1" applyBorder="1" applyAlignment="1">
      <alignment horizontal="center" vertical="top" wrapText="1"/>
    </xf>
    <xf numFmtId="0" fontId="6" fillId="4" borderId="21" xfId="0" applyFont="1" applyFill="1" applyBorder="1" applyAlignment="1">
      <alignment horizontal="center" vertical="center"/>
    </xf>
    <xf numFmtId="0" fontId="6" fillId="4" borderId="2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11" fillId="4" borderId="21" xfId="0" applyFont="1" applyFill="1" applyBorder="1" applyAlignment="1">
      <alignment horizontal="center" vertical="center"/>
    </xf>
    <xf numFmtId="0" fontId="5" fillId="0" borderId="13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0" fillId="0" borderId="19" xfId="0" applyBorder="1" applyAlignment="1">
      <alignment horizontal="center" vertical="top"/>
    </xf>
    <xf numFmtId="0" fontId="14" fillId="4" borderId="21" xfId="0" applyFont="1" applyFill="1" applyBorder="1" applyAlignment="1">
      <alignment horizontal="center" vertical="center"/>
    </xf>
    <xf numFmtId="0" fontId="14" fillId="4" borderId="22" xfId="0" applyFont="1" applyFill="1" applyBorder="1" applyAlignment="1">
      <alignment horizontal="center" vertical="center"/>
    </xf>
    <xf numFmtId="0" fontId="7" fillId="0" borderId="8" xfId="0" applyFont="1" applyBorder="1" applyAlignment="1">
      <alignment horizontal="center"/>
    </xf>
    <xf numFmtId="0" fontId="0" fillId="0" borderId="19" xfId="0" applyBorder="1" applyAlignment="1">
      <alignment horizontal="center" vertical="top" wrapText="1"/>
    </xf>
    <xf numFmtId="0" fontId="17" fillId="4" borderId="21" xfId="0" applyFont="1" applyFill="1" applyBorder="1" applyAlignment="1">
      <alignment horizontal="center" vertical="center"/>
    </xf>
    <xf numFmtId="0" fontId="17" fillId="4" borderId="22" xfId="0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left" vertical="center"/>
    </xf>
    <xf numFmtId="0" fontId="0" fillId="0" borderId="19" xfId="0" applyBorder="1" applyAlignment="1">
      <alignment vertical="top"/>
    </xf>
    <xf numFmtId="0" fontId="0" fillId="0" borderId="25" xfId="0" applyBorder="1" applyAlignment="1">
      <alignment vertical="top"/>
    </xf>
    <xf numFmtId="0" fontId="16" fillId="0" borderId="1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5" fillId="0" borderId="36" xfId="0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9" fillId="2" borderId="0" xfId="0" applyFont="1" applyFill="1" applyAlignment="1">
      <alignment horizontal="center" vertical="top" wrapText="1"/>
    </xf>
    <xf numFmtId="0" fontId="24" fillId="0" borderId="0" xfId="0" applyFont="1" applyAlignment="1">
      <alignment horizontal="center" vertical="top" wrapText="1"/>
    </xf>
    <xf numFmtId="0" fontId="24" fillId="0" borderId="30" xfId="0" applyFont="1" applyBorder="1" applyAlignment="1">
      <alignment horizontal="center" vertical="top" wrapText="1"/>
    </xf>
    <xf numFmtId="0" fontId="5" fillId="0" borderId="23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0" xfId="0" applyBorder="1" applyAlignment="1">
      <alignment horizontal="center" vertical="top"/>
    </xf>
    <xf numFmtId="0" fontId="24" fillId="0" borderId="0" xfId="0" applyFont="1" applyAlignment="1">
      <alignment vertical="top" wrapText="1"/>
    </xf>
    <xf numFmtId="0" fontId="11" fillId="4" borderId="10" xfId="0" applyFont="1" applyFill="1" applyBorder="1" applyAlignment="1">
      <alignment horizontal="left" vertical="center"/>
    </xf>
    <xf numFmtId="0" fontId="5" fillId="4" borderId="10" xfId="0" applyFont="1" applyFill="1" applyBorder="1" applyAlignment="1">
      <alignment horizontal="left" vertical="center"/>
    </xf>
    <xf numFmtId="0" fontId="20" fillId="4" borderId="21" xfId="0" applyFont="1" applyFill="1" applyBorder="1" applyAlignment="1">
      <alignment horizontal="center" vertical="center"/>
    </xf>
    <xf numFmtId="0" fontId="20" fillId="4" borderId="22" xfId="0" applyFont="1" applyFill="1" applyBorder="1" applyAlignment="1">
      <alignment horizontal="center" vertical="center"/>
    </xf>
    <xf numFmtId="0" fontId="18" fillId="0" borderId="8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14" xfId="0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11" fillId="4" borderId="10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wrapText="1"/>
    </xf>
    <xf numFmtId="0" fontId="10" fillId="0" borderId="3" xfId="0" applyFont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3" fillId="2" borderId="0" xfId="0" applyFont="1" applyFill="1" applyAlignment="1">
      <alignment vertical="center" wrapText="1"/>
    </xf>
    <xf numFmtId="0" fontId="13" fillId="2" borderId="0" xfId="0" applyFont="1" applyFill="1" applyAlignment="1">
      <alignment horizontal="left" vertical="center" wrapText="1"/>
    </xf>
    <xf numFmtId="0" fontId="17" fillId="4" borderId="10" xfId="0" applyFont="1" applyFill="1" applyBorder="1" applyAlignment="1">
      <alignment horizontal="left" vertical="center"/>
    </xf>
    <xf numFmtId="0" fontId="10" fillId="0" borderId="4" xfId="0" applyFont="1" applyBorder="1" applyAlignment="1">
      <alignment horizontal="center" wrapText="1"/>
    </xf>
    <xf numFmtId="0" fontId="10" fillId="0" borderId="17" xfId="0" applyFont="1" applyBorder="1" applyAlignment="1">
      <alignment horizontal="center" wrapText="1"/>
    </xf>
    <xf numFmtId="0" fontId="18" fillId="0" borderId="2" xfId="0" applyFont="1" applyBorder="1" applyAlignment="1">
      <alignment horizontal="center"/>
    </xf>
    <xf numFmtId="0" fontId="14" fillId="0" borderId="31" xfId="0" applyFont="1" applyBorder="1" applyAlignment="1">
      <alignment vertical="center"/>
    </xf>
    <xf numFmtId="0" fontId="11" fillId="0" borderId="31" xfId="0" applyFont="1" applyBorder="1" applyAlignment="1">
      <alignment horizontal="left" vertical="center"/>
    </xf>
    <xf numFmtId="0" fontId="5" fillId="0" borderId="0" xfId="0" applyFont="1" applyAlignment="1">
      <alignment horizontal="left" vertical="top"/>
    </xf>
    <xf numFmtId="0" fontId="5" fillId="0" borderId="33" xfId="0" applyFont="1" applyBorder="1" applyAlignment="1">
      <alignment horizontal="right"/>
    </xf>
    <xf numFmtId="0" fontId="0" fillId="0" borderId="0" xfId="0" applyAlignment="1"/>
    <xf numFmtId="0" fontId="11" fillId="4" borderId="21" xfId="0" applyFont="1" applyFill="1" applyBorder="1" applyAlignment="1">
      <alignment horizontal="left" vertical="center"/>
    </xf>
    <xf numFmtId="0" fontId="5" fillId="4" borderId="21" xfId="0" applyFont="1" applyFill="1" applyBorder="1"/>
    <xf numFmtId="0" fontId="7" fillId="0" borderId="7" xfId="0" applyFont="1" applyBorder="1" applyAlignment="1">
      <alignment horizontal="center"/>
    </xf>
    <xf numFmtId="166" fontId="5" fillId="0" borderId="0" xfId="0" applyNumberFormat="1" applyFont="1"/>
    <xf numFmtId="166" fontId="5" fillId="0" borderId="1" xfId="0" applyNumberFormat="1" applyFont="1" applyBorder="1"/>
    <xf numFmtId="165" fontId="5" fillId="0" borderId="10" xfId="0" applyNumberFormat="1" applyFont="1" applyBorder="1"/>
    <xf numFmtId="0" fontId="5" fillId="0" borderId="1" xfId="0" applyFont="1" applyBorder="1" applyAlignment="1">
      <alignment horizontal="center" vertical="center" wrapText="1"/>
    </xf>
    <xf numFmtId="0" fontId="0" fillId="0" borderId="19" xfId="0" applyBorder="1" applyAlignment="1"/>
    <xf numFmtId="0" fontId="7" fillId="0" borderId="1" xfId="0" applyFont="1" applyBorder="1" applyAlignment="1">
      <alignment horizontal="center"/>
    </xf>
    <xf numFmtId="169" fontId="5" fillId="0" borderId="0" xfId="0" applyNumberFormat="1" applyFont="1"/>
    <xf numFmtId="0" fontId="10" fillId="0" borderId="16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 wrapText="1"/>
    </xf>
    <xf numFmtId="0" fontId="10" fillId="0" borderId="43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5" xfId="0" applyFont="1" applyBorder="1" applyAlignment="1">
      <alignment horizontal="right"/>
    </xf>
    <xf numFmtId="0" fontId="18" fillId="0" borderId="0" xfId="0" applyFont="1"/>
    <xf numFmtId="0" fontId="19" fillId="0" borderId="0" xfId="0" applyFont="1"/>
    <xf numFmtId="0" fontId="5" fillId="3" borderId="1" xfId="0" applyFont="1" applyFill="1" applyBorder="1"/>
    <xf numFmtId="0" fontId="5" fillId="0" borderId="7" xfId="0" applyFont="1" applyBorder="1"/>
    <xf numFmtId="1" fontId="5" fillId="0" borderId="1" xfId="0" applyNumberFormat="1" applyFont="1" applyBorder="1"/>
    <xf numFmtId="1" fontId="5" fillId="0" borderId="0" xfId="0" applyNumberFormat="1" applyFont="1"/>
  </cellXfs>
  <cellStyles count="2">
    <cellStyle name="常规" xfId="0" builtinId="0"/>
    <cellStyle name="超链接" xfId="1" builtinId="8"/>
  </cellStyles>
  <dxfs count="4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8B4513"/>
      <color rgb="FF0000CD"/>
      <color rgb="FF008080"/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V-n Diagram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 n-V diagram'!$F$14</c:f>
              <c:strCache>
                <c:ptCount val="1"/>
                <c:pt idx="0">
                  <c:v>Left up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diagram'!$D$15:$D$37</c:f>
              <c:numCache>
                <c:formatCode>0.0</c:formatCode>
                <c:ptCount val="23"/>
                <c:pt idx="0">
                  <c:v>0</c:v>
                </c:pt>
                <c:pt idx="1">
                  <c:v>36</c:v>
                </c:pt>
                <c:pt idx="2">
                  <c:v>75.600000000000009</c:v>
                </c:pt>
                <c:pt idx="3">
                  <c:v>82.08</c:v>
                </c:pt>
                <c:pt idx="4">
                  <c:v>90</c:v>
                </c:pt>
                <c:pt idx="5">
                  <c:v>97.2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165.6</c:v>
                </c:pt>
                <c:pt idx="11">
                  <c:v>169.20000000000002</c:v>
                </c:pt>
                <c:pt idx="12">
                  <c:v>172.8</c:v>
                </c:pt>
                <c:pt idx="13">
                  <c:v>176.4</c:v>
                </c:pt>
                <c:pt idx="14">
                  <c:v>180</c:v>
                </c:pt>
                <c:pt idx="15">
                  <c:v>500.41079999999994</c:v>
                </c:pt>
                <c:pt idx="16">
                  <c:v>187.20000000000002</c:v>
                </c:pt>
                <c:pt idx="17">
                  <c:v>190.8</c:v>
                </c:pt>
                <c:pt idx="18">
                  <c:v>194.4</c:v>
                </c:pt>
                <c:pt idx="19">
                  <c:v>198</c:v>
                </c:pt>
                <c:pt idx="20">
                  <c:v>650.48702898185968</c:v>
                </c:pt>
                <c:pt idx="21">
                  <c:v>205.20000000000002</c:v>
                </c:pt>
                <c:pt idx="22">
                  <c:v>208.8</c:v>
                </c:pt>
              </c:numCache>
            </c:numRef>
          </c:xVal>
          <c:yVal>
            <c:numRef>
              <c:f>' n-V diagram'!$F$15:$F$37</c:f>
              <c:numCache>
                <c:formatCode>0.0</c:formatCode>
                <c:ptCount val="23"/>
                <c:pt idx="0">
                  <c:v>0</c:v>
                </c:pt>
                <c:pt idx="1">
                  <c:v>1.1485740167509265E-2</c:v>
                </c:pt>
                <c:pt idx="2">
                  <c:v>5.0652114138715856E-2</c:v>
                </c:pt>
                <c:pt idx="3">
                  <c:v>5.9707471686780172E-2</c:v>
                </c:pt>
                <c:pt idx="4">
                  <c:v>7.17858760469329E-2</c:v>
                </c:pt>
                <c:pt idx="5">
                  <c:v>8.3731045821142533E-2</c:v>
                </c:pt>
                <c:pt idx="6">
                  <c:v>0.10337166150758337</c:v>
                </c:pt>
                <c:pt idx="7">
                  <c:v>0.14070031705198849</c:v>
                </c:pt>
                <c:pt idx="8">
                  <c:v>0.18377184268014823</c:v>
                </c:pt>
                <c:pt idx="9">
                  <c:v>0.23258623839206258</c:v>
                </c:pt>
                <c:pt idx="10">
                  <c:v>0.24303826194449607</c:v>
                </c:pt>
                <c:pt idx="11">
                  <c:v>0.25372000030027964</c:v>
                </c:pt>
                <c:pt idx="12">
                  <c:v>0.26463145345941347</c:v>
                </c:pt>
                <c:pt idx="13">
                  <c:v>0.27577262142189746</c:v>
                </c:pt>
                <c:pt idx="14">
                  <c:v>0.2871435041877316</c:v>
                </c:pt>
                <c:pt idx="15">
                  <c:v>2.2192556498711782</c:v>
                </c:pt>
                <c:pt idx="16">
                  <c:v>0.31057441412945053</c:v>
                </c:pt>
                <c:pt idx="17">
                  <c:v>0.32263444130533525</c:v>
                </c:pt>
                <c:pt idx="18">
                  <c:v>0.33492418328457013</c:v>
                </c:pt>
                <c:pt idx="19">
                  <c:v>0.34744364006715528</c:v>
                </c:pt>
                <c:pt idx="20">
                  <c:v>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18-46FF-81A7-7DD817640B4F}"/>
            </c:ext>
          </c:extLst>
        </c:ser>
        <c:ser>
          <c:idx val="1"/>
          <c:order val="1"/>
          <c:tx>
            <c:strRef>
              <c:f>' n-V diagram'!$G$14</c:f>
              <c:strCache>
                <c:ptCount val="1"/>
                <c:pt idx="0">
                  <c:v>Left down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diagram'!$D$15:$D$37</c:f>
              <c:numCache>
                <c:formatCode>0.0</c:formatCode>
                <c:ptCount val="23"/>
                <c:pt idx="0">
                  <c:v>0</c:v>
                </c:pt>
                <c:pt idx="1">
                  <c:v>36</c:v>
                </c:pt>
                <c:pt idx="2">
                  <c:v>75.600000000000009</c:v>
                </c:pt>
                <c:pt idx="3">
                  <c:v>82.08</c:v>
                </c:pt>
                <c:pt idx="4">
                  <c:v>90</c:v>
                </c:pt>
                <c:pt idx="5">
                  <c:v>97.2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165.6</c:v>
                </c:pt>
                <c:pt idx="11">
                  <c:v>169.20000000000002</c:v>
                </c:pt>
                <c:pt idx="12">
                  <c:v>172.8</c:v>
                </c:pt>
                <c:pt idx="13">
                  <c:v>176.4</c:v>
                </c:pt>
                <c:pt idx="14">
                  <c:v>180</c:v>
                </c:pt>
                <c:pt idx="15">
                  <c:v>500.41079999999994</c:v>
                </c:pt>
                <c:pt idx="16">
                  <c:v>187.20000000000002</c:v>
                </c:pt>
                <c:pt idx="17">
                  <c:v>190.8</c:v>
                </c:pt>
                <c:pt idx="18">
                  <c:v>194.4</c:v>
                </c:pt>
                <c:pt idx="19">
                  <c:v>198</c:v>
                </c:pt>
                <c:pt idx="20">
                  <c:v>650.48702898185968</c:v>
                </c:pt>
                <c:pt idx="21">
                  <c:v>205.20000000000002</c:v>
                </c:pt>
                <c:pt idx="22">
                  <c:v>208.8</c:v>
                </c:pt>
              </c:numCache>
            </c:numRef>
          </c:xVal>
          <c:yVal>
            <c:numRef>
              <c:f>' n-V diagram'!$G$15:$G$37</c:f>
              <c:numCache>
                <c:formatCode>0.0</c:formatCode>
                <c:ptCount val="23"/>
                <c:pt idx="0">
                  <c:v>0</c:v>
                </c:pt>
                <c:pt idx="1">
                  <c:v>-7.766601240029509E-3</c:v>
                </c:pt>
                <c:pt idx="2">
                  <c:v>-3.4250711468530121E-2</c:v>
                </c:pt>
                <c:pt idx="3">
                  <c:v>-4.03738998861694E-2</c:v>
                </c:pt>
                <c:pt idx="4">
                  <c:v>-4.8541257750184426E-2</c:v>
                </c:pt>
                <c:pt idx="5">
                  <c:v>-5.6618523039815113E-2</c:v>
                </c:pt>
                <c:pt idx="6">
                  <c:v>-6.9899411160265559E-2</c:v>
                </c:pt>
                <c:pt idx="7">
                  <c:v>-9.5140865190361468E-2</c:v>
                </c:pt>
                <c:pt idx="8">
                  <c:v>-0.12426561984047214</c:v>
                </c:pt>
                <c:pt idx="9">
                  <c:v>-0.15727367511059748</c:v>
                </c:pt>
                <c:pt idx="10">
                  <c:v>-0.16434128223902439</c:v>
                </c:pt>
                <c:pt idx="11">
                  <c:v>-0.17156422139225183</c:v>
                </c:pt>
                <c:pt idx="12">
                  <c:v>-0.17894249257027986</c:v>
                </c:pt>
                <c:pt idx="13">
                  <c:v>-0.1864760957731085</c:v>
                </c:pt>
                <c:pt idx="14">
                  <c:v>-0.1941650310007377</c:v>
                </c:pt>
                <c:pt idx="15">
                  <c:v>-1.5006497997394368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18-46FF-81A7-7DD817640B4F}"/>
            </c:ext>
          </c:extLst>
        </c:ser>
        <c:ser>
          <c:idx val="2"/>
          <c:order val="2"/>
          <c:tx>
            <c:strRef>
              <c:f>' n-V diagram'!$J$15:$J$16</c:f>
              <c:strCache>
                <c:ptCount val="2"/>
                <c:pt idx="0">
                  <c:v>650</c:v>
                </c:pt>
                <c:pt idx="1">
                  <c:v>724.59972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diagram'!$J$15:$J$16</c:f>
              <c:numCache>
                <c:formatCode>General</c:formatCode>
                <c:ptCount val="2"/>
                <c:pt idx="0" formatCode="0">
                  <c:v>650.48702898185968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diagram'!$K$15:$K$16</c:f>
              <c:numCache>
                <c:formatCode>General</c:formatCode>
                <c:ptCount val="2"/>
                <c:pt idx="0">
                  <c:v>3.75</c:v>
                </c:pt>
                <c:pt idx="1">
                  <c:v>3.75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18-46FF-81A7-7DD817640B4F}"/>
            </c:ext>
          </c:extLst>
        </c:ser>
        <c:ser>
          <c:idx val="3"/>
          <c:order val="3"/>
          <c:tx>
            <c:v>Ultimate Load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diagram'!$J$21:$J$22</c:f>
              <c:numCache>
                <c:formatCode>General</c:formatCode>
                <c:ptCount val="2"/>
                <c:pt idx="0" formatCode="0">
                  <c:v>500.41079999999994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diagram'!$K$21:$K$22</c:f>
              <c:numCache>
                <c:formatCode>General</c:formatCode>
                <c:ptCount val="2"/>
                <c:pt idx="0">
                  <c:v>-1.5</c:v>
                </c:pt>
                <c:pt idx="1">
                  <c:v>-1.5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18-46FF-81A7-7DD817640B4F}"/>
            </c:ext>
          </c:extLst>
        </c:ser>
        <c:ser>
          <c:idx val="4"/>
          <c:order val="4"/>
          <c:tx>
            <c:strRef>
              <c:f>' n-V diagram'!$J$15:$J$16</c:f>
              <c:strCache>
                <c:ptCount val="2"/>
                <c:pt idx="0">
                  <c:v>650</c:v>
                </c:pt>
                <c:pt idx="1">
                  <c:v>724.59972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diagram'!$J$27:$J$28</c:f>
              <c:numCache>
                <c:formatCode>General</c:formatCode>
                <c:ptCount val="2"/>
                <c:pt idx="0">
                  <c:v>724.59972000000005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diagram'!$K$27:$K$28</c:f>
              <c:numCache>
                <c:formatCode>General</c:formatCode>
                <c:ptCount val="2"/>
                <c:pt idx="0">
                  <c:v>3.75</c:v>
                </c:pt>
                <c:pt idx="1">
                  <c:v>-1.5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C18-46FF-81A7-7DD817640B4F}"/>
            </c:ext>
          </c:extLst>
        </c:ser>
        <c:ser>
          <c:idx val="5"/>
          <c:order val="5"/>
          <c:tx>
            <c:v>Limit Load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 n-V diagram'!$K$32:$K$33</c:f>
              <c:numCache>
                <c:formatCode>0</c:formatCode>
                <c:ptCount val="2"/>
                <c:pt idx="0">
                  <c:v>531.02987999999993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diagram'!$J$32:$J$34</c:f>
              <c:numCache>
                <c:formatCode>0.00</c:formatCode>
                <c:ptCount val="3"/>
                <c:pt idx="0">
                  <c:v>2.5</c:v>
                </c:pt>
                <c:pt idx="1">
                  <c:v>2.5</c:v>
                </c:pt>
                <c:pt idx="2">
                  <c:v>-1.0004331998262912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82-4507-BBB8-7DEDD0DB22E0}"/>
            </c:ext>
          </c:extLst>
        </c:ser>
        <c:ser>
          <c:idx val="6"/>
          <c:order val="6"/>
          <c:tx>
            <c:v>Lower Limit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 n-V diagram'!$K$34:$K$35</c:f>
              <c:numCache>
                <c:formatCode>0</c:formatCode>
                <c:ptCount val="2"/>
                <c:pt idx="0">
                  <c:v>408.63240000000002</c:v>
                </c:pt>
                <c:pt idx="1">
                  <c:v>724.59972000000005</c:v>
                </c:pt>
              </c:numCache>
            </c:numRef>
          </c:xVal>
          <c:yVal>
            <c:numRef>
              <c:f>' n-V diagram'!$J$34:$J$35</c:f>
              <c:numCache>
                <c:formatCode>0.00</c:formatCode>
                <c:ptCount val="2"/>
                <c:pt idx="0">
                  <c:v>-1.0004331998262912</c:v>
                </c:pt>
                <c:pt idx="1">
                  <c:v>-1.0004331998262912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82-4507-BBB8-7DEDD0DB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46368"/>
        <c:axId val="235948288"/>
      </c:scatterChart>
      <c:valAx>
        <c:axId val="235946368"/>
        <c:scaling>
          <c:orientation val="minMax"/>
          <c:max val="2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EAS,</a:t>
                </a:r>
                <a:r>
                  <a:rPr lang="en-GB" baseline="0"/>
                  <a:t> km/hr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48288"/>
        <c:crosses val="autoZero"/>
        <c:crossBetween val="midCat"/>
        <c:majorUnit val="20"/>
      </c:valAx>
      <c:valAx>
        <c:axId val="235948288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</a:t>
                </a:r>
                <a:r>
                  <a:rPr lang="en-GB" baseline="0"/>
                  <a:t> Factor, 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463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4"/>
        <c:delete val="1"/>
      </c:legendEntry>
      <c:legendEntry>
        <c:idx val="6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diagram'!$C$42:$C$50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</c:numCache>
            </c:numRef>
          </c:xVal>
          <c:yVal>
            <c:numRef>
              <c:f>' n-V diagram'!$F$42:$F$50</c:f>
              <c:numCache>
                <c:formatCode>0.00</c:formatCode>
                <c:ptCount val="9"/>
                <c:pt idx="0">
                  <c:v>0.13109999999999999</c:v>
                </c:pt>
                <c:pt idx="1">
                  <c:v>0.1136479930191972</c:v>
                </c:pt>
                <c:pt idx="2">
                  <c:v>9.619598603839441E-2</c:v>
                </c:pt>
                <c:pt idx="3">
                  <c:v>7.8743979057591618E-2</c:v>
                </c:pt>
                <c:pt idx="4">
                  <c:v>6.1291972076788825E-2</c:v>
                </c:pt>
                <c:pt idx="5">
                  <c:v>4.3839965095986033E-2</c:v>
                </c:pt>
                <c:pt idx="6">
                  <c:v>2.6387958115183241E-2</c:v>
                </c:pt>
                <c:pt idx="7">
                  <c:v>1.7661954624781845E-2</c:v>
                </c:pt>
                <c:pt idx="8">
                  <c:v>8.9359511343804487E-3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F-40BF-ADB3-AF1CCD69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80672"/>
        <c:axId val="235982208"/>
      </c:scatterChart>
      <c:valAx>
        <c:axId val="23598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82208"/>
        <c:crosses val="autoZero"/>
        <c:crossBetween val="midCat"/>
      </c:valAx>
      <c:valAx>
        <c:axId val="2359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8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 n-V diagram'!$C$42:$C$50</c:f>
              <c:numCache>
                <c:formatCode>General</c:formatCode>
                <c:ptCount val="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</c:numCache>
            </c:numRef>
          </c:xVal>
          <c:yVal>
            <c:numRef>
              <c:f>' n-V diagram'!$E$42:$E$50</c:f>
              <c:numCache>
                <c:formatCode>0.00</c:formatCode>
                <c:ptCount val="9"/>
                <c:pt idx="0">
                  <c:v>0.52</c:v>
                </c:pt>
                <c:pt idx="1">
                  <c:v>0.67483071553228624</c:v>
                </c:pt>
                <c:pt idx="2">
                  <c:v>0.82966143106457246</c:v>
                </c:pt>
                <c:pt idx="3">
                  <c:v>0.98449214659685869</c:v>
                </c:pt>
                <c:pt idx="4">
                  <c:v>1.1393228621291449</c:v>
                </c:pt>
                <c:pt idx="5">
                  <c:v>1.2941535776614312</c:v>
                </c:pt>
                <c:pt idx="6">
                  <c:v>1.4489842931937174</c:v>
                </c:pt>
                <c:pt idx="7">
                  <c:v>1.5263996509598605</c:v>
                </c:pt>
                <c:pt idx="8">
                  <c:v>1.6038150087260035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F-40BF-ADB3-AF1CCD69E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98592"/>
        <c:axId val="236008576"/>
      </c:scatterChart>
      <c:valAx>
        <c:axId val="23599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008576"/>
        <c:crosses val="autoZero"/>
        <c:crossBetween val="midCat"/>
      </c:valAx>
      <c:valAx>
        <c:axId val="23600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998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742322362"/>
          <c:y val="6.4431366910754934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load'!$H$46:$H$105</c:f>
              <c:numCache>
                <c:formatCode>0.0</c:formatCode>
                <c:ptCount val="60"/>
                <c:pt idx="0">
                  <c:v>1105335.9031187494</c:v>
                </c:pt>
                <c:pt idx="1">
                  <c:v>1047321.9128062492</c:v>
                </c:pt>
                <c:pt idx="2">
                  <c:v>989307.92249374918</c:v>
                </c:pt>
                <c:pt idx="3">
                  <c:v>931293.93218124914</c:v>
                </c:pt>
                <c:pt idx="4">
                  <c:v>873279.94186874898</c:v>
                </c:pt>
                <c:pt idx="5">
                  <c:v>815265.95155624894</c:v>
                </c:pt>
                <c:pt idx="6">
                  <c:v>757251.96124374878</c:v>
                </c:pt>
                <c:pt idx="7">
                  <c:v>699237.97093124874</c:v>
                </c:pt>
                <c:pt idx="8">
                  <c:v>694422.18061874877</c:v>
                </c:pt>
                <c:pt idx="9">
                  <c:v>689606.3903062488</c:v>
                </c:pt>
                <c:pt idx="10">
                  <c:v>684790.59999374882</c:v>
                </c:pt>
                <c:pt idx="11">
                  <c:v>679974.80968124885</c:v>
                </c:pt>
                <c:pt idx="12">
                  <c:v>449835.58186874934</c:v>
                </c:pt>
                <c:pt idx="13">
                  <c:v>445019.79155624937</c:v>
                </c:pt>
                <c:pt idx="14">
                  <c:v>440204.00124374934</c:v>
                </c:pt>
                <c:pt idx="15">
                  <c:v>435388.21093124937</c:v>
                </c:pt>
                <c:pt idx="16">
                  <c:v>430572.42061874934</c:v>
                </c:pt>
                <c:pt idx="17">
                  <c:v>425756.63030624937</c:v>
                </c:pt>
                <c:pt idx="18">
                  <c:v>420940.83999374934</c:v>
                </c:pt>
                <c:pt idx="19">
                  <c:v>416125.04968124937</c:v>
                </c:pt>
                <c:pt idx="20">
                  <c:v>411309.25936874934</c:v>
                </c:pt>
                <c:pt idx="21">
                  <c:v>406493.46905624936</c:v>
                </c:pt>
                <c:pt idx="22">
                  <c:v>401677.67874374933</c:v>
                </c:pt>
                <c:pt idx="23">
                  <c:v>396861.88843124936</c:v>
                </c:pt>
                <c:pt idx="24">
                  <c:v>392046.09811874933</c:v>
                </c:pt>
                <c:pt idx="25">
                  <c:v>387230.30780624936</c:v>
                </c:pt>
                <c:pt idx="26">
                  <c:v>382414.51749374933</c:v>
                </c:pt>
                <c:pt idx="27">
                  <c:v>377598.72718124936</c:v>
                </c:pt>
                <c:pt idx="28">
                  <c:v>372782.93686874938</c:v>
                </c:pt>
                <c:pt idx="29">
                  <c:v>367967.14655624941</c:v>
                </c:pt>
                <c:pt idx="30">
                  <c:v>363151.35624374944</c:v>
                </c:pt>
                <c:pt idx="31">
                  <c:v>358335.56593124947</c:v>
                </c:pt>
                <c:pt idx="32">
                  <c:v>353519.7756187495</c:v>
                </c:pt>
                <c:pt idx="33">
                  <c:v>348703.98530624952</c:v>
                </c:pt>
                <c:pt idx="34">
                  <c:v>343888.19499374955</c:v>
                </c:pt>
                <c:pt idx="35">
                  <c:v>113748.96718125</c:v>
                </c:pt>
                <c:pt idx="36">
                  <c:v>108933.17686875</c:v>
                </c:pt>
                <c:pt idx="37">
                  <c:v>104117.38655625</c:v>
                </c:pt>
                <c:pt idx="38">
                  <c:v>99301.596243749998</c:v>
                </c:pt>
                <c:pt idx="39">
                  <c:v>94485.805931249997</c:v>
                </c:pt>
                <c:pt idx="40">
                  <c:v>89670.015618749996</c:v>
                </c:pt>
                <c:pt idx="41">
                  <c:v>84854.225306249995</c:v>
                </c:pt>
                <c:pt idx="42">
                  <c:v>80038.434993749994</c:v>
                </c:pt>
                <c:pt idx="43">
                  <c:v>75222.644681249993</c:v>
                </c:pt>
                <c:pt idx="44">
                  <c:v>70406.854368749991</c:v>
                </c:pt>
                <c:pt idx="45">
                  <c:v>65591.06405624999</c:v>
                </c:pt>
                <c:pt idx="46">
                  <c:v>60775.273743749996</c:v>
                </c:pt>
                <c:pt idx="47">
                  <c:v>55959.483431249995</c:v>
                </c:pt>
                <c:pt idx="48">
                  <c:v>51143.693118749994</c:v>
                </c:pt>
                <c:pt idx="49">
                  <c:v>46327.902806249993</c:v>
                </c:pt>
                <c:pt idx="50">
                  <c:v>41512.112493749992</c:v>
                </c:pt>
                <c:pt idx="51">
                  <c:v>36696.322181249991</c:v>
                </c:pt>
                <c:pt idx="52">
                  <c:v>31880.531868749989</c:v>
                </c:pt>
                <c:pt idx="53">
                  <c:v>27064.741556249988</c:v>
                </c:pt>
                <c:pt idx="54">
                  <c:v>22248.951243749987</c:v>
                </c:pt>
                <c:pt idx="55">
                  <c:v>17433.160931249986</c:v>
                </c:pt>
                <c:pt idx="56">
                  <c:v>12617.370618749988</c:v>
                </c:pt>
                <c:pt idx="57">
                  <c:v>7801.5803062499881</c:v>
                </c:pt>
                <c:pt idx="58">
                  <c:v>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75520"/>
        <c:axId val="236491136"/>
      </c:scatterChart>
      <c:valAx>
        <c:axId val="2364755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91136"/>
        <c:crosses val="autoZero"/>
        <c:crossBetween val="midCat"/>
      </c:valAx>
      <c:valAx>
        <c:axId val="2364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rgbClr val="0000CD"/>
                </a:solidFill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load'!$J$46:$J$105</c:f>
              <c:numCache>
                <c:formatCode>0.0</c:formatCode>
                <c:ptCount val="60"/>
                <c:pt idx="0">
                  <c:v>9971247.3725802694</c:v>
                </c:pt>
                <c:pt idx="1">
                  <c:v>9433082.9185990207</c:v>
                </c:pt>
                <c:pt idx="2">
                  <c:v>8923925.4597740211</c:v>
                </c:pt>
                <c:pt idx="3">
                  <c:v>8443774.9961052705</c:v>
                </c:pt>
                <c:pt idx="4">
                  <c:v>7992631.527592768</c:v>
                </c:pt>
                <c:pt idx="5">
                  <c:v>7570495.0542365192</c:v>
                </c:pt>
                <c:pt idx="6">
                  <c:v>7177365.5760365194</c:v>
                </c:pt>
                <c:pt idx="7">
                  <c:v>6813243.0929927705</c:v>
                </c:pt>
                <c:pt idx="8">
                  <c:v>6464828.0551052717</c:v>
                </c:pt>
                <c:pt idx="9">
                  <c:v>6118820.9123740224</c:v>
                </c:pt>
                <c:pt idx="10">
                  <c:v>5775221.6647990225</c:v>
                </c:pt>
                <c:pt idx="11">
                  <c:v>5434030.3123802729</c:v>
                </c:pt>
                <c:pt idx="12">
                  <c:v>5151577.7144927727</c:v>
                </c:pt>
                <c:pt idx="13">
                  <c:v>4927863.8711365238</c:v>
                </c:pt>
                <c:pt idx="14">
                  <c:v>4706557.9229365252</c:v>
                </c:pt>
                <c:pt idx="15">
                  <c:v>4487659.8698927741</c:v>
                </c:pt>
                <c:pt idx="16">
                  <c:v>4271169.7120052753</c:v>
                </c:pt>
                <c:pt idx="17">
                  <c:v>4057087.4492740263</c:v>
                </c:pt>
                <c:pt idx="18">
                  <c:v>3845413.0816990263</c:v>
                </c:pt>
                <c:pt idx="19">
                  <c:v>3636146.6092802766</c:v>
                </c:pt>
                <c:pt idx="20">
                  <c:v>3429288.0320177772</c:v>
                </c:pt>
                <c:pt idx="21">
                  <c:v>3224837.3499115277</c:v>
                </c:pt>
                <c:pt idx="22">
                  <c:v>3022794.5629615276</c:v>
                </c:pt>
                <c:pt idx="23">
                  <c:v>2823159.6711677783</c:v>
                </c:pt>
                <c:pt idx="24">
                  <c:v>2625932.6745302784</c:v>
                </c:pt>
                <c:pt idx="25">
                  <c:v>2431113.5730490293</c:v>
                </c:pt>
                <c:pt idx="26">
                  <c:v>2238702.3667240292</c:v>
                </c:pt>
                <c:pt idx="27">
                  <c:v>2048699.0555552794</c:v>
                </c:pt>
                <c:pt idx="28">
                  <c:v>1861103.6395427794</c:v>
                </c:pt>
                <c:pt idx="29">
                  <c:v>1675916.1186865298</c:v>
                </c:pt>
                <c:pt idx="30">
                  <c:v>1493136.4929865298</c:v>
                </c:pt>
                <c:pt idx="31">
                  <c:v>1312764.7624427804</c:v>
                </c:pt>
                <c:pt idx="32">
                  <c:v>1134800.9270552807</c:v>
                </c:pt>
                <c:pt idx="33">
                  <c:v>959244.98682403099</c:v>
                </c:pt>
                <c:pt idx="34">
                  <c:v>786096.94174903107</c:v>
                </c:pt>
                <c:pt idx="35">
                  <c:v>671687.65120528126</c:v>
                </c:pt>
                <c:pt idx="36">
                  <c:v>616017.1151927812</c:v>
                </c:pt>
                <c:pt idx="37">
                  <c:v>562754.47433653113</c:v>
                </c:pt>
                <c:pt idx="38">
                  <c:v>511899.72863653128</c:v>
                </c:pt>
                <c:pt idx="39">
                  <c:v>463452.87809278117</c:v>
                </c:pt>
                <c:pt idx="40">
                  <c:v>417413.92270528123</c:v>
                </c:pt>
                <c:pt idx="41">
                  <c:v>373782.86247403122</c:v>
                </c:pt>
                <c:pt idx="42">
                  <c:v>332559.69739903125</c:v>
                </c:pt>
                <c:pt idx="43">
                  <c:v>293744.42748028121</c:v>
                </c:pt>
                <c:pt idx="44">
                  <c:v>257337.05271778119</c:v>
                </c:pt>
                <c:pt idx="45">
                  <c:v>223337.57311153118</c:v>
                </c:pt>
                <c:pt idx="46">
                  <c:v>191745.98866153118</c:v>
                </c:pt>
                <c:pt idx="47">
                  <c:v>162562.29936778118</c:v>
                </c:pt>
                <c:pt idx="48">
                  <c:v>135786.50523028115</c:v>
                </c:pt>
                <c:pt idx="49">
                  <c:v>111418.60624903117</c:v>
                </c:pt>
                <c:pt idx="50">
                  <c:v>89458.602424031182</c:v>
                </c:pt>
                <c:pt idx="51">
                  <c:v>69906.493755281204</c:v>
                </c:pt>
                <c:pt idx="52">
                  <c:v>52762.28024278122</c:v>
                </c:pt>
                <c:pt idx="53">
                  <c:v>38025.961886531215</c:v>
                </c:pt>
                <c:pt idx="54">
                  <c:v>25697.538686531221</c:v>
                </c:pt>
                <c:pt idx="55">
                  <c:v>15777.01064278123</c:v>
                </c:pt>
                <c:pt idx="56">
                  <c:v>8264.3777552812335</c:v>
                </c:pt>
                <c:pt idx="57">
                  <c:v>3159.6400240312405</c:v>
                </c:pt>
                <c:pt idx="58">
                  <c:v>462.79744903124623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0-49AE-886F-2CA988F58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16192"/>
        <c:axId val="269819264"/>
      </c:scatterChart>
      <c:valAx>
        <c:axId val="2698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9264"/>
        <c:crosses val="autoZero"/>
        <c:crossBetween val="midCat"/>
      </c:valAx>
      <c:valAx>
        <c:axId val="2698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6514225324258"/>
          <c:y val="6.4431176941294757E-2"/>
          <c:w val="0.81902170782179351"/>
          <c:h val="0.8170681974881048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C6-427F-8E6F-22E9CF36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805338062137304"/>
              <c:y val="0.88493154475706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5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1.2397979031795936E-2"/>
              <c:y val="0.103660401115208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742322362"/>
          <c:y val="6.4431366910754934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inertia load'!$AC$45:$AC$104</c:f>
              <c:numCache>
                <c:formatCode>0.00_ </c:formatCode>
                <c:ptCount val="60"/>
                <c:pt idx="0">
                  <c:v>-58013.990312500122</c:v>
                </c:pt>
                <c:pt idx="1">
                  <c:v>-58013.990312500122</c:v>
                </c:pt>
                <c:pt idx="2">
                  <c:v>-58013.990312500122</c:v>
                </c:pt>
                <c:pt idx="3">
                  <c:v>-58013.990312500122</c:v>
                </c:pt>
                <c:pt idx="4">
                  <c:v>-58013.990312500122</c:v>
                </c:pt>
                <c:pt idx="5">
                  <c:v>-58013.990312500122</c:v>
                </c:pt>
                <c:pt idx="6">
                  <c:v>-58013.990312500122</c:v>
                </c:pt>
                <c:pt idx="7">
                  <c:v>-4815.7903125000003</c:v>
                </c:pt>
                <c:pt idx="8">
                  <c:v>-4815.7903125000003</c:v>
                </c:pt>
                <c:pt idx="9">
                  <c:v>-4815.7903125000003</c:v>
                </c:pt>
                <c:pt idx="10">
                  <c:v>-4815.7903125000003</c:v>
                </c:pt>
                <c:pt idx="11">
                  <c:v>-230139.2278125</c:v>
                </c:pt>
                <c:pt idx="12">
                  <c:v>-4815.7903125000003</c:v>
                </c:pt>
                <c:pt idx="13">
                  <c:v>-4815.7903125000003</c:v>
                </c:pt>
                <c:pt idx="14">
                  <c:v>-4815.7903125000003</c:v>
                </c:pt>
                <c:pt idx="15">
                  <c:v>-4815.7903125000003</c:v>
                </c:pt>
                <c:pt idx="16">
                  <c:v>-4815.7903125000003</c:v>
                </c:pt>
                <c:pt idx="17">
                  <c:v>-4815.7903125000003</c:v>
                </c:pt>
                <c:pt idx="18">
                  <c:v>-4815.7903125000003</c:v>
                </c:pt>
                <c:pt idx="19">
                  <c:v>-4815.7903125000003</c:v>
                </c:pt>
                <c:pt idx="20">
                  <c:v>-4815.7903125000003</c:v>
                </c:pt>
                <c:pt idx="21">
                  <c:v>-4815.7903125000003</c:v>
                </c:pt>
                <c:pt idx="22">
                  <c:v>-4815.7903125000003</c:v>
                </c:pt>
                <c:pt idx="23">
                  <c:v>-4815.7903125000003</c:v>
                </c:pt>
                <c:pt idx="24">
                  <c:v>-4815.7903125000003</c:v>
                </c:pt>
                <c:pt idx="25">
                  <c:v>-4815.7903125000003</c:v>
                </c:pt>
                <c:pt idx="26">
                  <c:v>-4815.7903125000003</c:v>
                </c:pt>
                <c:pt idx="27">
                  <c:v>-4815.7903125000003</c:v>
                </c:pt>
                <c:pt idx="28">
                  <c:v>-4815.7903125000003</c:v>
                </c:pt>
                <c:pt idx="29">
                  <c:v>-4815.7903125000003</c:v>
                </c:pt>
                <c:pt idx="30">
                  <c:v>-4815.7903125000003</c:v>
                </c:pt>
                <c:pt idx="31">
                  <c:v>-4815.7903125000003</c:v>
                </c:pt>
                <c:pt idx="32">
                  <c:v>-4815.7903125000003</c:v>
                </c:pt>
                <c:pt idx="33">
                  <c:v>-4815.7903125000003</c:v>
                </c:pt>
                <c:pt idx="34">
                  <c:v>-230139.2278125</c:v>
                </c:pt>
                <c:pt idx="35">
                  <c:v>-4815.7903125000003</c:v>
                </c:pt>
                <c:pt idx="36">
                  <c:v>-4815.7903125000003</c:v>
                </c:pt>
                <c:pt idx="37">
                  <c:v>-4815.7903125000003</c:v>
                </c:pt>
                <c:pt idx="38">
                  <c:v>-4815.7903125000003</c:v>
                </c:pt>
                <c:pt idx="39">
                  <c:v>-4815.7903125000003</c:v>
                </c:pt>
                <c:pt idx="40">
                  <c:v>-4815.7903125000003</c:v>
                </c:pt>
                <c:pt idx="41">
                  <c:v>-4815.7903125000003</c:v>
                </c:pt>
                <c:pt idx="42">
                  <c:v>-4815.7903125000003</c:v>
                </c:pt>
                <c:pt idx="43">
                  <c:v>-4815.7903125000003</c:v>
                </c:pt>
                <c:pt idx="44">
                  <c:v>-4815.7903125000003</c:v>
                </c:pt>
                <c:pt idx="45">
                  <c:v>-4815.7903125000003</c:v>
                </c:pt>
                <c:pt idx="46">
                  <c:v>-4815.7903125000003</c:v>
                </c:pt>
                <c:pt idx="47">
                  <c:v>-4815.7903125000003</c:v>
                </c:pt>
                <c:pt idx="48">
                  <c:v>-4815.7903125000003</c:v>
                </c:pt>
                <c:pt idx="49">
                  <c:v>-4815.7903125000003</c:v>
                </c:pt>
                <c:pt idx="50">
                  <c:v>-4815.7903125000003</c:v>
                </c:pt>
                <c:pt idx="51">
                  <c:v>-4815.7903125000003</c:v>
                </c:pt>
                <c:pt idx="52">
                  <c:v>-4815.7903125000003</c:v>
                </c:pt>
                <c:pt idx="53">
                  <c:v>-4815.7903125000003</c:v>
                </c:pt>
                <c:pt idx="54">
                  <c:v>-4815.7903125000003</c:v>
                </c:pt>
                <c:pt idx="55">
                  <c:v>-4815.7903125000003</c:v>
                </c:pt>
                <c:pt idx="56">
                  <c:v>-4815.7903125000003</c:v>
                </c:pt>
                <c:pt idx="57">
                  <c:v>-4815.7903125000003</c:v>
                </c:pt>
                <c:pt idx="58">
                  <c:v>-2985.7899937499878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A5-4FC4-A0DB-BDCFCA647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load'!$F$44:$F$103</c:f>
              <c:numCache>
                <c:formatCode>0.0</c:formatCode>
                <c:ptCount val="60"/>
                <c:pt idx="0">
                  <c:v>7903013.50252333</c:v>
                </c:pt>
                <c:pt idx="1">
                  <c:v>7731273.9094216684</c:v>
                </c:pt>
                <c:pt idx="2">
                  <c:v>7559584.3125019958</c:v>
                </c:pt>
                <c:pt idx="3">
                  <c:v>7387994.7516613239</c:v>
                </c:pt>
                <c:pt idx="4">
                  <c:v>7216555.3544181446</c:v>
                </c:pt>
                <c:pt idx="5">
                  <c:v>7045316.3802037658</c:v>
                </c:pt>
                <c:pt idx="6">
                  <c:v>6874328.2652358646</c:v>
                </c:pt>
                <c:pt idx="7">
                  <c:v>6703641.6681776773</c:v>
                </c:pt>
                <c:pt idx="8">
                  <c:v>6533307.5167944161</c:v>
                </c:pt>
                <c:pt idx="9">
                  <c:v>6363377.0558291012</c:v>
                </c:pt>
                <c:pt idx="10">
                  <c:v>6193901.8963330453</c:v>
                </c:pt>
                <c:pt idx="11">
                  <c:v>6024934.0667021507</c:v>
                </c:pt>
                <c:pt idx="12">
                  <c:v>5856526.0656892136</c:v>
                </c:pt>
                <c:pt idx="13">
                  <c:v>5688730.9176848857</c:v>
                </c:pt>
                <c:pt idx="14">
                  <c:v>5521602.2305865558</c:v>
                </c:pt>
                <c:pt idx="15">
                  <c:v>5355194.2566053895</c:v>
                </c:pt>
                <c:pt idx="16">
                  <c:v>5189561.9563981891</c:v>
                </c:pt>
                <c:pt idx="17">
                  <c:v>5024761.0669531189</c:v>
                </c:pt>
                <c:pt idx="18">
                  <c:v>4860848.1737079704</c:v>
                </c:pt>
                <c:pt idx="19">
                  <c:v>4697880.787437574</c:v>
                </c:pt>
                <c:pt idx="20">
                  <c:v>4535917.4265148519</c:v>
                </c:pt>
                <c:pt idx="21">
                  <c:v>4375017.7052295944</c:v>
                </c:pt>
                <c:pt idx="22">
                  <c:v>4215242.4289426878</c:v>
                </c:pt>
                <c:pt idx="23">
                  <c:v>4056653.6969640376</c:v>
                </c:pt>
                <c:pt idx="24">
                  <c:v>3899315.0141731035</c:v>
                </c:pt>
                <c:pt idx="25">
                  <c:v>3743291.4125564732</c:v>
                </c:pt>
                <c:pt idx="26">
                  <c:v>3588649.5840222193</c:v>
                </c:pt>
                <c:pt idx="27">
                  <c:v>3435458.0260731084</c:v>
                </c:pt>
                <c:pt idx="28">
                  <c:v>3283787.2021883857</c:v>
                </c:pt>
                <c:pt idx="29">
                  <c:v>3133709.7190880738</c:v>
                </c:pt>
                <c:pt idx="30">
                  <c:v>2985300.5234484319</c:v>
                </c:pt>
                <c:pt idx="31">
                  <c:v>2838637.1211208999</c:v>
                </c:pt>
                <c:pt idx="32">
                  <c:v>2693799.8225032408</c:v>
                </c:pt>
                <c:pt idx="33">
                  <c:v>2550872.0184522234</c:v>
                </c:pt>
                <c:pt idx="34">
                  <c:v>2409940.4920538366</c:v>
                </c:pt>
                <c:pt idx="35">
                  <c:v>2271095.7727357699</c:v>
                </c:pt>
                <c:pt idx="36">
                  <c:v>2134432.5406939168</c:v>
                </c:pt>
                <c:pt idx="37">
                  <c:v>2000050.091514444</c:v>
                </c:pt>
                <c:pt idx="38">
                  <c:v>1868052.873350773</c:v>
                </c:pt>
                <c:pt idx="39">
                  <c:v>1738551.1122653955</c:v>
                </c:pt>
                <c:pt idx="40">
                  <c:v>1611661.5456623607</c:v>
                </c:pt>
                <c:pt idx="41">
                  <c:v>1487508.2895428399</c:v>
                </c:pt>
                <c:pt idx="42">
                  <c:v>1366223.8732422171</c:v>
                </c:pt>
                <c:pt idx="43">
                  <c:v>1247950.4863007921</c:v>
                </c:pt>
                <c:pt idx="44">
                  <c:v>1132841.4976419753</c:v>
                </c:pt>
                <c:pt idx="45">
                  <c:v>1021063.3295860006</c:v>
                </c:pt>
                <c:pt idx="46">
                  <c:v>912797.80214736541</c:v>
                </c:pt>
                <c:pt idx="47">
                  <c:v>808245.11278598511</c:v>
                </c:pt>
                <c:pt idx="48">
                  <c:v>707627.69408300193</c:v>
                </c:pt>
                <c:pt idx="49">
                  <c:v>611195.31607145921</c:v>
                </c:pt>
                <c:pt idx="50">
                  <c:v>519232.00765390322</c:v>
                </c:pt>
                <c:pt idx="51">
                  <c:v>432065.73519981693</c:v>
                </c:pt>
                <c:pt idx="52">
                  <c:v>350082.44987185509</c:v>
                </c:pt>
                <c:pt idx="53">
                  <c:v>273747.45200615039</c:v>
                </c:pt>
                <c:pt idx="54">
                  <c:v>203639.91984589765</c:v>
                </c:pt>
                <c:pt idx="55">
                  <c:v>140513.52205643634</c:v>
                </c:pt>
                <c:pt idx="56">
                  <c:v>85416.415518966984</c:v>
                </c:pt>
                <c:pt idx="57">
                  <c:v>39980.3218844074</c:v>
                </c:pt>
                <c:pt idx="58">
                  <c:v>7474.1159842492652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C7-48B6-B334-1B8E934F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50688"/>
        <c:axId val="274458112"/>
      </c:scatterChart>
      <c:valAx>
        <c:axId val="27445068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8112"/>
        <c:crosses val="autoZero"/>
        <c:crossBetween val="midCat"/>
      </c:valAx>
      <c:valAx>
        <c:axId val="2744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load'!$H$44:$H$103</c:f>
              <c:numCache>
                <c:formatCode>0.0</c:formatCode>
                <c:ptCount val="60"/>
                <c:pt idx="0">
                  <c:v>98248187.015691921</c:v>
                </c:pt>
                <c:pt idx="1">
                  <c:v>94339615.16270569</c:v>
                </c:pt>
                <c:pt idx="2">
                  <c:v>90516900.607224777</c:v>
                </c:pt>
                <c:pt idx="3">
                  <c:v>86780005.84118396</c:v>
                </c:pt>
                <c:pt idx="4">
                  <c:v>83128868.314664111</c:v>
                </c:pt>
                <c:pt idx="5">
                  <c:v>79563400.38100864</c:v>
                </c:pt>
                <c:pt idx="6">
                  <c:v>76083489.219648734</c:v>
                </c:pt>
                <c:pt idx="7">
                  <c:v>72688996.736295357</c:v>
                </c:pt>
                <c:pt idx="8">
                  <c:v>69379759.440052345</c:v>
                </c:pt>
                <c:pt idx="9">
                  <c:v>66155588.296896473</c:v>
                </c:pt>
                <c:pt idx="10">
                  <c:v>63016268.558855928</c:v>
                </c:pt>
                <c:pt idx="11">
                  <c:v>59961559.568097129</c:v>
                </c:pt>
                <c:pt idx="12">
                  <c:v>56991194.534999289</c:v>
                </c:pt>
                <c:pt idx="13">
                  <c:v>54104880.289155766</c:v>
                </c:pt>
                <c:pt idx="14">
                  <c:v>51302297.002087906</c:v>
                </c:pt>
                <c:pt idx="15">
                  <c:v>48583097.88028992</c:v>
                </c:pt>
                <c:pt idx="16">
                  <c:v>45946908.827039026</c:v>
                </c:pt>
                <c:pt idx="17">
                  <c:v>43393328.071201198</c:v>
                </c:pt>
                <c:pt idx="18">
                  <c:v>40921925.761035927</c:v>
                </c:pt>
                <c:pt idx="19">
                  <c:v>38532243.520749547</c:v>
                </c:pt>
                <c:pt idx="20">
                  <c:v>36223793.967261434</c:v>
                </c:pt>
                <c:pt idx="21">
                  <c:v>33996060.184325315</c:v>
                </c:pt>
                <c:pt idx="22">
                  <c:v>31848495.150782254</c:v>
                </c:pt>
                <c:pt idx="23">
                  <c:v>29780521.11930557</c:v>
                </c:pt>
                <c:pt idx="24">
                  <c:v>27791528.941521283</c:v>
                </c:pt>
                <c:pt idx="25">
                  <c:v>25880877.33483889</c:v>
                </c:pt>
                <c:pt idx="26">
                  <c:v>24047892.085694216</c:v>
                </c:pt>
                <c:pt idx="27">
                  <c:v>22291865.183170389</c:v>
                </c:pt>
                <c:pt idx="28">
                  <c:v>20612053.876105014</c:v>
                </c:pt>
                <c:pt idx="29">
                  <c:v>19007679.645785898</c:v>
                </c:pt>
                <c:pt idx="30">
                  <c:v>17477927.085151777</c:v>
                </c:pt>
                <c:pt idx="31">
                  <c:v>16021942.674009444</c:v>
                </c:pt>
                <c:pt idx="32">
                  <c:v>14638833.438103406</c:v>
                </c:pt>
                <c:pt idx="33">
                  <c:v>13327665.477864543</c:v>
                </c:pt>
                <c:pt idx="34">
                  <c:v>12087462.350238027</c:v>
                </c:pt>
                <c:pt idx="35">
                  <c:v>10917203.284040626</c:v>
                </c:pt>
                <c:pt idx="36">
                  <c:v>9815821.2056832016</c:v>
                </c:pt>
                <c:pt idx="37">
                  <c:v>8782200.5476311091</c:v>
                </c:pt>
                <c:pt idx="38">
                  <c:v>7815174.8064148063</c:v>
                </c:pt>
                <c:pt idx="39">
                  <c:v>6913523.8100107638</c:v>
                </c:pt>
                <c:pt idx="40">
                  <c:v>6075970.6455288259</c:v>
                </c:pt>
                <c:pt idx="41">
                  <c:v>5301178.1867275257</c:v>
                </c:pt>
                <c:pt idx="42">
                  <c:v>4587745.1460312605</c:v>
                </c:pt>
                <c:pt idx="43">
                  <c:v>3934201.5561455083</c:v>
                </c:pt>
                <c:pt idx="44">
                  <c:v>3339003.5601598169</c:v>
                </c:pt>
                <c:pt idx="45">
                  <c:v>2800527.3533528224</c:v>
                </c:pt>
                <c:pt idx="46">
                  <c:v>2317062.0704194815</c:v>
                </c:pt>
                <c:pt idx="47">
                  <c:v>1886801.3416861435</c:v>
                </c:pt>
                <c:pt idx="48">
                  <c:v>1507833.1399688968</c:v>
                </c:pt>
                <c:pt idx="49">
                  <c:v>1178127.3874302814</c:v>
                </c:pt>
                <c:pt idx="50">
                  <c:v>895520.5564989408</c:v>
                </c:pt>
                <c:pt idx="51">
                  <c:v>657696.12078551075</c:v>
                </c:pt>
                <c:pt idx="52">
                  <c:v>462159.07451759285</c:v>
                </c:pt>
                <c:pt idx="53">
                  <c:v>306201.59904809151</c:v>
                </c:pt>
                <c:pt idx="54">
                  <c:v>186854.75608507948</c:v>
                </c:pt>
                <c:pt idx="55">
                  <c:v>100816.39560949599</c:v>
                </c:pt>
                <c:pt idx="56">
                  <c:v>44333.911215645152</c:v>
                </c:pt>
                <c:pt idx="57">
                  <c:v>12984.726864801558</c:v>
                </c:pt>
                <c:pt idx="58">
                  <c:v>1121.1173976373925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5C-4904-9CF5-6CA5AAAC6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83392"/>
        <c:axId val="274694912"/>
      </c:scatterChart>
      <c:valAx>
        <c:axId val="27468339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4912"/>
        <c:crosses val="autoZero"/>
        <c:crossBetween val="midCat"/>
      </c:valAx>
      <c:valAx>
        <c:axId val="2746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8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load'!$D$116:$D$175</c:f>
              <c:numCache>
                <c:formatCode>0.0</c:formatCode>
                <c:ptCount val="60"/>
                <c:pt idx="0">
                  <c:v>6797677.5994045809</c:v>
                </c:pt>
                <c:pt idx="1">
                  <c:v>6683951.9966154192</c:v>
                </c:pt>
                <c:pt idx="2">
                  <c:v>6570276.3900082465</c:v>
                </c:pt>
                <c:pt idx="3">
                  <c:v>6456700.8194800746</c:v>
                </c:pt>
                <c:pt idx="4">
                  <c:v>6343275.4125493951</c:v>
                </c:pt>
                <c:pt idx="5">
                  <c:v>6230050.4286475172</c:v>
                </c:pt>
                <c:pt idx="6">
                  <c:v>6117076.3039921159</c:v>
                </c:pt>
                <c:pt idx="7">
                  <c:v>6004403.6972464286</c:v>
                </c:pt>
                <c:pt idx="8">
                  <c:v>5838885.3361756671</c:v>
                </c:pt>
                <c:pt idx="9">
                  <c:v>5673770.6655228529</c:v>
                </c:pt>
                <c:pt idx="10">
                  <c:v>5509111.2963392967</c:v>
                </c:pt>
                <c:pt idx="11">
                  <c:v>5344959.2570209019</c:v>
                </c:pt>
                <c:pt idx="12">
                  <c:v>5406690.4838204645</c:v>
                </c:pt>
                <c:pt idx="13">
                  <c:v>5243711.1261286363</c:v>
                </c:pt>
                <c:pt idx="14">
                  <c:v>5081398.2293428062</c:v>
                </c:pt>
                <c:pt idx="15">
                  <c:v>4919806.0456741406</c:v>
                </c:pt>
                <c:pt idx="16">
                  <c:v>4758989.5357794398</c:v>
                </c:pt>
                <c:pt idx="17">
                  <c:v>4599004.4366468694</c:v>
                </c:pt>
                <c:pt idx="18">
                  <c:v>4439907.3337142207</c:v>
                </c:pt>
                <c:pt idx="19">
                  <c:v>4281755.7377563249</c:v>
                </c:pt>
                <c:pt idx="20">
                  <c:v>4124608.1671461025</c:v>
                </c:pt>
                <c:pt idx="21">
                  <c:v>3968524.2361733448</c:v>
                </c:pt>
                <c:pt idx="22">
                  <c:v>3813564.7501989384</c:v>
                </c:pt>
                <c:pt idx="23">
                  <c:v>3659791.8085327884</c:v>
                </c:pt>
                <c:pt idx="24">
                  <c:v>3507268.916054354</c:v>
                </c:pt>
                <c:pt idx="25">
                  <c:v>3356061.1047502239</c:v>
                </c:pt>
                <c:pt idx="26">
                  <c:v>3206235.0665284698</c:v>
                </c:pt>
                <c:pt idx="27">
                  <c:v>3057859.2988918591</c:v>
                </c:pt>
                <c:pt idx="28">
                  <c:v>2911004.2653196361</c:v>
                </c:pt>
                <c:pt idx="29">
                  <c:v>2765742.5725318245</c:v>
                </c:pt>
                <c:pt idx="30">
                  <c:v>2622149.1672046822</c:v>
                </c:pt>
                <c:pt idx="31">
                  <c:v>2480301.5551896505</c:v>
                </c:pt>
                <c:pt idx="32">
                  <c:v>2340280.0468844911</c:v>
                </c:pt>
                <c:pt idx="33">
                  <c:v>2202168.0331459739</c:v>
                </c:pt>
                <c:pt idx="34">
                  <c:v>2066052.2970600871</c:v>
                </c:pt>
                <c:pt idx="35">
                  <c:v>2157346.8055545199</c:v>
                </c:pt>
                <c:pt idx="36">
                  <c:v>2025499.3638251668</c:v>
                </c:pt>
                <c:pt idx="37">
                  <c:v>1895932.7049581939</c:v>
                </c:pt>
                <c:pt idx="38">
                  <c:v>1768751.2771070229</c:v>
                </c:pt>
                <c:pt idx="39">
                  <c:v>1644065.3063341454</c:v>
                </c:pt>
                <c:pt idx="40">
                  <c:v>1521991.5300436108</c:v>
                </c:pt>
                <c:pt idx="41">
                  <c:v>1402654.0642365899</c:v>
                </c:pt>
                <c:pt idx="42">
                  <c:v>1286185.4382484672</c:v>
                </c:pt>
                <c:pt idx="43">
                  <c:v>1172727.8416195421</c:v>
                </c:pt>
                <c:pt idx="44">
                  <c:v>1062434.6432732253</c:v>
                </c:pt>
                <c:pt idx="45">
                  <c:v>955472.26552975061</c:v>
                </c:pt>
                <c:pt idx="46">
                  <c:v>852022.52840361546</c:v>
                </c:pt>
                <c:pt idx="47">
                  <c:v>752285.62935473514</c:v>
                </c:pt>
                <c:pt idx="48">
                  <c:v>656484.00096425193</c:v>
                </c:pt>
                <c:pt idx="49">
                  <c:v>564867.41326520918</c:v>
                </c:pt>
                <c:pt idx="50">
                  <c:v>477719.89516015322</c:v>
                </c:pt>
                <c:pt idx="51">
                  <c:v>395369.41301856696</c:v>
                </c:pt>
                <c:pt idx="52">
                  <c:v>318201.91800310509</c:v>
                </c:pt>
                <c:pt idx="53">
                  <c:v>246682.71044990039</c:v>
                </c:pt>
                <c:pt idx="54">
                  <c:v>181390.96860214765</c:v>
                </c:pt>
                <c:pt idx="55">
                  <c:v>123080.36112518635</c:v>
                </c:pt>
                <c:pt idx="56">
                  <c:v>72799.044900216992</c:v>
                </c:pt>
                <c:pt idx="57">
                  <c:v>32178.741578157413</c:v>
                </c:pt>
                <c:pt idx="58">
                  <c:v>4488.3259904992774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0-493E-81E6-EB2CCD9B4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39968"/>
        <c:axId val="274743296"/>
      </c:scatterChart>
      <c:valAx>
        <c:axId val="27473996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43296"/>
        <c:crosses val="autoZero"/>
        <c:crossBetween val="midCat"/>
      </c:valAx>
      <c:valAx>
        <c:axId val="274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3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'Wing aero load'!$C$116:$C$175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aero load'!$E$116:$E$175</c:f>
              <c:numCache>
                <c:formatCode>0.0</c:formatCode>
                <c:ptCount val="60"/>
                <c:pt idx="0">
                  <c:v>88276939.643111646</c:v>
                </c:pt>
                <c:pt idx="1">
                  <c:v>84906532.244106665</c:v>
                </c:pt>
                <c:pt idx="2">
                  <c:v>81592975.14745076</c:v>
                </c:pt>
                <c:pt idx="3">
                  <c:v>78336230.845078692</c:v>
                </c:pt>
                <c:pt idx="4">
                  <c:v>75136236.787071347</c:v>
                </c:pt>
                <c:pt idx="5">
                  <c:v>71992905.326772124</c:v>
                </c:pt>
                <c:pt idx="6">
                  <c:v>68906123.643612221</c:v>
                </c:pt>
                <c:pt idx="7">
                  <c:v>65875753.64330259</c:v>
                </c:pt>
                <c:pt idx="8">
                  <c:v>62914931.384947076</c:v>
                </c:pt>
                <c:pt idx="9">
                  <c:v>60036767.384522453</c:v>
                </c:pt>
                <c:pt idx="10">
                  <c:v>57241046.894056909</c:v>
                </c:pt>
                <c:pt idx="11">
                  <c:v>54527529.25571686</c:v>
                </c:pt>
                <c:pt idx="12">
                  <c:v>51839616.820506513</c:v>
                </c:pt>
                <c:pt idx="13">
                  <c:v>49177016.418019243</c:v>
                </c:pt>
                <c:pt idx="14">
                  <c:v>46595739.079151377</c:v>
                </c:pt>
                <c:pt idx="15">
                  <c:v>44095438.010397144</c:v>
                </c:pt>
                <c:pt idx="16">
                  <c:v>41675739.115033753</c:v>
                </c:pt>
                <c:pt idx="17">
                  <c:v>39336240.621927172</c:v>
                </c:pt>
                <c:pt idx="18">
                  <c:v>37076512.679336898</c:v>
                </c:pt>
                <c:pt idx="19">
                  <c:v>34896096.911469273</c:v>
                </c:pt>
                <c:pt idx="20">
                  <c:v>32794505.935243655</c:v>
                </c:pt>
                <c:pt idx="21">
                  <c:v>30771222.834413789</c:v>
                </c:pt>
                <c:pt idx="22">
                  <c:v>28825700.587820727</c:v>
                </c:pt>
                <c:pt idx="23">
                  <c:v>26957361.44813779</c:v>
                </c:pt>
                <c:pt idx="24">
                  <c:v>25165596.266991004</c:v>
                </c:pt>
                <c:pt idx="25">
                  <c:v>23449763.761789858</c:v>
                </c:pt>
                <c:pt idx="26">
                  <c:v>21809189.718970187</c:v>
                </c:pt>
                <c:pt idx="27">
                  <c:v>20243166.127615109</c:v>
                </c:pt>
                <c:pt idx="28">
                  <c:v>18750950.236562233</c:v>
                </c:pt>
                <c:pt idx="29">
                  <c:v>17331763.527099367</c:v>
                </c:pt>
                <c:pt idx="30">
                  <c:v>15984790.592165247</c:v>
                </c:pt>
                <c:pt idx="31">
                  <c:v>14709177.911566664</c:v>
                </c:pt>
                <c:pt idx="32">
                  <c:v>13504032.511048125</c:v>
                </c:pt>
                <c:pt idx="33">
                  <c:v>12368420.491040513</c:v>
                </c:pt>
                <c:pt idx="34">
                  <c:v>11301365.408488996</c:v>
                </c:pt>
                <c:pt idx="35">
                  <c:v>10245515.632835345</c:v>
                </c:pt>
                <c:pt idx="36">
                  <c:v>9199804.0904904194</c:v>
                </c:pt>
                <c:pt idx="37">
                  <c:v>8219446.0732945781</c:v>
                </c:pt>
                <c:pt idx="38">
                  <c:v>7303275.0777782751</c:v>
                </c:pt>
                <c:pt idx="39">
                  <c:v>6450070.9319179822</c:v>
                </c:pt>
                <c:pt idx="40">
                  <c:v>5658556.7228235444</c:v>
                </c:pt>
                <c:pt idx="41">
                  <c:v>4927395.3242534949</c:v>
                </c:pt>
                <c:pt idx="42">
                  <c:v>4255185.4486322291</c:v>
                </c:pt>
                <c:pt idx="43">
                  <c:v>3640457.128665227</c:v>
                </c:pt>
                <c:pt idx="44">
                  <c:v>3081666.5074420357</c:v>
                </c:pt>
                <c:pt idx="45">
                  <c:v>2577189.780241291</c:v>
                </c:pt>
                <c:pt idx="46">
                  <c:v>2125316.0817579501</c:v>
                </c:pt>
                <c:pt idx="47">
                  <c:v>1724239.0423183623</c:v>
                </c:pt>
                <c:pt idx="48">
                  <c:v>1372046.6347386157</c:v>
                </c:pt>
                <c:pt idx="49">
                  <c:v>1066708.7811812502</c:v>
                </c:pt>
                <c:pt idx="50">
                  <c:v>806061.95407490968</c:v>
                </c:pt>
                <c:pt idx="51">
                  <c:v>587789.62703022955</c:v>
                </c:pt>
                <c:pt idx="52">
                  <c:v>409396.79427481163</c:v>
                </c:pt>
                <c:pt idx="53">
                  <c:v>268175.6371615603</c:v>
                </c:pt>
                <c:pt idx="54">
                  <c:v>161157.21739854827</c:v>
                </c:pt>
                <c:pt idx="55">
                  <c:v>85039.384966714759</c:v>
                </c:pt>
                <c:pt idx="56">
                  <c:v>36069.53346036392</c:v>
                </c:pt>
                <c:pt idx="57">
                  <c:v>9825.0868407703165</c:v>
                </c:pt>
                <c:pt idx="58">
                  <c:v>658.31994860614623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B0-467D-9FA4-951098893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80160"/>
        <c:axId val="274783232"/>
      </c:scatterChart>
      <c:valAx>
        <c:axId val="27478016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3232"/>
        <c:crosses val="autoZero"/>
        <c:crossBetween val="midCat"/>
      </c:valAx>
      <c:valAx>
        <c:axId val="2747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8080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343504.17883591045</c:v>
                </c:pt>
                <c:pt idx="1">
                  <c:v>343454.19357073907</c:v>
                </c:pt>
                <c:pt idx="2">
                  <c:v>343304.1941079477</c:v>
                </c:pt>
                <c:pt idx="3">
                  <c:v>343054.04925474239</c:v>
                </c:pt>
                <c:pt idx="4">
                  <c:v>342703.53971797583</c:v>
                </c:pt>
                <c:pt idx="5">
                  <c:v>342252.35713954159</c:v>
                </c:pt>
                <c:pt idx="6">
                  <c:v>341700.1027320617</c:v>
                </c:pt>
                <c:pt idx="7">
                  <c:v>341046.28550068964</c:v>
                </c:pt>
                <c:pt idx="8">
                  <c:v>340290.32003235322</c:v>
                </c:pt>
                <c:pt idx="9">
                  <c:v>339431.52382890426</c:v>
                </c:pt>
                <c:pt idx="10">
                  <c:v>338469.114155324</c:v>
                </c:pt>
                <c:pt idx="11">
                  <c:v>337402.20436825044</c:v>
                </c:pt>
                <c:pt idx="12">
                  <c:v>336229.7996835002</c:v>
                </c:pt>
                <c:pt idx="13">
                  <c:v>334950.79233380809</c:v>
                </c:pt>
                <c:pt idx="14">
                  <c:v>333563.9560595121</c:v>
                </c:pt>
                <c:pt idx="15">
                  <c:v>332067.93986515095</c:v>
                </c:pt>
                <c:pt idx="16">
                  <c:v>330461.26096365071</c:v>
                </c:pt>
                <c:pt idx="17">
                  <c:v>328742.2968166307</c:v>
                </c:pt>
                <c:pt idx="18">
                  <c:v>326909.27616396657</c:v>
                </c:pt>
                <c:pt idx="19">
                  <c:v>324960.26891761785</c:v>
                </c:pt>
                <c:pt idx="20">
                  <c:v>322893.17477326706</c:v>
                </c:pt>
                <c:pt idx="21">
                  <c:v>320705.7103677697</c:v>
                </c:pt>
                <c:pt idx="22">
                  <c:v>318395.39477985405</c:v>
                </c:pt>
                <c:pt idx="23">
                  <c:v>315959.53313475061</c:v>
                </c:pt>
                <c:pt idx="24">
                  <c:v>313395.19802898576</c:v>
                </c:pt>
                <c:pt idx="25">
                  <c:v>310699.20843753678</c:v>
                </c:pt>
                <c:pt idx="26">
                  <c:v>307868.10569947615</c:v>
                </c:pt>
                <c:pt idx="27">
                  <c:v>304898.12609696836</c:v>
                </c:pt>
                <c:pt idx="28">
                  <c:v>301785.16944192094</c:v>
                </c:pt>
                <c:pt idx="29">
                  <c:v>298524.76295932668</c:v>
                </c:pt>
                <c:pt idx="30">
                  <c:v>295112.01959924068</c:v>
                </c:pt>
                <c:pt idx="31">
                  <c:v>291541.58971088519</c:v>
                </c:pt>
                <c:pt idx="32">
                  <c:v>287807.60475975054</c:v>
                </c:pt>
                <c:pt idx="33">
                  <c:v>283903.61144431855</c:v>
                </c:pt>
                <c:pt idx="34">
                  <c:v>279822.49414922937</c:v>
                </c:pt>
                <c:pt idx="35">
                  <c:v>275556.38312303991</c:v>
                </c:pt>
                <c:pt idx="36">
                  <c:v>271096.54504437116</c:v>
                </c:pt>
                <c:pt idx="37">
                  <c:v>266433.25167351973</c:v>
                </c:pt>
                <c:pt idx="38">
                  <c:v>261555.62098116439</c:v>
                </c:pt>
                <c:pt idx="39">
                  <c:v>256451.42336034539</c:v>
                </c:pt>
                <c:pt idx="40">
                  <c:v>251106.84305179506</c:v>
                </c:pt>
                <c:pt idx="41">
                  <c:v>245506.18142628847</c:v>
                </c:pt>
                <c:pt idx="42">
                  <c:v>239631.483776201</c:v>
                </c:pt>
                <c:pt idx="43">
                  <c:v>233462.06398949871</c:v>
                </c:pt>
                <c:pt idx="44">
                  <c:v>226973.89064576794</c:v>
                </c:pt>
                <c:pt idx="45">
                  <c:v>220138.78157813181</c:v>
                </c:pt>
                <c:pt idx="46">
                  <c:v>212923.32817640933</c:v>
                </c:pt>
                <c:pt idx="47">
                  <c:v>205287.4292691118</c:v>
                </c:pt>
                <c:pt idx="48">
                  <c:v>197182.24554282092</c:v>
                </c:pt>
                <c:pt idx="49">
                  <c:v>188547.26650334991</c:v>
                </c:pt>
                <c:pt idx="50">
                  <c:v>179305.9671668745</c:v>
                </c:pt>
                <c:pt idx="51">
                  <c:v>169359.12264947066</c:v>
                </c:pt>
                <c:pt idx="52">
                  <c:v>158574.01866237659</c:v>
                </c:pt>
                <c:pt idx="53">
                  <c:v>146765.97280044237</c:v>
                </c:pt>
                <c:pt idx="54">
                  <c:v>133664.15584056845</c:v>
                </c:pt>
                <c:pt idx="55">
                  <c:v>118841.43531727669</c:v>
                </c:pt>
                <c:pt idx="56">
                  <c:v>101546.99083260076</c:v>
                </c:pt>
                <c:pt idx="57">
                  <c:v>80197.383705637563</c:v>
                </c:pt>
                <c:pt idx="58">
                  <c:v>49827.439894994983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C1-448B-8158-B04099B3B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8080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load'!$D$44:$D$103</c:f>
              <c:numCache>
                <c:formatCode>0.0</c:formatCode>
                <c:ptCount val="60"/>
                <c:pt idx="0">
                  <c:v>343504.17883591045</c:v>
                </c:pt>
                <c:pt idx="1">
                  <c:v>343454.19357073907</c:v>
                </c:pt>
                <c:pt idx="2">
                  <c:v>343304.1941079477</c:v>
                </c:pt>
                <c:pt idx="3">
                  <c:v>343054.04925474239</c:v>
                </c:pt>
                <c:pt idx="4">
                  <c:v>342703.53971797583</c:v>
                </c:pt>
                <c:pt idx="5">
                  <c:v>342252.35713954159</c:v>
                </c:pt>
                <c:pt idx="6">
                  <c:v>341700.1027320617</c:v>
                </c:pt>
                <c:pt idx="7">
                  <c:v>341046.28550068964</c:v>
                </c:pt>
                <c:pt idx="8">
                  <c:v>340290.32003235322</c:v>
                </c:pt>
                <c:pt idx="9">
                  <c:v>339431.52382890426</c:v>
                </c:pt>
                <c:pt idx="10">
                  <c:v>338469.114155324</c:v>
                </c:pt>
                <c:pt idx="11">
                  <c:v>337402.20436825044</c:v>
                </c:pt>
                <c:pt idx="12">
                  <c:v>336229.7996835002</c:v>
                </c:pt>
                <c:pt idx="13">
                  <c:v>334950.79233380809</c:v>
                </c:pt>
                <c:pt idx="14">
                  <c:v>333563.9560595121</c:v>
                </c:pt>
                <c:pt idx="15">
                  <c:v>332067.93986515095</c:v>
                </c:pt>
                <c:pt idx="16">
                  <c:v>330461.26096365071</c:v>
                </c:pt>
                <c:pt idx="17">
                  <c:v>328742.2968166307</c:v>
                </c:pt>
                <c:pt idx="18">
                  <c:v>326909.27616396657</c:v>
                </c:pt>
                <c:pt idx="19">
                  <c:v>324960.26891761785</c:v>
                </c:pt>
                <c:pt idx="20">
                  <c:v>322893.17477326706</c:v>
                </c:pt>
                <c:pt idx="21">
                  <c:v>320705.7103677697</c:v>
                </c:pt>
                <c:pt idx="22">
                  <c:v>318395.39477985405</c:v>
                </c:pt>
                <c:pt idx="23">
                  <c:v>315959.53313475061</c:v>
                </c:pt>
                <c:pt idx="24">
                  <c:v>313395.19802898576</c:v>
                </c:pt>
                <c:pt idx="25">
                  <c:v>310699.20843753678</c:v>
                </c:pt>
                <c:pt idx="26">
                  <c:v>307868.10569947615</c:v>
                </c:pt>
                <c:pt idx="27">
                  <c:v>304898.12609696836</c:v>
                </c:pt>
                <c:pt idx="28">
                  <c:v>301785.16944192094</c:v>
                </c:pt>
                <c:pt idx="29">
                  <c:v>298524.76295932668</c:v>
                </c:pt>
                <c:pt idx="30">
                  <c:v>295112.01959924068</c:v>
                </c:pt>
                <c:pt idx="31">
                  <c:v>291541.58971088519</c:v>
                </c:pt>
                <c:pt idx="32">
                  <c:v>287807.60475975054</c:v>
                </c:pt>
                <c:pt idx="33">
                  <c:v>283903.61144431855</c:v>
                </c:pt>
                <c:pt idx="34">
                  <c:v>279822.49414922937</c:v>
                </c:pt>
                <c:pt idx="35">
                  <c:v>275556.38312303991</c:v>
                </c:pt>
                <c:pt idx="36">
                  <c:v>271096.54504437116</c:v>
                </c:pt>
                <c:pt idx="37">
                  <c:v>266433.25167351973</c:v>
                </c:pt>
                <c:pt idx="38">
                  <c:v>261555.62098116439</c:v>
                </c:pt>
                <c:pt idx="39">
                  <c:v>256451.42336034539</c:v>
                </c:pt>
                <c:pt idx="40">
                  <c:v>251106.84305179506</c:v>
                </c:pt>
                <c:pt idx="41">
                  <c:v>245506.18142628847</c:v>
                </c:pt>
                <c:pt idx="42">
                  <c:v>239631.483776201</c:v>
                </c:pt>
                <c:pt idx="43">
                  <c:v>233462.06398949871</c:v>
                </c:pt>
                <c:pt idx="44">
                  <c:v>226973.89064576794</c:v>
                </c:pt>
                <c:pt idx="45">
                  <c:v>220138.78157813181</c:v>
                </c:pt>
                <c:pt idx="46">
                  <c:v>212923.32817640933</c:v>
                </c:pt>
                <c:pt idx="47">
                  <c:v>205287.4292691118</c:v>
                </c:pt>
                <c:pt idx="48">
                  <c:v>197182.24554282092</c:v>
                </c:pt>
                <c:pt idx="49">
                  <c:v>188547.26650334991</c:v>
                </c:pt>
                <c:pt idx="50">
                  <c:v>179305.9671668745</c:v>
                </c:pt>
                <c:pt idx="51">
                  <c:v>169359.12264947066</c:v>
                </c:pt>
                <c:pt idx="52">
                  <c:v>158574.01866237659</c:v>
                </c:pt>
                <c:pt idx="53">
                  <c:v>146765.97280044237</c:v>
                </c:pt>
                <c:pt idx="54">
                  <c:v>133664.15584056845</c:v>
                </c:pt>
                <c:pt idx="55">
                  <c:v>118841.43531727669</c:v>
                </c:pt>
                <c:pt idx="56">
                  <c:v>101546.99083260076</c:v>
                </c:pt>
                <c:pt idx="57">
                  <c:v>80197.383705637563</c:v>
                </c:pt>
                <c:pt idx="58">
                  <c:v>49827.439894994983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1-4DE2-AABB-C7FF49A9E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28582114483422"/>
          <c:y val="6.4431376785570038E-2"/>
          <c:w val="0.7935058333333333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0000CD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aero load'!$X$45:$X$104</c:f>
              <c:numCache>
                <c:formatCode>0.00000000_ </c:formatCode>
                <c:ptCount val="60"/>
                <c:pt idx="0">
                  <c:v>285490.18852341035</c:v>
                </c:pt>
                <c:pt idx="1">
                  <c:v>285440.20325823897</c:v>
                </c:pt>
                <c:pt idx="2">
                  <c:v>285290.2037954476</c:v>
                </c:pt>
                <c:pt idx="3">
                  <c:v>285040.05894224229</c:v>
                </c:pt>
                <c:pt idx="4">
                  <c:v>284689.54940547573</c:v>
                </c:pt>
                <c:pt idx="5">
                  <c:v>284238.36682704149</c:v>
                </c:pt>
                <c:pt idx="6">
                  <c:v>283686.1124195616</c:v>
                </c:pt>
                <c:pt idx="7">
                  <c:v>336230.49518818967</c:v>
                </c:pt>
                <c:pt idx="8">
                  <c:v>335474.52971985325</c:v>
                </c:pt>
                <c:pt idx="9">
                  <c:v>334615.73351640429</c:v>
                </c:pt>
                <c:pt idx="10">
                  <c:v>333653.32384282403</c:v>
                </c:pt>
                <c:pt idx="11">
                  <c:v>107262.97655575044</c:v>
                </c:pt>
                <c:pt idx="12">
                  <c:v>331414.00937100023</c:v>
                </c:pt>
                <c:pt idx="13">
                  <c:v>330135.00202130812</c:v>
                </c:pt>
                <c:pt idx="14">
                  <c:v>328748.16574701213</c:v>
                </c:pt>
                <c:pt idx="15">
                  <c:v>327252.14955265098</c:v>
                </c:pt>
                <c:pt idx="16">
                  <c:v>325645.47065115074</c:v>
                </c:pt>
                <c:pt idx="17">
                  <c:v>323926.50650413072</c:v>
                </c:pt>
                <c:pt idx="18">
                  <c:v>322093.4858514666</c:v>
                </c:pt>
                <c:pt idx="19">
                  <c:v>320144.47860511788</c:v>
                </c:pt>
                <c:pt idx="20">
                  <c:v>318077.38446076709</c:v>
                </c:pt>
                <c:pt idx="21">
                  <c:v>315889.92005526973</c:v>
                </c:pt>
                <c:pt idx="22">
                  <c:v>313579.60446735407</c:v>
                </c:pt>
                <c:pt idx="23">
                  <c:v>311143.74282225064</c:v>
                </c:pt>
                <c:pt idx="24">
                  <c:v>308579.40771648579</c:v>
                </c:pt>
                <c:pt idx="25">
                  <c:v>305883.41812503681</c:v>
                </c:pt>
                <c:pt idx="26">
                  <c:v>303052.31538697617</c:v>
                </c:pt>
                <c:pt idx="27">
                  <c:v>300082.33578446839</c:v>
                </c:pt>
                <c:pt idx="28">
                  <c:v>296969.37912942097</c:v>
                </c:pt>
                <c:pt idx="29">
                  <c:v>293708.9726468267</c:v>
                </c:pt>
                <c:pt idx="30">
                  <c:v>290296.22928674071</c:v>
                </c:pt>
                <c:pt idx="31">
                  <c:v>286725.79939838522</c:v>
                </c:pt>
                <c:pt idx="32">
                  <c:v>282991.81444725057</c:v>
                </c:pt>
                <c:pt idx="33">
                  <c:v>279087.82113181858</c:v>
                </c:pt>
                <c:pt idx="34">
                  <c:v>49683.266336729372</c:v>
                </c:pt>
                <c:pt idx="35">
                  <c:v>270740.59281053994</c:v>
                </c:pt>
                <c:pt idx="36">
                  <c:v>266280.75473187119</c:v>
                </c:pt>
                <c:pt idx="37">
                  <c:v>261617.46136101973</c:v>
                </c:pt>
                <c:pt idx="38">
                  <c:v>256739.83066866439</c:v>
                </c:pt>
                <c:pt idx="39">
                  <c:v>251635.63304784539</c:v>
                </c:pt>
                <c:pt idx="40">
                  <c:v>246291.05273929506</c:v>
                </c:pt>
                <c:pt idx="41">
                  <c:v>240690.39111378847</c:v>
                </c:pt>
                <c:pt idx="42">
                  <c:v>234815.693463701</c:v>
                </c:pt>
                <c:pt idx="43">
                  <c:v>228646.27367699871</c:v>
                </c:pt>
                <c:pt idx="44">
                  <c:v>222158.10033326794</c:v>
                </c:pt>
                <c:pt idx="45">
                  <c:v>215322.9912656318</c:v>
                </c:pt>
                <c:pt idx="46">
                  <c:v>208107.53786390933</c:v>
                </c:pt>
                <c:pt idx="47">
                  <c:v>200471.6389566118</c:v>
                </c:pt>
                <c:pt idx="48">
                  <c:v>192366.45523032092</c:v>
                </c:pt>
                <c:pt idx="49">
                  <c:v>183731.47619084991</c:v>
                </c:pt>
                <c:pt idx="50">
                  <c:v>174490.1768543745</c:v>
                </c:pt>
                <c:pt idx="51">
                  <c:v>164543.33233697066</c:v>
                </c:pt>
                <c:pt idx="52">
                  <c:v>153758.22834987659</c:v>
                </c:pt>
                <c:pt idx="53">
                  <c:v>141950.18248794237</c:v>
                </c:pt>
                <c:pt idx="54">
                  <c:v>128848.36552806845</c:v>
                </c:pt>
                <c:pt idx="55">
                  <c:v>114025.64500477668</c:v>
                </c:pt>
                <c:pt idx="56">
                  <c:v>96731.200520100756</c:v>
                </c:pt>
                <c:pt idx="57">
                  <c:v>75381.593393137562</c:v>
                </c:pt>
                <c:pt idx="58">
                  <c:v>46841.649901244993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A-4DAB-8D69-70D41FD1E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load'!$H$46:$H$105</c:f>
              <c:numCache>
                <c:formatCode>0.0</c:formatCode>
                <c:ptCount val="60"/>
                <c:pt idx="0">
                  <c:v>6497366.6531018866</c:v>
                </c:pt>
                <c:pt idx="1">
                  <c:v>6493745.3072079616</c:v>
                </c:pt>
                <c:pt idx="2">
                  <c:v>6490123.9613140365</c:v>
                </c:pt>
                <c:pt idx="3">
                  <c:v>6486502.6154201115</c:v>
                </c:pt>
                <c:pt idx="4">
                  <c:v>6482881.2695261864</c:v>
                </c:pt>
                <c:pt idx="5">
                  <c:v>6479259.9236322613</c:v>
                </c:pt>
                <c:pt idx="6">
                  <c:v>6475638.5777383363</c:v>
                </c:pt>
                <c:pt idx="7">
                  <c:v>525808.30779440841</c:v>
                </c:pt>
                <c:pt idx="8">
                  <c:v>522186.96190048341</c:v>
                </c:pt>
                <c:pt idx="9">
                  <c:v>518565.61600655841</c:v>
                </c:pt>
                <c:pt idx="10">
                  <c:v>514944.27011263341</c:v>
                </c:pt>
                <c:pt idx="11">
                  <c:v>511322.92421870842</c:v>
                </c:pt>
                <c:pt idx="12">
                  <c:v>338264.36194978346</c:v>
                </c:pt>
                <c:pt idx="13">
                  <c:v>334643.01605585846</c:v>
                </c:pt>
                <c:pt idx="14">
                  <c:v>331021.67016193346</c:v>
                </c:pt>
                <c:pt idx="15">
                  <c:v>327400.32426800847</c:v>
                </c:pt>
                <c:pt idx="16">
                  <c:v>323778.97837408347</c:v>
                </c:pt>
                <c:pt idx="17">
                  <c:v>320157.63248015847</c:v>
                </c:pt>
                <c:pt idx="18">
                  <c:v>316536.28658623347</c:v>
                </c:pt>
                <c:pt idx="19">
                  <c:v>312914.94069230848</c:v>
                </c:pt>
                <c:pt idx="20">
                  <c:v>309293.59479838348</c:v>
                </c:pt>
                <c:pt idx="21">
                  <c:v>305672.24890445848</c:v>
                </c:pt>
                <c:pt idx="22">
                  <c:v>302050.90301053348</c:v>
                </c:pt>
                <c:pt idx="23">
                  <c:v>298429.55711660848</c:v>
                </c:pt>
                <c:pt idx="24">
                  <c:v>294808.21122268349</c:v>
                </c:pt>
                <c:pt idx="25">
                  <c:v>291186.86532875849</c:v>
                </c:pt>
                <c:pt idx="26">
                  <c:v>287565.51943483349</c:v>
                </c:pt>
                <c:pt idx="27">
                  <c:v>283944.17354090849</c:v>
                </c:pt>
                <c:pt idx="28">
                  <c:v>280322.8276469835</c:v>
                </c:pt>
                <c:pt idx="29">
                  <c:v>276701.48175305844</c:v>
                </c:pt>
                <c:pt idx="30">
                  <c:v>273080.13585913344</c:v>
                </c:pt>
                <c:pt idx="31">
                  <c:v>269458.78996520845</c:v>
                </c:pt>
                <c:pt idx="32">
                  <c:v>265837.44407128345</c:v>
                </c:pt>
                <c:pt idx="33">
                  <c:v>262216.09817735845</c:v>
                </c:pt>
                <c:pt idx="34">
                  <c:v>258594.75228343345</c:v>
                </c:pt>
                <c:pt idx="35">
                  <c:v>85536.190014508466</c:v>
                </c:pt>
                <c:pt idx="36">
                  <c:v>81914.844120583468</c:v>
                </c:pt>
                <c:pt idx="37">
                  <c:v>78293.49822665847</c:v>
                </c:pt>
                <c:pt idx="38">
                  <c:v>74672.152332733473</c:v>
                </c:pt>
                <c:pt idx="39">
                  <c:v>71050.806438808475</c:v>
                </c:pt>
                <c:pt idx="40">
                  <c:v>67429.460544883477</c:v>
                </c:pt>
                <c:pt idx="41">
                  <c:v>63808.11465095848</c:v>
                </c:pt>
                <c:pt idx="42">
                  <c:v>60186.768757033482</c:v>
                </c:pt>
                <c:pt idx="43">
                  <c:v>56565.422863108484</c:v>
                </c:pt>
                <c:pt idx="44">
                  <c:v>52944.076969183487</c:v>
                </c:pt>
                <c:pt idx="45">
                  <c:v>49322.731075258489</c:v>
                </c:pt>
                <c:pt idx="46">
                  <c:v>45701.385181333491</c:v>
                </c:pt>
                <c:pt idx="47">
                  <c:v>42080.039287408494</c:v>
                </c:pt>
                <c:pt idx="48">
                  <c:v>38458.693393483496</c:v>
                </c:pt>
                <c:pt idx="49">
                  <c:v>34837.347499558498</c:v>
                </c:pt>
                <c:pt idx="50">
                  <c:v>31216.001605633497</c:v>
                </c:pt>
                <c:pt idx="51">
                  <c:v>27594.655711708496</c:v>
                </c:pt>
                <c:pt idx="52">
                  <c:v>23973.309817783495</c:v>
                </c:pt>
                <c:pt idx="53">
                  <c:v>20351.963923858493</c:v>
                </c:pt>
                <c:pt idx="54">
                  <c:v>16730.618029933492</c:v>
                </c:pt>
                <c:pt idx="55">
                  <c:v>13109.272136008491</c:v>
                </c:pt>
                <c:pt idx="56">
                  <c:v>9487.9262420834912</c:v>
                </c:pt>
                <c:pt idx="57">
                  <c:v>5866.5803481584917</c:v>
                </c:pt>
                <c:pt idx="58">
                  <c:v>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0-4691-A52B-1AF6DDE77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75520"/>
        <c:axId val="236491136"/>
      </c:scatterChart>
      <c:valAx>
        <c:axId val="2364755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91136"/>
        <c:crosses val="autoZero"/>
        <c:crossBetween val="midCat"/>
      </c:valAx>
      <c:valAx>
        <c:axId val="2364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5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rgbClr val="0000CD"/>
                </a:solidFill>
              </a:ln>
              <a:effectLst/>
            </c:spPr>
          </c:marker>
          <c:xVal>
            <c:numRef>
              <c:f>'Ground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load'!$J$46:$J$105</c:f>
              <c:numCache>
                <c:formatCode>0.0</c:formatCode>
                <c:ptCount val="60"/>
                <c:pt idx="0">
                  <c:v>26333246.687091615</c:v>
                </c:pt>
                <c:pt idx="1">
                  <c:v>23085468.697014149</c:v>
                </c:pt>
                <c:pt idx="2">
                  <c:v>19839501.379883651</c:v>
                </c:pt>
                <c:pt idx="3">
                  <c:v>16595344.735700117</c:v>
                </c:pt>
                <c:pt idx="4">
                  <c:v>13352998.764463542</c:v>
                </c:pt>
                <c:pt idx="5">
                  <c:v>10112463.466173928</c:v>
                </c:pt>
                <c:pt idx="6">
                  <c:v>6873738.8408312714</c:v>
                </c:pt>
                <c:pt idx="7">
                  <c:v>5123377.1194480881</c:v>
                </c:pt>
                <c:pt idx="8">
                  <c:v>4861378.3020243663</c:v>
                </c:pt>
                <c:pt idx="9">
                  <c:v>4601190.1575476052</c:v>
                </c:pt>
                <c:pt idx="10">
                  <c:v>4342812.6860178076</c:v>
                </c:pt>
                <c:pt idx="11">
                  <c:v>4086245.8874349743</c:v>
                </c:pt>
                <c:pt idx="12">
                  <c:v>3873849.0658928519</c:v>
                </c:pt>
                <c:pt idx="13">
                  <c:v>3705622.2213914413</c:v>
                </c:pt>
                <c:pt idx="14">
                  <c:v>3539206.0498369923</c:v>
                </c:pt>
                <c:pt idx="15">
                  <c:v>3374600.5512295067</c:v>
                </c:pt>
                <c:pt idx="16">
                  <c:v>3211805.7255689837</c:v>
                </c:pt>
                <c:pt idx="17">
                  <c:v>3050821.5728554232</c:v>
                </c:pt>
                <c:pt idx="18">
                  <c:v>2891648.0930888252</c:v>
                </c:pt>
                <c:pt idx="19">
                  <c:v>2734285.2862691898</c:v>
                </c:pt>
                <c:pt idx="20">
                  <c:v>2578733.1523965169</c:v>
                </c:pt>
                <c:pt idx="21">
                  <c:v>2424991.6914708065</c:v>
                </c:pt>
                <c:pt idx="22">
                  <c:v>2273060.9034920596</c:v>
                </c:pt>
                <c:pt idx="23">
                  <c:v>2122940.7884602733</c:v>
                </c:pt>
                <c:pt idx="24">
                  <c:v>1974631.3463754503</c:v>
                </c:pt>
                <c:pt idx="25">
                  <c:v>1828132.57723759</c:v>
                </c:pt>
                <c:pt idx="26">
                  <c:v>1683444.4810466918</c:v>
                </c:pt>
                <c:pt idx="27">
                  <c:v>1540567.0578027561</c:v>
                </c:pt>
                <c:pt idx="28">
                  <c:v>1399500.3075057834</c:v>
                </c:pt>
                <c:pt idx="29">
                  <c:v>1260244.2301557728</c:v>
                </c:pt>
                <c:pt idx="30">
                  <c:v>1122798.8257527249</c:v>
                </c:pt>
                <c:pt idx="31">
                  <c:v>987164.09429663932</c:v>
                </c:pt>
                <c:pt idx="32">
                  <c:v>853340.03578751627</c:v>
                </c:pt>
                <c:pt idx="33">
                  <c:v>721326.65022535576</c:v>
                </c:pt>
                <c:pt idx="34">
                  <c:v>591123.93761015777</c:v>
                </c:pt>
                <c:pt idx="35">
                  <c:v>505091.20203567244</c:v>
                </c:pt>
                <c:pt idx="36">
                  <c:v>463228.44350189943</c:v>
                </c:pt>
                <c:pt idx="37">
                  <c:v>423176.35791508894</c:v>
                </c:pt>
                <c:pt idx="38">
                  <c:v>384934.94527524099</c:v>
                </c:pt>
                <c:pt idx="39">
                  <c:v>348504.20558235556</c:v>
                </c:pt>
                <c:pt idx="40">
                  <c:v>313884.1388364326</c:v>
                </c:pt>
                <c:pt idx="41">
                  <c:v>281074.74503747211</c:v>
                </c:pt>
                <c:pt idx="42">
                  <c:v>250076.02418547421</c:v>
                </c:pt>
                <c:pt idx="43">
                  <c:v>220887.97628043871</c:v>
                </c:pt>
                <c:pt idx="44">
                  <c:v>193510.60132236572</c:v>
                </c:pt>
                <c:pt idx="45">
                  <c:v>167943.89931125523</c:v>
                </c:pt>
                <c:pt idx="46">
                  <c:v>144187.87024710723</c:v>
                </c:pt>
                <c:pt idx="47">
                  <c:v>122242.51412992166</c:v>
                </c:pt>
                <c:pt idx="48">
                  <c:v>102107.83095969867</c:v>
                </c:pt>
                <c:pt idx="49">
                  <c:v>83783.820736438152</c:v>
                </c:pt>
                <c:pt idx="50">
                  <c:v>67270.483460140153</c:v>
                </c:pt>
                <c:pt idx="51">
                  <c:v>52567.819130804673</c:v>
                </c:pt>
                <c:pt idx="52">
                  <c:v>39675.827748431664</c:v>
                </c:pt>
                <c:pt idx="53">
                  <c:v>28594.509313021168</c:v>
                </c:pt>
                <c:pt idx="54">
                  <c:v>19323.863824573171</c:v>
                </c:pt>
                <c:pt idx="55">
                  <c:v>11863.891283087678</c:v>
                </c:pt>
                <c:pt idx="56">
                  <c:v>6214.5916885646811</c:v>
                </c:pt>
                <c:pt idx="57">
                  <c:v>2375.965041004185</c:v>
                </c:pt>
                <c:pt idx="58">
                  <c:v>348.01134040618967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EB-4CC6-A72F-51576244C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816192"/>
        <c:axId val="269819264"/>
      </c:scatterChart>
      <c:valAx>
        <c:axId val="26981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9264"/>
        <c:crosses val="autoZero"/>
        <c:crossBetween val="midCat"/>
      </c:valAx>
      <c:valAx>
        <c:axId val="2698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1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load'!$X$45:$X$105</c:f>
              <c:numCache>
                <c:formatCode>0.0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-5946208.9240500005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-169437.21637500002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-169437.21637500002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1-4532-93CB-B3326AB98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load'!$X$45:$X$105</c:f>
              <c:numCache>
                <c:formatCode>0.0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-5946208.9240500005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-169437.21637500002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-169437.21637500002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DD-4AE6-8806-00A5F9E3D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059519725613235"/>
          <c:y val="6.4823188604853713E-2"/>
          <c:w val="0.80859682763065355"/>
          <c:h val="0.7193448264181638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solidFill>
                <a:srgbClr val="008080"/>
              </a:solidFill>
            </a:ln>
            <a:effectLst/>
          </c:spPr>
          <c:marker>
            <c:symbol val="circle"/>
            <c:size val="3"/>
            <c:spPr>
              <a:solidFill>
                <a:srgbClr val="008080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all'!$D$44:$D$103</c:f>
              <c:numCache>
                <c:formatCode>0.0</c:formatCode>
                <c:ptCount val="60"/>
                <c:pt idx="0">
                  <c:v>258305.98237316904</c:v>
                </c:pt>
                <c:pt idx="1">
                  <c:v>258268.39478670058</c:v>
                </c:pt>
                <c:pt idx="2">
                  <c:v>258155.5991906671</c:v>
                </c:pt>
                <c:pt idx="3">
                  <c:v>257967.49693158618</c:v>
                </c:pt>
                <c:pt idx="4">
                  <c:v>257703.92310685868</c:v>
                </c:pt>
                <c:pt idx="5">
                  <c:v>257364.64583941153</c:v>
                </c:pt>
                <c:pt idx="6">
                  <c:v>256949.36525177088</c:v>
                </c:pt>
                <c:pt idx="7">
                  <c:v>256457.71212890526</c:v>
                </c:pt>
                <c:pt idx="8">
                  <c:v>255889.24625579541</c:v>
                </c:pt>
                <c:pt idx="9">
                  <c:v>255243.4544120339</c:v>
                </c:pt>
                <c:pt idx="10">
                  <c:v>254519.74800175952</c:v>
                </c:pt>
                <c:pt idx="11">
                  <c:v>253717.46029280787</c:v>
                </c:pt>
                <c:pt idx="12">
                  <c:v>252835.84323400058</c:v>
                </c:pt>
                <c:pt idx="13">
                  <c:v>251874.06381389478</c:v>
                </c:pt>
                <c:pt idx="14">
                  <c:v>250831.19991792482</c:v>
                </c:pt>
                <c:pt idx="15">
                  <c:v>249706.23563353048</c:v>
                </c:pt>
                <c:pt idx="16">
                  <c:v>248498.05594437299</c:v>
                </c:pt>
                <c:pt idx="17">
                  <c:v>247205.44074485786</c:v>
                </c:pt>
                <c:pt idx="18">
                  <c:v>245827.05809460513</c:v>
                </c:pt>
                <c:pt idx="19">
                  <c:v>244361.45661887748</c:v>
                </c:pt>
                <c:pt idx="20">
                  <c:v>242807.05694483619</c:v>
                </c:pt>
                <c:pt idx="21">
                  <c:v>241162.14204428633</c:v>
                </c:pt>
                <c:pt idx="22">
                  <c:v>239424.84633058944</c:v>
                </c:pt>
                <c:pt idx="23">
                  <c:v>237593.14332978221</c:v>
                </c:pt>
                <c:pt idx="24">
                  <c:v>235664.83171251652</c:v>
                </c:pt>
                <c:pt idx="25">
                  <c:v>233637.51943280266</c:v>
                </c:pt>
                <c:pt idx="26">
                  <c:v>231508.60566985406</c:v>
                </c:pt>
                <c:pt idx="27">
                  <c:v>229275.2602082243</c:v>
                </c:pt>
                <c:pt idx="28">
                  <c:v>226934.3998158061</c:v>
                </c:pt>
                <c:pt idx="29">
                  <c:v>224482.6610850681</c:v>
                </c:pt>
                <c:pt idx="30">
                  <c:v>221916.369084773</c:v>
                </c:pt>
                <c:pt idx="31">
                  <c:v>219231.50102019336</c:v>
                </c:pt>
                <c:pt idx="32">
                  <c:v>216423.64390987216</c:v>
                </c:pt>
                <c:pt idx="33">
                  <c:v>213487.94504315569</c:v>
                </c:pt>
                <c:pt idx="34">
                  <c:v>210419.05366704316</c:v>
                </c:pt>
                <c:pt idx="35">
                  <c:v>207211.05193830942</c:v>
                </c:pt>
                <c:pt idx="36">
                  <c:v>203857.37263216593</c:v>
                </c:pt>
                <c:pt idx="37">
                  <c:v>200350.70037177551</c:v>
                </c:pt>
                <c:pt idx="38">
                  <c:v>196682.85216127613</c:v>
                </c:pt>
                <c:pt idx="39">
                  <c:v>192844.63166235678</c:v>
                </c:pt>
                <c:pt idx="40">
                  <c:v>188825.6497924685</c:v>
                </c:pt>
                <c:pt idx="41">
                  <c:v>184614.10160106423</c:v>
                </c:pt>
                <c:pt idx="42">
                  <c:v>180196.48562680246</c:v>
                </c:pt>
                <c:pt idx="43">
                  <c:v>175557.2464650633</c:v>
                </c:pt>
                <c:pt idx="44">
                  <c:v>170678.3131285336</c:v>
                </c:pt>
                <c:pt idx="45">
                  <c:v>165538.49337924636</c:v>
                </c:pt>
                <c:pt idx="46">
                  <c:v>160112.66483324178</c:v>
                </c:pt>
                <c:pt idx="47">
                  <c:v>154370.67247892491</c:v>
                </c:pt>
                <c:pt idx="48">
                  <c:v>148275.79045498685</c:v>
                </c:pt>
                <c:pt idx="49">
                  <c:v>141782.51648341239</c:v>
                </c:pt>
                <c:pt idx="50">
                  <c:v>134833.30581703183</c:v>
                </c:pt>
                <c:pt idx="51">
                  <c:v>127353.54398913129</c:v>
                </c:pt>
                <c:pt idx="52">
                  <c:v>119243.43339360954</c:v>
                </c:pt>
                <c:pt idx="53">
                  <c:v>110364.09778665798</c:v>
                </c:pt>
                <c:pt idx="54">
                  <c:v>100511.8808146184</c:v>
                </c:pt>
                <c:pt idx="55">
                  <c:v>89365.590253650284</c:v>
                </c:pt>
                <c:pt idx="56">
                  <c:v>76360.629186360238</c:v>
                </c:pt>
                <c:pt idx="57">
                  <c:v>60306.293949740633</c:v>
                </c:pt>
                <c:pt idx="58">
                  <c:v>37468.906069305689</c:v>
                </c:pt>
                <c:pt idx="5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83-426E-98CB-37911700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178752"/>
        <c:axId val="274413824"/>
      </c:scatterChart>
      <c:valAx>
        <c:axId val="2711787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7545643200765031"/>
              <c:y val="0.88093135655862653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4413824"/>
        <c:crosses val="autoZero"/>
        <c:crossBetween val="midCat"/>
      </c:valAx>
      <c:valAx>
        <c:axId val="274413824"/>
        <c:scaling>
          <c:orientation val="minMax"/>
          <c:max val="42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Lift distribution</a:t>
                </a:r>
                <a:r>
                  <a:rPr lang="en-GB" sz="12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</a:t>
                </a:r>
                <a:r>
                  <a:rPr lang="en-GB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458152674189026E-2"/>
              <c:y val="8.912886822053618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71178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all'!$F$44:$F$103</c:f>
              <c:numCache>
                <c:formatCode>0.0</c:formatCode>
                <c:ptCount val="60"/>
                <c:pt idx="0">
                  <c:v>5942855.4068708103</c:v>
                </c:pt>
                <c:pt idx="1">
                  <c:v>5813711.8125808435</c:v>
                </c:pt>
                <c:pt idx="2">
                  <c:v>5684605.8140865015</c:v>
                </c:pt>
                <c:pt idx="3">
                  <c:v>5555575.0400559381</c:v>
                </c:pt>
                <c:pt idx="4">
                  <c:v>5426657.1850463273</c:v>
                </c:pt>
                <c:pt idx="5">
                  <c:v>5297890.0428097593</c:v>
                </c:pt>
                <c:pt idx="6">
                  <c:v>5169311.5400369633</c:v>
                </c:pt>
                <c:pt idx="7">
                  <c:v>5040959.7706917943</c:v>
                </c:pt>
                <c:pt idx="8">
                  <c:v>4912873.0310956193</c:v>
                </c:pt>
                <c:pt idx="9">
                  <c:v>4785089.8559286622</c:v>
                </c:pt>
                <c:pt idx="10">
                  <c:v>4657649.0553252138</c:v>
                </c:pt>
                <c:pt idx="11">
                  <c:v>4530589.7532515712</c:v>
                </c:pt>
                <c:pt idx="12">
                  <c:v>4403951.4273698693</c:v>
                </c:pt>
                <c:pt idx="13">
                  <c:v>4277773.9506078949</c:v>
                </c:pt>
                <c:pt idx="14">
                  <c:v>4152097.6346749407</c:v>
                </c:pt>
                <c:pt idx="15">
                  <c:v>4026963.2757870774</c:v>
                </c:pt>
                <c:pt idx="16">
                  <c:v>3902412.2028926015</c:v>
                </c:pt>
                <c:pt idx="17">
                  <c:v>3778486.3287202939</c:v>
                </c:pt>
                <c:pt idx="18">
                  <c:v>3655228.2040104279</c:v>
                </c:pt>
                <c:pt idx="19">
                  <c:v>3532681.0753320577</c:v>
                </c:pt>
                <c:pt idx="20">
                  <c:v>3410888.9469411294</c:v>
                </c:pt>
                <c:pt idx="21">
                  <c:v>3289896.6471938482</c:v>
                </c:pt>
                <c:pt idx="22">
                  <c:v>3169749.9001001292</c:v>
                </c:pt>
                <c:pt idx="23">
                  <c:v>3050495.4026850364</c:v>
                </c:pt>
                <c:pt idx="24">
                  <c:v>2932180.9089244618</c:v>
                </c:pt>
                <c:pt idx="25">
                  <c:v>2814855.3211381319</c:v>
                </c:pt>
                <c:pt idx="26">
                  <c:v>2698568.7898624679</c:v>
                </c:pt>
                <c:pt idx="27">
                  <c:v>2583372.8233929481</c:v>
                </c:pt>
                <c:pt idx="28">
                  <c:v>2469320.4083869411</c:v>
                </c:pt>
                <c:pt idx="29">
                  <c:v>2356466.1431617225</c:v>
                </c:pt>
                <c:pt idx="30">
                  <c:v>2244866.3856192618</c:v>
                </c:pt>
                <c:pt idx="31">
                  <c:v>2134579.4180930201</c:v>
                </c:pt>
                <c:pt idx="32">
                  <c:v>2025665.6318605042</c:v>
                </c:pt>
                <c:pt idx="33">
                  <c:v>1918187.7346222473</c:v>
                </c:pt>
                <c:pt idx="34">
                  <c:v>1812210.9849446975</c:v>
                </c:pt>
                <c:pt idx="35">
                  <c:v>1707803.4585433593</c:v>
                </c:pt>
                <c:pt idx="36">
                  <c:v>1605036.3524007404</c:v>
                </c:pt>
                <c:pt idx="37">
                  <c:v>1503984.3341497551</c:v>
                </c:pt>
                <c:pt idx="38">
                  <c:v>1404725.9460164921</c:v>
                </c:pt>
                <c:pt idx="39">
                  <c:v>1307344.0750605839</c:v>
                </c:pt>
                <c:pt idx="40">
                  <c:v>1211926.5046968777</c:v>
                </c:pt>
                <c:pt idx="41">
                  <c:v>1118566.5668484946</c:v>
                </c:pt>
                <c:pt idx="42">
                  <c:v>1027363.9200415276</c:v>
                </c:pt>
                <c:pt idx="43">
                  <c:v>938425.48701856122</c:v>
                </c:pt>
                <c:pt idx="44">
                  <c:v>851866.59712016187</c:v>
                </c:pt>
                <c:pt idx="45">
                  <c:v>767812.39549321681</c:v>
                </c:pt>
                <c:pt idx="46">
                  <c:v>686399.60594009468</c:v>
                </c:pt>
                <c:pt idx="47">
                  <c:v>607778.77161205327</c:v>
                </c:pt>
                <c:pt idx="48">
                  <c:v>532117.15587857529</c:v>
                </c:pt>
                <c:pt idx="49">
                  <c:v>459602.57914397557</c:v>
                </c:pt>
                <c:pt idx="50">
                  <c:v>390448.62356886448</c:v>
                </c:pt>
                <c:pt idx="51">
                  <c:v>324901.91111732362</c:v>
                </c:pt>
                <c:pt idx="52">
                  <c:v>263252.66677163844</c:v>
                </c:pt>
                <c:pt idx="53">
                  <c:v>205850.78397657155</c:v>
                </c:pt>
                <c:pt idx="54">
                  <c:v>153131.78932625247</c:v>
                </c:pt>
                <c:pt idx="55">
                  <c:v>105662.42155918528</c:v>
                </c:pt>
                <c:pt idx="56">
                  <c:v>64230.866699182661</c:v>
                </c:pt>
                <c:pt idx="57">
                  <c:v>30064.135915157443</c:v>
                </c:pt>
                <c:pt idx="58">
                  <c:v>5620.3359103958664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2-4705-8747-E293DA3D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450688"/>
        <c:axId val="274458112"/>
      </c:scatterChart>
      <c:valAx>
        <c:axId val="27445068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8112"/>
        <c:crosses val="autoZero"/>
        <c:crossBetween val="midCat"/>
      </c:valAx>
      <c:valAx>
        <c:axId val="2744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450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all'!$C$44:$C$103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all'!$H$44:$H$103</c:f>
              <c:numCache>
                <c:formatCode>0.0</c:formatCode>
                <c:ptCount val="60"/>
                <c:pt idx="0">
                  <c:v>73880016.684146672</c:v>
                </c:pt>
                <c:pt idx="1">
                  <c:v>70940874.879283756</c:v>
                </c:pt>
                <c:pt idx="2">
                  <c:v>68066295.472616896</c:v>
                </c:pt>
                <c:pt idx="3">
                  <c:v>65256250.259081282</c:v>
                </c:pt>
                <c:pt idx="4">
                  <c:v>62510692.20280572</c:v>
                </c:pt>
                <c:pt idx="5">
                  <c:v>59829555.395841695</c:v>
                </c:pt>
                <c:pt idx="6">
                  <c:v>57212755.000130013</c:v>
                </c:pt>
                <c:pt idx="7">
                  <c:v>54660187.172447823</c:v>
                </c:pt>
                <c:pt idx="8">
                  <c:v>52171728.972000964</c:v>
                </c:pt>
                <c:pt idx="9">
                  <c:v>49747238.250244886</c:v>
                </c:pt>
                <c:pt idx="10">
                  <c:v>47386553.522431411</c:v>
                </c:pt>
                <c:pt idx="11">
                  <c:v>45089493.820287213</c:v>
                </c:pt>
                <c:pt idx="12">
                  <c:v>42855858.525131851</c:v>
                </c:pt>
                <c:pt idx="13">
                  <c:v>40685427.180637404</c:v>
                </c:pt>
                <c:pt idx="14">
                  <c:v>38577959.284316704</c:v>
                </c:pt>
                <c:pt idx="15">
                  <c:v>36533194.056701213</c:v>
                </c:pt>
                <c:pt idx="16">
                  <c:v>34550850.187031291</c:v>
                </c:pt>
                <c:pt idx="17">
                  <c:v>32630625.554128066</c:v>
                </c:pt>
                <c:pt idx="18">
                  <c:v>30772196.920945387</c:v>
                </c:pt>
                <c:pt idx="19">
                  <c:v>28975219.601109765</c:v>
                </c:pt>
                <c:pt idx="20">
                  <c:v>27239327.09554147</c:v>
                </c:pt>
                <c:pt idx="21">
                  <c:v>25564130.697007723</c:v>
                </c:pt>
                <c:pt idx="22">
                  <c:v>23949219.060184229</c:v>
                </c:pt>
                <c:pt idx="23">
                  <c:v>22394157.734487936</c:v>
                </c:pt>
                <c:pt idx="24">
                  <c:v>20898488.656585556</c:v>
                </c:pt>
                <c:pt idx="25">
                  <c:v>19461729.599069916</c:v>
                </c:pt>
                <c:pt idx="26">
                  <c:v>18083373.571319763</c:v>
                </c:pt>
                <c:pt idx="27">
                  <c:v>16762888.168005917</c:v>
                </c:pt>
                <c:pt idx="28">
                  <c:v>15499714.860060941</c:v>
                </c:pt>
                <c:pt idx="29">
                  <c:v>14293268.222173776</c:v>
                </c:pt>
                <c:pt idx="30">
                  <c:v>13142935.089978531</c:v>
                </c:pt>
                <c:pt idx="31">
                  <c:v>12048073.639050461</c:v>
                </c:pt>
                <c:pt idx="32">
                  <c:v>11008012.376562081</c:v>
                </c:pt>
                <c:pt idx="33">
                  <c:v>10022049.034941394</c:v>
                </c:pt>
                <c:pt idx="34">
                  <c:v>9089449.3550496586</c:v>
                </c:pt>
                <c:pt idx="35">
                  <c:v>8209445.7441776441</c:v>
                </c:pt>
                <c:pt idx="36">
                  <c:v>7381235.7914416185</c:v>
                </c:pt>
                <c:pt idx="37">
                  <c:v>6603980.619803994</c:v>
                </c:pt>
                <c:pt idx="38">
                  <c:v>5876803.0497624315</c:v>
                </c:pt>
                <c:pt idx="39">
                  <c:v>5198785.5444931621</c:v>
                </c:pt>
                <c:pt idx="40">
                  <c:v>4568967.8995537963</c:v>
                </c:pt>
                <c:pt idx="41">
                  <c:v>3986344.6316674529</c:v>
                </c:pt>
                <c:pt idx="42">
                  <c:v>3449862.009944947</c:v>
                </c:pt>
                <c:pt idx="43">
                  <c:v>2958414.6581799248</c:v>
                </c:pt>
                <c:pt idx="44">
                  <c:v>2510841.6371452445</c:v>
                </c:pt>
                <c:pt idx="45">
                  <c:v>2105921.8889918998</c:v>
                </c:pt>
                <c:pt idx="46">
                  <c:v>1742368.888633572</c:v>
                </c:pt>
                <c:pt idx="47">
                  <c:v>1418824.2942455353</c:v>
                </c:pt>
                <c:pt idx="48">
                  <c:v>1133850.312372878</c:v>
                </c:pt>
                <c:pt idx="49">
                  <c:v>885920.37861724023</c:v>
                </c:pt>
                <c:pt idx="50">
                  <c:v>673407.57793903013</c:v>
                </c:pt>
                <c:pt idx="51">
                  <c:v>494569.9442674832</c:v>
                </c:pt>
                <c:pt idx="52">
                  <c:v>347531.29979524267</c:v>
                </c:pt>
                <c:pt idx="53">
                  <c:v>230255.43710819021</c:v>
                </c:pt>
                <c:pt idx="54">
                  <c:v>140509.79378248416</c:v>
                </c:pt>
                <c:pt idx="55">
                  <c:v>75811.241061124732</c:v>
                </c:pt>
                <c:pt idx="56">
                  <c:v>33337.918996532739</c:v>
                </c:pt>
                <c:pt idx="57">
                  <c:v>9764.1683429477089</c:v>
                </c:pt>
                <c:pt idx="58">
                  <c:v>843.05038655938199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0-4AD0-B65E-558D58B79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83392"/>
        <c:axId val="274694912"/>
      </c:scatterChart>
      <c:valAx>
        <c:axId val="27468339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94912"/>
        <c:crosses val="autoZero"/>
        <c:crossBetween val="midCat"/>
      </c:valAx>
      <c:valAx>
        <c:axId val="27469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8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Shear Force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all'!$D$116:$D$175</c:f>
              <c:numCache>
                <c:formatCode>0.0</c:formatCode>
                <c:ptCount val="60"/>
                <c:pt idx="0">
                  <c:v>-554511.24623107631</c:v>
                </c:pt>
                <c:pt idx="1">
                  <c:v>-680033.49462711811</c:v>
                </c:pt>
                <c:pt idx="2">
                  <c:v>-805518.14722753502</c:v>
                </c:pt>
                <c:pt idx="3">
                  <c:v>-930927.57536417339</c:v>
                </c:pt>
                <c:pt idx="4">
                  <c:v>-1056224.0844798591</c:v>
                </c:pt>
                <c:pt idx="5">
                  <c:v>-1181369.8808225021</c:v>
                </c:pt>
                <c:pt idx="6">
                  <c:v>-1306327.037701373</c:v>
                </c:pt>
                <c:pt idx="7">
                  <c:v>4515151.4628973864</c:v>
                </c:pt>
                <c:pt idx="8">
                  <c:v>4390686.0691951355</c:v>
                </c:pt>
                <c:pt idx="9">
                  <c:v>4266524.2399221035</c:v>
                </c:pt>
                <c:pt idx="10">
                  <c:v>4142704.7852125806</c:v>
                </c:pt>
                <c:pt idx="11">
                  <c:v>4019266.8290328626</c:v>
                </c:pt>
                <c:pt idx="12">
                  <c:v>4065687.065420086</c:v>
                </c:pt>
                <c:pt idx="13">
                  <c:v>3943130.9345520362</c:v>
                </c:pt>
                <c:pt idx="14">
                  <c:v>3821075.9645130071</c:v>
                </c:pt>
                <c:pt idx="15">
                  <c:v>3699562.9515190688</c:v>
                </c:pt>
                <c:pt idx="16">
                  <c:v>3578633.224518518</c:v>
                </c:pt>
                <c:pt idx="17">
                  <c:v>3458328.6962401355</c:v>
                </c:pt>
                <c:pt idx="18">
                  <c:v>3338691.9174241945</c:v>
                </c:pt>
                <c:pt idx="19">
                  <c:v>3219766.1346397493</c:v>
                </c:pt>
                <c:pt idx="20">
                  <c:v>3101595.3521427461</c:v>
                </c:pt>
                <c:pt idx="21">
                  <c:v>2984224.3982893899</c:v>
                </c:pt>
                <c:pt idx="22">
                  <c:v>2867698.9970895955</c:v>
                </c:pt>
                <c:pt idx="23">
                  <c:v>2752065.8455684278</c:v>
                </c:pt>
                <c:pt idx="24">
                  <c:v>2637372.6977017783</c:v>
                </c:pt>
                <c:pt idx="25">
                  <c:v>2523668.4558093734</c:v>
                </c:pt>
                <c:pt idx="26">
                  <c:v>2411003.2704276345</c:v>
                </c:pt>
                <c:pt idx="27">
                  <c:v>2299428.6498520398</c:v>
                </c:pt>
                <c:pt idx="28">
                  <c:v>2188997.5807399577</c:v>
                </c:pt>
                <c:pt idx="29">
                  <c:v>2079764.661408664</c:v>
                </c:pt>
                <c:pt idx="30">
                  <c:v>1971786.2497601283</c:v>
                </c:pt>
                <c:pt idx="31">
                  <c:v>1865120.6281278117</c:v>
                </c:pt>
                <c:pt idx="32">
                  <c:v>1759828.1877892208</c:v>
                </c:pt>
                <c:pt idx="33">
                  <c:v>1655971.6364448888</c:v>
                </c:pt>
                <c:pt idx="34">
                  <c:v>1553616.232661264</c:v>
                </c:pt>
                <c:pt idx="35">
                  <c:v>1622267.2685288507</c:v>
                </c:pt>
                <c:pt idx="36">
                  <c:v>1523121.5082801569</c:v>
                </c:pt>
                <c:pt idx="37">
                  <c:v>1425690.8359230966</c:v>
                </c:pt>
                <c:pt idx="38">
                  <c:v>1330053.7936837587</c:v>
                </c:pt>
                <c:pt idx="39">
                  <c:v>1236293.2686217753</c:v>
                </c:pt>
                <c:pt idx="40">
                  <c:v>1144497.0441519942</c:v>
                </c:pt>
                <c:pt idx="41">
                  <c:v>1054758.4521975361</c:v>
                </c:pt>
                <c:pt idx="42">
                  <c:v>967177.15128449409</c:v>
                </c:pt>
                <c:pt idx="43">
                  <c:v>881860.06415545277</c:v>
                </c:pt>
                <c:pt idx="44">
                  <c:v>798922.52015097835</c:v>
                </c:pt>
                <c:pt idx="45">
                  <c:v>718489.66441795835</c:v>
                </c:pt>
                <c:pt idx="46">
                  <c:v>640698.22075876116</c:v>
                </c:pt>
                <c:pt idx="47">
                  <c:v>565698.73232464481</c:v>
                </c:pt>
                <c:pt idx="48">
                  <c:v>493658.46248509176</c:v>
                </c:pt>
                <c:pt idx="49">
                  <c:v>424765.23164441704</c:v>
                </c:pt>
                <c:pt idx="50">
                  <c:v>359232.62196323101</c:v>
                </c:pt>
                <c:pt idx="51">
                  <c:v>297307.25540561514</c:v>
                </c:pt>
                <c:pt idx="52">
                  <c:v>239279.35695385493</c:v>
                </c:pt>
                <c:pt idx="53">
                  <c:v>185498.82005271304</c:v>
                </c:pt>
                <c:pt idx="54">
                  <c:v>136401.17129631899</c:v>
                </c:pt>
                <c:pt idx="55">
                  <c:v>92553.149423176801</c:v>
                </c:pt>
                <c:pt idx="56">
                  <c:v>54742.940457099168</c:v>
                </c:pt>
                <c:pt idx="57">
                  <c:v>24197.555566998952</c:v>
                </c:pt>
                <c:pt idx="58">
                  <c:v>3375.1014561623756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02-4705-8747-E293DA3D0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39968"/>
        <c:axId val="274743296"/>
      </c:scatterChart>
      <c:valAx>
        <c:axId val="274739968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43296"/>
        <c:crosses val="autoZero"/>
        <c:crossBetween val="midCat"/>
      </c:valAx>
      <c:valAx>
        <c:axId val="27474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SF,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3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Aero + Inertia Bending Moment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noFill/>
              </a:ln>
              <a:effectLst/>
            </c:spPr>
          </c:marker>
          <c:xVal>
            <c:numRef>
              <c:f>'Ground load all'!$C$116:$C$175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'Ground load all'!$E$116:$E$175</c:f>
              <c:numCache>
                <c:formatCode>0.0</c:formatCode>
                <c:ptCount val="60"/>
                <c:pt idx="0">
                  <c:v>47546769.997055054</c:v>
                </c:pt>
                <c:pt idx="1">
                  <c:v>47855406.182269603</c:v>
                </c:pt>
                <c:pt idx="2">
                  <c:v>48226794.092733249</c:v>
                </c:pt>
                <c:pt idx="3">
                  <c:v>48660905.523381166</c:v>
                </c:pt>
                <c:pt idx="4">
                  <c:v>49157693.438342176</c:v>
                </c:pt>
                <c:pt idx="5">
                  <c:v>49717091.929667771</c:v>
                </c:pt>
                <c:pt idx="6">
                  <c:v>50339016.15929874</c:v>
                </c:pt>
                <c:pt idx="7">
                  <c:v>49536810.052999735</c:v>
                </c:pt>
                <c:pt idx="8">
                  <c:v>47310350.6699766</c:v>
                </c:pt>
                <c:pt idx="9">
                  <c:v>45146048.092697278</c:v>
                </c:pt>
                <c:pt idx="10">
                  <c:v>43043740.836413607</c:v>
                </c:pt>
                <c:pt idx="11">
                  <c:v>41003247.932852238</c:v>
                </c:pt>
                <c:pt idx="12">
                  <c:v>38982009.459238999</c:v>
                </c:pt>
                <c:pt idx="13">
                  <c:v>36979804.959245965</c:v>
                </c:pt>
                <c:pt idx="14">
                  <c:v>35038753.23447971</c:v>
                </c:pt>
                <c:pt idx="15">
                  <c:v>33158593.505471706</c:v>
                </c:pt>
                <c:pt idx="16">
                  <c:v>31339044.461462308</c:v>
                </c:pt>
                <c:pt idx="17">
                  <c:v>29579803.981272642</c:v>
                </c:pt>
                <c:pt idx="18">
                  <c:v>27880548.827856563</c:v>
                </c:pt>
                <c:pt idx="19">
                  <c:v>26240934.314840578</c:v>
                </c:pt>
                <c:pt idx="20">
                  <c:v>24660593.943144955</c:v>
                </c:pt>
                <c:pt idx="21">
                  <c:v>23139139.005536918</c:v>
                </c:pt>
                <c:pt idx="22">
                  <c:v>21676158.15669217</c:v>
                </c:pt>
                <c:pt idx="23">
                  <c:v>20271216.946027663</c:v>
                </c:pt>
                <c:pt idx="24">
                  <c:v>18923857.310210105</c:v>
                </c:pt>
                <c:pt idx="25">
                  <c:v>17633597.021832325</c:v>
                </c:pt>
                <c:pt idx="26">
                  <c:v>16399929.090273071</c:v>
                </c:pt>
                <c:pt idx="27">
                  <c:v>15222321.110203162</c:v>
                </c:pt>
                <c:pt idx="28">
                  <c:v>14100214.552555159</c:v>
                </c:pt>
                <c:pt idx="29">
                  <c:v>13033023.992018003</c:v>
                </c:pt>
                <c:pt idx="30">
                  <c:v>12020136.264225807</c:v>
                </c:pt>
                <c:pt idx="31">
                  <c:v>11060909.544753822</c:v>
                </c:pt>
                <c:pt idx="32">
                  <c:v>10154672.340774566</c:v>
                </c:pt>
                <c:pt idx="33">
                  <c:v>9300722.3847160377</c:v>
                </c:pt>
                <c:pt idx="34">
                  <c:v>8498325.4174395017</c:v>
                </c:pt>
                <c:pt idx="35">
                  <c:v>7704354.5421419721</c:v>
                </c:pt>
                <c:pt idx="36">
                  <c:v>6918007.3479397194</c:v>
                </c:pt>
                <c:pt idx="37">
                  <c:v>6180804.2618889054</c:v>
                </c:pt>
                <c:pt idx="38">
                  <c:v>5491868.104487191</c:v>
                </c:pt>
                <c:pt idx="39">
                  <c:v>4850281.3389108069</c:v>
                </c:pt>
                <c:pt idx="40">
                  <c:v>4255083.760717364</c:v>
                </c:pt>
                <c:pt idx="41">
                  <c:v>3705269.886629981</c:v>
                </c:pt>
                <c:pt idx="42">
                  <c:v>3199785.9857594729</c:v>
                </c:pt>
                <c:pt idx="43">
                  <c:v>2737526.6818994861</c:v>
                </c:pt>
                <c:pt idx="44">
                  <c:v>2317331.0358228786</c:v>
                </c:pt>
                <c:pt idx="45">
                  <c:v>1937977.9896806446</c:v>
                </c:pt>
                <c:pt idx="46">
                  <c:v>1598181.0183864648</c:v>
                </c:pt>
                <c:pt idx="47">
                  <c:v>1296581.7801156137</c:v>
                </c:pt>
                <c:pt idx="48">
                  <c:v>1031742.4814131793</c:v>
                </c:pt>
                <c:pt idx="49">
                  <c:v>802136.55788080208</c:v>
                </c:pt>
                <c:pt idx="50">
                  <c:v>606137.09447888995</c:v>
                </c:pt>
                <c:pt idx="51">
                  <c:v>442002.12513667851</c:v>
                </c:pt>
                <c:pt idx="52">
                  <c:v>307855.47204681102</c:v>
                </c:pt>
                <c:pt idx="53">
                  <c:v>201660.92779516903</c:v>
                </c:pt>
                <c:pt idx="54">
                  <c:v>121185.92995791099</c:v>
                </c:pt>
                <c:pt idx="55">
                  <c:v>63947.349778037053</c:v>
                </c:pt>
                <c:pt idx="56">
                  <c:v>27123.327307968058</c:v>
                </c:pt>
                <c:pt idx="57">
                  <c:v>7388.2033019435239</c:v>
                </c:pt>
                <c:pt idx="58">
                  <c:v>495.03904615319232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0-4AD0-B65E-558D58B79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780160"/>
        <c:axId val="274783232"/>
      </c:scatterChart>
      <c:valAx>
        <c:axId val="274780160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3232"/>
        <c:crosses val="autoZero"/>
        <c:crossBetween val="midCat"/>
      </c:valAx>
      <c:valAx>
        <c:axId val="27478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BM, Nm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780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56361111111112"/>
          <c:y val="6.4431366910754934E-2"/>
          <c:w val="0.7582280555555555"/>
          <c:h val="0.74049393939393937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8B4513"/>
              </a:solidFill>
              <a:round/>
            </a:ln>
            <a:effectLst/>
          </c:spPr>
          <c:marker>
            <c:symbol val="none"/>
          </c:marker>
          <c:xVal>
            <c:numRef>
              <c:f>'Wing inertia load'!$C$46:$C$105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'Ground load all'!$Y$45:$Y$104</c:f>
              <c:numCache>
                <c:formatCode>0.0</c:formatCode>
                <c:ptCount val="60"/>
                <c:pt idx="0">
                  <c:v>254684.63647924404</c:v>
                </c:pt>
                <c:pt idx="1">
                  <c:v>254647.04889277558</c:v>
                </c:pt>
                <c:pt idx="2">
                  <c:v>254534.2532967421</c:v>
                </c:pt>
                <c:pt idx="3">
                  <c:v>254346.15103766118</c:v>
                </c:pt>
                <c:pt idx="4">
                  <c:v>254082.57721293368</c:v>
                </c:pt>
                <c:pt idx="5">
                  <c:v>253743.29994548653</c:v>
                </c:pt>
                <c:pt idx="6">
                  <c:v>-5692880.9046921544</c:v>
                </c:pt>
                <c:pt idx="7">
                  <c:v>252836.36623498026</c:v>
                </c:pt>
                <c:pt idx="8">
                  <c:v>252267.90036187042</c:v>
                </c:pt>
                <c:pt idx="9">
                  <c:v>251622.1085181089</c:v>
                </c:pt>
                <c:pt idx="10">
                  <c:v>250898.40210783452</c:v>
                </c:pt>
                <c:pt idx="11">
                  <c:v>80658.898023882852</c:v>
                </c:pt>
                <c:pt idx="12">
                  <c:v>249214.49734007558</c:v>
                </c:pt>
                <c:pt idx="13">
                  <c:v>248252.71791996979</c:v>
                </c:pt>
                <c:pt idx="14">
                  <c:v>247209.85402399983</c:v>
                </c:pt>
                <c:pt idx="15">
                  <c:v>246084.88973960548</c:v>
                </c:pt>
                <c:pt idx="16">
                  <c:v>244876.71005044799</c:v>
                </c:pt>
                <c:pt idx="17">
                  <c:v>243584.09485093286</c:v>
                </c:pt>
                <c:pt idx="18">
                  <c:v>242205.71220068014</c:v>
                </c:pt>
                <c:pt idx="19">
                  <c:v>240740.11072495248</c:v>
                </c:pt>
                <c:pt idx="20">
                  <c:v>239185.7110509112</c:v>
                </c:pt>
                <c:pt idx="21">
                  <c:v>237540.79615036133</c:v>
                </c:pt>
                <c:pt idx="22">
                  <c:v>235803.50043666444</c:v>
                </c:pt>
                <c:pt idx="23">
                  <c:v>233971.79743585721</c:v>
                </c:pt>
                <c:pt idx="24">
                  <c:v>232043.48581859152</c:v>
                </c:pt>
                <c:pt idx="25">
                  <c:v>230016.17353887766</c:v>
                </c:pt>
                <c:pt idx="26">
                  <c:v>227887.25977592907</c:v>
                </c:pt>
                <c:pt idx="27">
                  <c:v>225653.9143142993</c:v>
                </c:pt>
                <c:pt idx="28">
                  <c:v>223313.0539218811</c:v>
                </c:pt>
                <c:pt idx="29">
                  <c:v>220861.31519114311</c:v>
                </c:pt>
                <c:pt idx="30">
                  <c:v>218295.02319084801</c:v>
                </c:pt>
                <c:pt idx="31">
                  <c:v>215610.15512626836</c:v>
                </c:pt>
                <c:pt idx="32">
                  <c:v>212802.29801594716</c:v>
                </c:pt>
                <c:pt idx="33">
                  <c:v>209866.59914923069</c:v>
                </c:pt>
                <c:pt idx="34">
                  <c:v>37360.491398118145</c:v>
                </c:pt>
                <c:pt idx="35">
                  <c:v>203589.70604438442</c:v>
                </c:pt>
                <c:pt idx="36">
                  <c:v>200236.02673824094</c:v>
                </c:pt>
                <c:pt idx="37">
                  <c:v>196729.35447785052</c:v>
                </c:pt>
                <c:pt idx="38">
                  <c:v>193061.50626735113</c:v>
                </c:pt>
                <c:pt idx="39">
                  <c:v>189223.28576843179</c:v>
                </c:pt>
                <c:pt idx="40">
                  <c:v>185204.3038985435</c:v>
                </c:pt>
                <c:pt idx="41">
                  <c:v>180992.75570713924</c:v>
                </c:pt>
                <c:pt idx="42">
                  <c:v>176575.13973287746</c:v>
                </c:pt>
                <c:pt idx="43">
                  <c:v>171935.90057113831</c:v>
                </c:pt>
                <c:pt idx="44">
                  <c:v>167056.9672346086</c:v>
                </c:pt>
                <c:pt idx="45">
                  <c:v>161917.14748532136</c:v>
                </c:pt>
                <c:pt idx="46">
                  <c:v>156491.31893931678</c:v>
                </c:pt>
                <c:pt idx="47">
                  <c:v>150749.32658499992</c:v>
                </c:pt>
                <c:pt idx="48">
                  <c:v>144654.44456106186</c:v>
                </c:pt>
                <c:pt idx="49">
                  <c:v>138161.17058948739</c:v>
                </c:pt>
                <c:pt idx="50">
                  <c:v>131211.95992310683</c:v>
                </c:pt>
                <c:pt idx="51">
                  <c:v>123732.19809520629</c:v>
                </c:pt>
                <c:pt idx="52">
                  <c:v>115622.08749968454</c:v>
                </c:pt>
                <c:pt idx="53">
                  <c:v>106742.75189273298</c:v>
                </c:pt>
                <c:pt idx="54">
                  <c:v>96890.534920693404</c:v>
                </c:pt>
                <c:pt idx="55">
                  <c:v>85744.244359725286</c:v>
                </c:pt>
                <c:pt idx="56">
                  <c:v>72739.283292435241</c:v>
                </c:pt>
                <c:pt idx="57">
                  <c:v>56684.948055815636</c:v>
                </c:pt>
                <c:pt idx="58">
                  <c:v>35223.671615072199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50-4007-B304-32E9B259E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900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90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845462962962968"/>
              <c:y val="0.873779797979798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  <c:majorUnit val="5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9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 (N/m)</a:t>
                </a:r>
              </a:p>
            </c:rich>
          </c:tx>
          <c:layout>
            <c:manualLayout>
              <c:xMode val="edge"/>
              <c:yMode val="edge"/>
              <c:x val="4.5813681386418564E-3"/>
              <c:y val="0.10366019380694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solidFill>
            <a:schemeClr val="tx1">
              <a:lumMod val="25000"/>
              <a:lumOff val="75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" l="0" r="0" t="0" header="0" footer="0"/>
    <c:pageSetup paperSize="9" orientation="landscape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5232533752807"/>
          <c:y val="6.6814196749396065E-2"/>
          <c:w val="0.79626733954124074"/>
          <c:h val="0.716798676916292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8B451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B4513"/>
              </a:solidFill>
              <a:ln w="9525">
                <a:noFill/>
              </a:ln>
              <a:effectLst/>
            </c:spPr>
          </c:marker>
          <c:xVal>
            <c:numRef>
              <c:f>'Wing Ground load'!$A$10:$A$69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Ground load'!$E$10:$E$69</c:f>
              <c:numCache>
                <c:formatCode>0.00_ </c:formatCode>
                <c:ptCount val="60"/>
                <c:pt idx="0">
                  <c:v>3621.3458939250004</c:v>
                </c:pt>
                <c:pt idx="1">
                  <c:v>3621.3458939250004</c:v>
                </c:pt>
                <c:pt idx="2">
                  <c:v>3621.3458939250004</c:v>
                </c:pt>
                <c:pt idx="3">
                  <c:v>3621.3458939250004</c:v>
                </c:pt>
                <c:pt idx="4">
                  <c:v>3621.3458939250004</c:v>
                </c:pt>
                <c:pt idx="5">
                  <c:v>3621.3458939250004</c:v>
                </c:pt>
                <c:pt idx="6">
                  <c:v>5949830.2699439256</c:v>
                </c:pt>
                <c:pt idx="7">
                  <c:v>3621.3458939250004</c:v>
                </c:pt>
                <c:pt idx="8">
                  <c:v>3621.3458939250004</c:v>
                </c:pt>
                <c:pt idx="9">
                  <c:v>3621.3458939250004</c:v>
                </c:pt>
                <c:pt idx="10">
                  <c:v>3621.3458939250004</c:v>
                </c:pt>
                <c:pt idx="11">
                  <c:v>173058.56226892502</c:v>
                </c:pt>
                <c:pt idx="12">
                  <c:v>3621.3458939250004</c:v>
                </c:pt>
                <c:pt idx="13">
                  <c:v>3621.3458939250004</c:v>
                </c:pt>
                <c:pt idx="14">
                  <c:v>3621.3458939250004</c:v>
                </c:pt>
                <c:pt idx="15">
                  <c:v>3621.3458939250004</c:v>
                </c:pt>
                <c:pt idx="16">
                  <c:v>3621.3458939250004</c:v>
                </c:pt>
                <c:pt idx="17">
                  <c:v>3621.3458939250004</c:v>
                </c:pt>
                <c:pt idx="18">
                  <c:v>3621.3458939250004</c:v>
                </c:pt>
                <c:pt idx="19">
                  <c:v>3621.3458939250004</c:v>
                </c:pt>
                <c:pt idx="20">
                  <c:v>3621.3458939250004</c:v>
                </c:pt>
                <c:pt idx="21">
                  <c:v>3621.3458939250004</c:v>
                </c:pt>
                <c:pt idx="22">
                  <c:v>3621.3458939250004</c:v>
                </c:pt>
                <c:pt idx="23">
                  <c:v>3621.3458939250004</c:v>
                </c:pt>
                <c:pt idx="24">
                  <c:v>3621.3458939250004</c:v>
                </c:pt>
                <c:pt idx="25">
                  <c:v>3621.3458939250004</c:v>
                </c:pt>
                <c:pt idx="26">
                  <c:v>3621.3458939250004</c:v>
                </c:pt>
                <c:pt idx="27">
                  <c:v>3621.3458939250004</c:v>
                </c:pt>
                <c:pt idx="28">
                  <c:v>3621.3458939250004</c:v>
                </c:pt>
                <c:pt idx="29">
                  <c:v>3621.3458939250004</c:v>
                </c:pt>
                <c:pt idx="30">
                  <c:v>3621.3458939250004</c:v>
                </c:pt>
                <c:pt idx="31">
                  <c:v>3621.3458939250004</c:v>
                </c:pt>
                <c:pt idx="32">
                  <c:v>3621.3458939250004</c:v>
                </c:pt>
                <c:pt idx="33">
                  <c:v>3621.3458939250004</c:v>
                </c:pt>
                <c:pt idx="34">
                  <c:v>173058.56226892502</c:v>
                </c:pt>
                <c:pt idx="35">
                  <c:v>3621.3458939250004</c:v>
                </c:pt>
                <c:pt idx="36">
                  <c:v>3621.3458939250004</c:v>
                </c:pt>
                <c:pt idx="37">
                  <c:v>3621.3458939250004</c:v>
                </c:pt>
                <c:pt idx="38">
                  <c:v>3621.3458939250004</c:v>
                </c:pt>
                <c:pt idx="39">
                  <c:v>3621.3458939250004</c:v>
                </c:pt>
                <c:pt idx="40">
                  <c:v>3621.3458939250004</c:v>
                </c:pt>
                <c:pt idx="41">
                  <c:v>3621.3458939250004</c:v>
                </c:pt>
                <c:pt idx="42">
                  <c:v>3621.3458939250004</c:v>
                </c:pt>
                <c:pt idx="43">
                  <c:v>3621.3458939250004</c:v>
                </c:pt>
                <c:pt idx="44">
                  <c:v>3621.3458939250004</c:v>
                </c:pt>
                <c:pt idx="45">
                  <c:v>3621.3458939250004</c:v>
                </c:pt>
                <c:pt idx="46">
                  <c:v>3621.3458939250004</c:v>
                </c:pt>
                <c:pt idx="47">
                  <c:v>3621.3458939250004</c:v>
                </c:pt>
                <c:pt idx="48">
                  <c:v>3621.3458939250004</c:v>
                </c:pt>
                <c:pt idx="49">
                  <c:v>3621.3458939250004</c:v>
                </c:pt>
                <c:pt idx="50">
                  <c:v>3621.3458939250004</c:v>
                </c:pt>
                <c:pt idx="51">
                  <c:v>3621.3458939250004</c:v>
                </c:pt>
                <c:pt idx="52">
                  <c:v>3621.3458939250004</c:v>
                </c:pt>
                <c:pt idx="53">
                  <c:v>3621.3458939250004</c:v>
                </c:pt>
                <c:pt idx="54">
                  <c:v>3621.3458939250004</c:v>
                </c:pt>
                <c:pt idx="55">
                  <c:v>3621.3458939250004</c:v>
                </c:pt>
                <c:pt idx="56">
                  <c:v>3621.3458939250004</c:v>
                </c:pt>
                <c:pt idx="57">
                  <c:v>3621.3458939250004</c:v>
                </c:pt>
                <c:pt idx="58">
                  <c:v>2245.2344542334909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7D-B04A-98D5-A01D231DE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501051667616211"/>
              <c:y val="0.8928237152615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600335922689497E-2"/>
              <c:y val="6.68141967493960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60624448909714"/>
          <c:y val="6.6814196749396065E-2"/>
          <c:w val="0.80061575073580638"/>
          <c:h val="0.7167986769162929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8B4513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8B4513"/>
              </a:solidFill>
              <a:ln w="9525">
                <a:noFill/>
              </a:ln>
              <a:effectLst/>
            </c:spPr>
          </c:marker>
          <c:xVal>
            <c:numRef>
              <c:f>'Wing Ground load'!$A$10:$A$69</c:f>
              <c:numCache>
                <c:formatCode>0.0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29.31</c:v>
                </c:pt>
              </c:numCache>
            </c:numRef>
          </c:xVal>
          <c:yVal>
            <c:numRef>
              <c:f>'Wing Ground load'!$G$10:$G$69</c:f>
              <c:numCache>
                <c:formatCode>0.000000000</c:formatCode>
                <c:ptCount val="60"/>
                <c:pt idx="0">
                  <c:v>254684.63647924404</c:v>
                </c:pt>
                <c:pt idx="1">
                  <c:v>254647.04889277558</c:v>
                </c:pt>
                <c:pt idx="2">
                  <c:v>254534.2532967421</c:v>
                </c:pt>
                <c:pt idx="3">
                  <c:v>254346.15103766118</c:v>
                </c:pt>
                <c:pt idx="4">
                  <c:v>254082.57721293368</c:v>
                </c:pt>
                <c:pt idx="5">
                  <c:v>253743.29994548653</c:v>
                </c:pt>
                <c:pt idx="6">
                  <c:v>-5692880.9046921544</c:v>
                </c:pt>
                <c:pt idx="7">
                  <c:v>252836.36623498026</c:v>
                </c:pt>
                <c:pt idx="8">
                  <c:v>252267.90036187042</c:v>
                </c:pt>
                <c:pt idx="9">
                  <c:v>251622.1085181089</c:v>
                </c:pt>
                <c:pt idx="10">
                  <c:v>250898.40210783452</c:v>
                </c:pt>
                <c:pt idx="11">
                  <c:v>80658.898023882852</c:v>
                </c:pt>
                <c:pt idx="12">
                  <c:v>249214.49734007558</c:v>
                </c:pt>
                <c:pt idx="13">
                  <c:v>248252.71791996979</c:v>
                </c:pt>
                <c:pt idx="14">
                  <c:v>247209.85402399983</c:v>
                </c:pt>
                <c:pt idx="15">
                  <c:v>246084.88973960548</c:v>
                </c:pt>
                <c:pt idx="16">
                  <c:v>244876.71005044799</c:v>
                </c:pt>
                <c:pt idx="17">
                  <c:v>243584.09485093286</c:v>
                </c:pt>
                <c:pt idx="18">
                  <c:v>242205.71220068014</c:v>
                </c:pt>
                <c:pt idx="19">
                  <c:v>240740.11072495248</c:v>
                </c:pt>
                <c:pt idx="20">
                  <c:v>239185.7110509112</c:v>
                </c:pt>
                <c:pt idx="21">
                  <c:v>237540.79615036133</c:v>
                </c:pt>
                <c:pt idx="22">
                  <c:v>235803.50043666444</c:v>
                </c:pt>
                <c:pt idx="23">
                  <c:v>233971.79743585721</c:v>
                </c:pt>
                <c:pt idx="24">
                  <c:v>232043.48581859152</c:v>
                </c:pt>
                <c:pt idx="25">
                  <c:v>230016.17353887766</c:v>
                </c:pt>
                <c:pt idx="26">
                  <c:v>227887.25977592907</c:v>
                </c:pt>
                <c:pt idx="27">
                  <c:v>225653.9143142993</c:v>
                </c:pt>
                <c:pt idx="28">
                  <c:v>223313.0539218811</c:v>
                </c:pt>
                <c:pt idx="29">
                  <c:v>220861.31519114311</c:v>
                </c:pt>
                <c:pt idx="30">
                  <c:v>218295.02319084801</c:v>
                </c:pt>
                <c:pt idx="31">
                  <c:v>215610.15512626836</c:v>
                </c:pt>
                <c:pt idx="32">
                  <c:v>212802.29801594716</c:v>
                </c:pt>
                <c:pt idx="33">
                  <c:v>209866.59914923069</c:v>
                </c:pt>
                <c:pt idx="34">
                  <c:v>37360.491398118145</c:v>
                </c:pt>
                <c:pt idx="35">
                  <c:v>203589.70604438442</c:v>
                </c:pt>
                <c:pt idx="36">
                  <c:v>200236.02673824094</c:v>
                </c:pt>
                <c:pt idx="37">
                  <c:v>196729.35447785052</c:v>
                </c:pt>
                <c:pt idx="38">
                  <c:v>193061.50626735113</c:v>
                </c:pt>
                <c:pt idx="39">
                  <c:v>189223.28576843179</c:v>
                </c:pt>
                <c:pt idx="40">
                  <c:v>185204.3038985435</c:v>
                </c:pt>
                <c:pt idx="41">
                  <c:v>180992.75570713924</c:v>
                </c:pt>
                <c:pt idx="42">
                  <c:v>176575.13973287746</c:v>
                </c:pt>
                <c:pt idx="43">
                  <c:v>171935.90057113831</c:v>
                </c:pt>
                <c:pt idx="44">
                  <c:v>167056.9672346086</c:v>
                </c:pt>
                <c:pt idx="45">
                  <c:v>161917.14748532136</c:v>
                </c:pt>
                <c:pt idx="46">
                  <c:v>156491.31893931678</c:v>
                </c:pt>
                <c:pt idx="47">
                  <c:v>150749.32658499992</c:v>
                </c:pt>
                <c:pt idx="48">
                  <c:v>144654.44456106186</c:v>
                </c:pt>
                <c:pt idx="49">
                  <c:v>138161.17058948739</c:v>
                </c:pt>
                <c:pt idx="50">
                  <c:v>131211.95992310683</c:v>
                </c:pt>
                <c:pt idx="51">
                  <c:v>123732.19809520629</c:v>
                </c:pt>
                <c:pt idx="52">
                  <c:v>115622.08749968454</c:v>
                </c:pt>
                <c:pt idx="53">
                  <c:v>106742.75189273298</c:v>
                </c:pt>
                <c:pt idx="54">
                  <c:v>96890.534920693404</c:v>
                </c:pt>
                <c:pt idx="55">
                  <c:v>85744.244359725286</c:v>
                </c:pt>
                <c:pt idx="56">
                  <c:v>72739.283292435241</c:v>
                </c:pt>
                <c:pt idx="57">
                  <c:v>56684.948055815636</c:v>
                </c:pt>
                <c:pt idx="58">
                  <c:v>35223.671615072199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41-416C-9C9E-F67DD1C28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189952"/>
        <c:axId val="236455424"/>
      </c:scatterChart>
      <c:valAx>
        <c:axId val="23618995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2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Span stations</a:t>
                </a:r>
                <a:r>
                  <a:rPr lang="en-GB" sz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(m)</a:t>
                </a:r>
                <a:endParaRPr lang="en-GB" sz="1200">
                  <a:solidFill>
                    <a:sysClr val="windowText" lastClr="000000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6501051667616211"/>
              <c:y val="0.892823715261519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GB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455424"/>
        <c:crosses val="autoZero"/>
        <c:crossBetween val="midCat"/>
      </c:valAx>
      <c:valAx>
        <c:axId val="23645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5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sz="115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Load distribution</a:t>
                </a:r>
                <a:r>
                  <a:rPr lang="en-GB" sz="115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15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</a:t>
                </a:r>
                <a:r>
                  <a:rPr lang="en-GB" sz="115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N/m)</a:t>
                </a:r>
              </a:p>
            </c:rich>
          </c:tx>
          <c:layout>
            <c:manualLayout>
              <c:xMode val="edge"/>
              <c:yMode val="edge"/>
              <c:x val="1.4600335922689497E-2"/>
              <c:y val="6.681419674939606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5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61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endParaRPr lang="en-US" baseline="0"/>
          </a:p>
        </c:rich>
      </c:tx>
      <c:layout>
        <c:manualLayout>
          <c:xMode val="edge"/>
          <c:yMode val="edge"/>
          <c:x val="0.4548171412337626"/>
          <c:y val="4.9125599348899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Torque'!$N$37:$N$96</c:f>
              <c:numCache>
                <c:formatCode>0.00</c:formatCode>
                <c:ptCount val="60"/>
                <c:pt idx="0">
                  <c:v>23631570437.685516</c:v>
                </c:pt>
                <c:pt idx="1">
                  <c:v>23631570437.685516</c:v>
                </c:pt>
                <c:pt idx="2">
                  <c:v>23078596602.813347</c:v>
                </c:pt>
                <c:pt idx="3">
                  <c:v>22527538349.86293</c:v>
                </c:pt>
                <c:pt idx="4">
                  <c:v>21978556839.253445</c:v>
                </c:pt>
                <c:pt idx="5">
                  <c:v>21431812465.080795</c:v>
                </c:pt>
                <c:pt idx="6">
                  <c:v>20887464996.679142</c:v>
                </c:pt>
                <c:pt idx="7">
                  <c:v>20335034081.139053</c:v>
                </c:pt>
                <c:pt idx="8">
                  <c:v>19785318307.437576</c:v>
                </c:pt>
                <c:pt idx="9">
                  <c:v>19238426044.129715</c:v>
                </c:pt>
                <c:pt idx="10">
                  <c:v>18694187856.325237</c:v>
                </c:pt>
                <c:pt idx="11">
                  <c:v>18152460705.046211</c:v>
                </c:pt>
                <c:pt idx="12">
                  <c:v>17809413403.555061</c:v>
                </c:pt>
                <c:pt idx="13">
                  <c:v>17273147878.230938</c:v>
                </c:pt>
                <c:pt idx="14">
                  <c:v>16739861468.985989</c:v>
                </c:pt>
                <c:pt idx="15">
                  <c:v>16209721554.300568</c:v>
                </c:pt>
                <c:pt idx="16">
                  <c:v>15682897139.20089</c:v>
                </c:pt>
                <c:pt idx="17">
                  <c:v>15159559063.770763</c:v>
                </c:pt>
                <c:pt idx="18">
                  <c:v>14639880224.319775</c:v>
                </c:pt>
                <c:pt idx="19">
                  <c:v>14124035808.887527</c:v>
                </c:pt>
                <c:pt idx="20">
                  <c:v>13612203548.978046</c:v>
                </c:pt>
                <c:pt idx="21">
                  <c:v>13104563989.670364</c:v>
                </c:pt>
                <c:pt idx="22">
                  <c:v>12601300780.548988</c:v>
                </c:pt>
                <c:pt idx="23">
                  <c:v>12102600990.249741</c:v>
                </c:pt>
                <c:pt idx="24">
                  <c:v>11608655447.8346</c:v>
                </c:pt>
                <c:pt idx="25">
                  <c:v>11119659114.707117</c:v>
                </c:pt>
                <c:pt idx="26">
                  <c:v>10635811491.376556</c:v>
                </c:pt>
                <c:pt idx="27">
                  <c:v>10157317064.095871</c:v>
                </c:pt>
                <c:pt idx="28">
                  <c:v>9684385797.2656517</c:v>
                </c:pt>
                <c:pt idx="29">
                  <c:v>9217233678.549509</c:v>
                </c:pt>
                <c:pt idx="30">
                  <c:v>8756083324.9341469</c:v>
                </c:pt>
                <c:pt idx="31">
                  <c:v>8301164659.5514555</c:v>
                </c:pt>
                <c:pt idx="32">
                  <c:v>7852715671.0416317</c:v>
                </c:pt>
                <c:pt idx="33">
                  <c:v>7410983269.6834354</c:v>
                </c:pt>
                <c:pt idx="34">
                  <c:v>6976224257.594347</c:v>
                </c:pt>
                <c:pt idx="35">
                  <c:v>6744737824.8288441</c:v>
                </c:pt>
                <c:pt idx="36">
                  <c:v>6324741253.8184395</c:v>
                </c:pt>
                <c:pt idx="37">
                  <c:v>5912559724.169879</c:v>
                </c:pt>
                <c:pt idx="38">
                  <c:v>5508502446.3830891</c:v>
                </c:pt>
                <c:pt idx="39">
                  <c:v>5112896036.0500565</c:v>
                </c:pt>
                <c:pt idx="40">
                  <c:v>4726086851.8565178</c:v>
                </c:pt>
                <c:pt idx="41">
                  <c:v>4348443775.2814579</c:v>
                </c:pt>
                <c:pt idx="42">
                  <c:v>3980361547.0961337</c:v>
                </c:pt>
                <c:pt idx="43">
                  <c:v>3622264814.7744622</c:v>
                </c:pt>
                <c:pt idx="44">
                  <c:v>3274613100.6552992</c:v>
                </c:pt>
                <c:pt idx="45">
                  <c:v>2937906982.0284739</c:v>
                </c:pt>
                <c:pt idx="46">
                  <c:v>2612695895.915904</c:v>
                </c:pt>
                <c:pt idx="47">
                  <c:v>2299588168.2078605</c:v>
                </c:pt>
                <c:pt idx="48">
                  <c:v>1999264163.3284676</c:v>
                </c:pt>
                <c:pt idx="49">
                  <c:v>1712493938.837096</c:v>
                </c:pt>
                <c:pt idx="50">
                  <c:v>1440161629.413326</c:v>
                </c:pt>
                <c:pt idx="51">
                  <c:v>1183300308.7285805</c:v>
                </c:pt>
                <c:pt idx="52">
                  <c:v>943144029.71736169</c:v>
                </c:pt>
                <c:pt idx="53">
                  <c:v>721209957.91795671</c:v>
                </c:pt>
                <c:pt idx="54">
                  <c:v>519438121.05075979</c:v>
                </c:pt>
                <c:pt idx="55">
                  <c:v>340456442.13827431</c:v>
                </c:pt>
                <c:pt idx="56">
                  <c:v>188179810.77801579</c:v>
                </c:pt>
                <c:pt idx="57">
                  <c:v>69767413.955827236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4-4E8F-B536-A0261C86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589952"/>
        <c:axId val="276953728"/>
      </c:scatterChart>
      <c:valAx>
        <c:axId val="276589952"/>
        <c:scaling>
          <c:orientation val="minMax"/>
          <c:max val="3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953728"/>
        <c:crosses val="autoZero"/>
        <c:crossBetween val="midCat"/>
      </c:valAx>
      <c:valAx>
        <c:axId val="27695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  <a:r>
                  <a:rPr lang="en-US" altLang="zh-CN"/>
                  <a:t>mm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58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</a:t>
            </a:r>
            <a:r>
              <a:rPr lang="en-US" baseline="0"/>
              <a:t> Contribution</a:t>
            </a:r>
          </a:p>
        </c:rich>
      </c:tx>
      <c:layout>
        <c:manualLayout>
          <c:xMode val="edge"/>
          <c:yMode val="edge"/>
          <c:x val="0.39042308390696445"/>
          <c:y val="4.444444444444444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solidFill>
                <a:srgbClr val="0000CD"/>
              </a:solidFill>
            </a:ln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'Wing Torque'!$C$37:$C$96</c:f>
              <c:numCache>
                <c:formatCode>0.00</c:formatCode>
                <c:ptCount val="60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29.3</c:v>
                </c:pt>
              </c:numCache>
            </c:numRef>
          </c:xVal>
          <c:yVal>
            <c:numRef>
              <c:f>'Wing Torque'!$M$37:$M$96</c:f>
              <c:numCache>
                <c:formatCode>0.00</c:formatCode>
                <c:ptCount val="60"/>
                <c:pt idx="0">
                  <c:v>0</c:v>
                </c:pt>
                <c:pt idx="1">
                  <c:v>552973834.87217259</c:v>
                </c:pt>
                <c:pt idx="2">
                  <c:v>551058252.95041788</c:v>
                </c:pt>
                <c:pt idx="3">
                  <c:v>548981510.60948658</c:v>
                </c:pt>
                <c:pt idx="4">
                  <c:v>546744374.17264771</c:v>
                </c:pt>
                <c:pt idx="5">
                  <c:v>544347468.40165353</c:v>
                </c:pt>
                <c:pt idx="6">
                  <c:v>552430915.54008877</c:v>
                </c:pt>
                <c:pt idx="7">
                  <c:v>549715773.70147979</c:v>
                </c:pt>
                <c:pt idx="8">
                  <c:v>546892263.30786085</c:v>
                </c:pt>
                <c:pt idx="9">
                  <c:v>544238187.80447507</c:v>
                </c:pt>
                <c:pt idx="10">
                  <c:v>541727151.27902782</c:v>
                </c:pt>
                <c:pt idx="11">
                  <c:v>343047301.49114847</c:v>
                </c:pt>
                <c:pt idx="12">
                  <c:v>536265525.32412189</c:v>
                </c:pt>
                <c:pt idx="13">
                  <c:v>533286409.24495006</c:v>
                </c:pt>
                <c:pt idx="14">
                  <c:v>530139914.68541837</c:v>
                </c:pt>
                <c:pt idx="15">
                  <c:v>526824415.09967947</c:v>
                </c:pt>
                <c:pt idx="16">
                  <c:v>523338075.43012559</c:v>
                </c:pt>
                <c:pt idx="17">
                  <c:v>519678839.45099252</c:v>
                </c:pt>
                <c:pt idx="18">
                  <c:v>515844415.43224663</c:v>
                </c:pt>
                <c:pt idx="19">
                  <c:v>511832259.90948123</c:v>
                </c:pt>
                <c:pt idx="20">
                  <c:v>507639559.30767959</c:v>
                </c:pt>
                <c:pt idx="21">
                  <c:v>503263209.12137771</c:v>
                </c:pt>
                <c:pt idx="22">
                  <c:v>498699790.299245</c:v>
                </c:pt>
                <c:pt idx="23">
                  <c:v>493945542.4151414</c:v>
                </c:pt>
                <c:pt idx="24">
                  <c:v>488996333.1274811</c:v>
                </c:pt>
                <c:pt idx="25">
                  <c:v>483847623.33056194</c:v>
                </c:pt>
                <c:pt idx="26">
                  <c:v>478494427.28068477</c:v>
                </c:pt>
                <c:pt idx="27">
                  <c:v>472931266.83021694</c:v>
                </c:pt>
                <c:pt idx="28">
                  <c:v>467152118.71614331</c:v>
                </c:pt>
                <c:pt idx="29">
                  <c:v>461150353.61536336</c:v>
                </c:pt>
                <c:pt idx="30">
                  <c:v>454918665.38268864</c:v>
                </c:pt>
                <c:pt idx="31">
                  <c:v>448448988.50982344</c:v>
                </c:pt>
                <c:pt idx="32">
                  <c:v>441732401.35819608</c:v>
                </c:pt>
                <c:pt idx="33">
                  <c:v>434759012.08908832</c:v>
                </c:pt>
                <c:pt idx="34">
                  <c:v>231486432.76550364</c:v>
                </c:pt>
                <c:pt idx="35">
                  <c:v>419996571.01040566</c:v>
                </c:pt>
                <c:pt idx="36">
                  <c:v>412181529.64856023</c:v>
                </c:pt>
                <c:pt idx="37">
                  <c:v>404057277.78679013</c:v>
                </c:pt>
                <c:pt idx="38">
                  <c:v>395606410.33303249</c:v>
                </c:pt>
                <c:pt idx="39">
                  <c:v>386809184.1935392</c:v>
                </c:pt>
                <c:pt idx="40">
                  <c:v>377643076.57506102</c:v>
                </c:pt>
                <c:pt idx="41">
                  <c:v>368082228.18532431</c:v>
                </c:pt>
                <c:pt idx="42">
                  <c:v>358096732.32167149</c:v>
                </c:pt>
                <c:pt idx="43">
                  <c:v>347651714.1191631</c:v>
                </c:pt>
                <c:pt idx="44">
                  <c:v>336706118.62682521</c:v>
                </c:pt>
                <c:pt idx="45">
                  <c:v>325211086.11256921</c:v>
                </c:pt>
                <c:pt idx="46">
                  <c:v>313107727.70804328</c:v>
                </c:pt>
                <c:pt idx="47">
                  <c:v>300324004.87939298</c:v>
                </c:pt>
                <c:pt idx="48">
                  <c:v>286770224.49137181</c:v>
                </c:pt>
                <c:pt idx="49">
                  <c:v>272332309.42377031</c:v>
                </c:pt>
                <c:pt idx="50">
                  <c:v>256861320.68474522</c:v>
                </c:pt>
                <c:pt idx="51">
                  <c:v>240156279.01121891</c:v>
                </c:pt>
                <c:pt idx="52">
                  <c:v>221934071.79940498</c:v>
                </c:pt>
                <c:pt idx="53">
                  <c:v>201771836.86719686</c:v>
                </c:pt>
                <c:pt idx="54">
                  <c:v>178981678.91248548</c:v>
                </c:pt>
                <c:pt idx="55">
                  <c:v>152276631.36025852</c:v>
                </c:pt>
                <c:pt idx="56">
                  <c:v>118412396.82218857</c:v>
                </c:pt>
                <c:pt idx="57">
                  <c:v>62184601.369123541</c:v>
                </c:pt>
                <c:pt idx="58">
                  <c:v>7582812.5867036944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4-4E8F-B536-A0261C86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590016"/>
        <c:axId val="325605632"/>
      </c:scatterChart>
      <c:valAx>
        <c:axId val="32559001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Span stations,</a:t>
                </a:r>
                <a:r>
                  <a:rPr lang="en-GB" baseline="0"/>
                  <a:t> 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632"/>
        <c:crosses val="autoZero"/>
        <c:crossBetween val="midCat"/>
      </c:valAx>
      <c:valAx>
        <c:axId val="3256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TQ,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590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Air Load'!$D$55:$P$55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-3970.7142857142858</c:v>
                </c:pt>
                <c:pt idx="4">
                  <c:v>-3970.7142857142858</c:v>
                </c:pt>
                <c:pt idx="5">
                  <c:v>981.00000000000045</c:v>
                </c:pt>
                <c:pt idx="6">
                  <c:v>981.00000000000045</c:v>
                </c:pt>
                <c:pt idx="7">
                  <c:v>981.00000000000045</c:v>
                </c:pt>
                <c:pt idx="8">
                  <c:v>981.00000000000045</c:v>
                </c:pt>
                <c:pt idx="9">
                  <c:v>981.00000000000045</c:v>
                </c:pt>
                <c:pt idx="10">
                  <c:v>981.00000000000045</c:v>
                </c:pt>
                <c:pt idx="11">
                  <c:v>0</c:v>
                </c:pt>
                <c:pt idx="12">
                  <c:v>4.5474735088646412E-13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C9-449B-B326-8D8704339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21216"/>
        <c:axId val="251359232"/>
      </c:scatterChart>
      <c:valAx>
        <c:axId val="25172121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59232"/>
        <c:crosses val="autoZero"/>
        <c:crossBetween val="midCat"/>
      </c:valAx>
      <c:valAx>
        <c:axId val="251359232"/>
        <c:scaling>
          <c:orientation val="minMax"/>
          <c:max val="6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21216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Tail 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</c:spPr>
          <c:invertIfNegative val="0"/>
          <c:cat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Air Load'!$D$54:$P$54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-3970.7142857142858</c:v>
                </c:pt>
                <c:pt idx="4">
                  <c:v>0</c:v>
                </c:pt>
                <c:pt idx="5">
                  <c:v>4951.7142857142862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-981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2-47F4-AE7E-355670380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390208"/>
        <c:axId val="251687296"/>
      </c:barChart>
      <c:catAx>
        <c:axId val="25139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87296"/>
        <c:crosses val="autoZero"/>
        <c:auto val="1"/>
        <c:lblAlgn val="ctr"/>
        <c:lblOffset val="100"/>
        <c:noMultiLvlLbl val="1"/>
      </c:catAx>
      <c:valAx>
        <c:axId val="251687296"/>
        <c:scaling>
          <c:orientation val="minMax"/>
          <c:max val="7000"/>
          <c:min val="-7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90208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Air Load'!$D$53:$P$53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Air Load'!$D$57:$P$57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-1159.4485714285715</c:v>
                </c:pt>
                <c:pt idx="4">
                  <c:v>-1866.2357142857136</c:v>
                </c:pt>
                <c:pt idx="5">
                  <c:v>-3232.5351428571425</c:v>
                </c:pt>
                <c:pt idx="6">
                  <c:v>-3132.4731428571426</c:v>
                </c:pt>
                <c:pt idx="7">
                  <c:v>-1886.6031428571421</c:v>
                </c:pt>
                <c:pt idx="8">
                  <c:v>-1139.0811428571419</c:v>
                </c:pt>
                <c:pt idx="9">
                  <c:v>-391.55914285714107</c:v>
                </c:pt>
                <c:pt idx="10">
                  <c:v>355.96285714285864</c:v>
                </c:pt>
                <c:pt idx="11">
                  <c:v>729.72385714285906</c:v>
                </c:pt>
                <c:pt idx="12">
                  <c:v>729.72385714285917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CD-4258-BCB2-5B711C096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64096"/>
        <c:axId val="251478784"/>
      </c:scatterChart>
      <c:valAx>
        <c:axId val="25136409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78784"/>
        <c:crosses val="autoZero"/>
        <c:crossBetween val="midCat"/>
      </c:valAx>
      <c:valAx>
        <c:axId val="25147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64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Inertial Load'!$D$68:$P$68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-5699.6100000000006</c:v>
                </c:pt>
                <c:pt idx="3">
                  <c:v>2220.4557692307735</c:v>
                </c:pt>
                <c:pt idx="4">
                  <c:v>853.92276923077338</c:v>
                </c:pt>
                <c:pt idx="5">
                  <c:v>4302.6660000000011</c:v>
                </c:pt>
                <c:pt idx="6">
                  <c:v>2481.9300000000012</c:v>
                </c:pt>
                <c:pt idx="7">
                  <c:v>1098.7200000000012</c:v>
                </c:pt>
                <c:pt idx="8">
                  <c:v>760.27500000000123</c:v>
                </c:pt>
                <c:pt idx="9">
                  <c:v>716.13000000000125</c:v>
                </c:pt>
                <c:pt idx="10">
                  <c:v>622.9350000000012</c:v>
                </c:pt>
                <c:pt idx="11">
                  <c:v>98.10000000000116</c:v>
                </c:pt>
                <c:pt idx="12">
                  <c:v>1.1510792319313623E-12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E-4353-AE33-D956B6864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06400"/>
        <c:axId val="250134912"/>
      </c:scatterChart>
      <c:valAx>
        <c:axId val="250406400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134912"/>
        <c:crosses val="autoZero"/>
        <c:crossBetween val="midCat"/>
      </c:valAx>
      <c:valAx>
        <c:axId val="25013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0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Inertia + Wing 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  <a:ln w="19050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Inertial Load'!$D$67:$P$67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-1726.5600000000002</c:v>
                </c:pt>
                <c:pt idx="3">
                  <c:v>7920.0657692307741</c:v>
                </c:pt>
                <c:pt idx="4">
                  <c:v>-1366.5330000000001</c:v>
                </c:pt>
                <c:pt idx="5">
                  <c:v>3448.7432307692279</c:v>
                </c:pt>
                <c:pt idx="6">
                  <c:v>-1820.7360000000001</c:v>
                </c:pt>
                <c:pt idx="7">
                  <c:v>-1383.21</c:v>
                </c:pt>
                <c:pt idx="8">
                  <c:v>-338.44499999999999</c:v>
                </c:pt>
                <c:pt idx="9">
                  <c:v>-44.145000000000003</c:v>
                </c:pt>
                <c:pt idx="10">
                  <c:v>-93.195000000000007</c:v>
                </c:pt>
                <c:pt idx="11">
                  <c:v>-524.83500000000004</c:v>
                </c:pt>
                <c:pt idx="12">
                  <c:v>-98.100000000000009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5-4438-99E3-3AF17AF56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294464"/>
        <c:axId val="251296384"/>
      </c:barChart>
      <c:catAx>
        <c:axId val="25129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6384"/>
        <c:crosses val="autoZero"/>
        <c:auto val="1"/>
        <c:lblAlgn val="ctr"/>
        <c:lblOffset val="100"/>
        <c:noMultiLvlLbl val="1"/>
      </c:catAx>
      <c:valAx>
        <c:axId val="25129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94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Inertial Load'!$D$64:$P$64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Inertial Load'!$D$70:$P$70</c:f>
              <c:numCache>
                <c:formatCode>0.0</c:formatCode>
                <c:ptCount val="13"/>
                <c:pt idx="0">
                  <c:v>0</c:v>
                </c:pt>
                <c:pt idx="1">
                  <c:v>-554.24047500000006</c:v>
                </c:pt>
                <c:pt idx="2">
                  <c:v>-5347.0435049999996</c:v>
                </c:pt>
                <c:pt idx="3">
                  <c:v>-6362.9565403846136</c:v>
                </c:pt>
                <c:pt idx="4">
                  <c:v>-6089.3368504615364</c:v>
                </c:pt>
                <c:pt idx="5">
                  <c:v>-3732.7757829230713</c:v>
                </c:pt>
                <c:pt idx="6">
                  <c:v>-3386.7613869230718</c:v>
                </c:pt>
                <c:pt idx="7">
                  <c:v>-1113.0486369230703</c:v>
                </c:pt>
                <c:pt idx="8">
                  <c:v>-404.77154192306944</c:v>
                </c:pt>
                <c:pt idx="9">
                  <c:v>157.73876307693183</c:v>
                </c:pt>
                <c:pt idx="10">
                  <c:v>667.92252807693228</c:v>
                </c:pt>
                <c:pt idx="11">
                  <c:v>942.63686307693342</c:v>
                </c:pt>
                <c:pt idx="12">
                  <c:v>973.78361307693422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B-469D-BDA7-616D78789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29152"/>
        <c:axId val="251663488"/>
      </c:scatterChart>
      <c:valAx>
        <c:axId val="251329152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63488"/>
        <c:crosses val="autoZero"/>
        <c:crossBetween val="midCat"/>
      </c:valAx>
      <c:valAx>
        <c:axId val="25166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2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Shear </a:t>
            </a:r>
            <a:r>
              <a:rPr lang="en-US" altLang="zh-CN"/>
              <a:t>Force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Gear Load'!$D$67:$P$67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-5699.6100000000006</c:v>
                </c:pt>
                <c:pt idx="3">
                  <c:v>-5699.6100000000006</c:v>
                </c:pt>
                <c:pt idx="4">
                  <c:v>4302.6660000000011</c:v>
                </c:pt>
                <c:pt idx="5">
                  <c:v>4302.6660000000011</c:v>
                </c:pt>
                <c:pt idx="6">
                  <c:v>2481.9300000000012</c:v>
                </c:pt>
                <c:pt idx="7">
                  <c:v>1098.7200000000012</c:v>
                </c:pt>
                <c:pt idx="8">
                  <c:v>760.27500000000123</c:v>
                </c:pt>
                <c:pt idx="9">
                  <c:v>716.13000000000125</c:v>
                </c:pt>
                <c:pt idx="10">
                  <c:v>622.9350000000012</c:v>
                </c:pt>
                <c:pt idx="11">
                  <c:v>98.10000000000116</c:v>
                </c:pt>
                <c:pt idx="12">
                  <c:v>1.1510792319313623E-12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2F-44ED-BA0F-A6F994308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414976"/>
        <c:axId val="250421632"/>
      </c:scatterChart>
      <c:valAx>
        <c:axId val="25041497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21632"/>
        <c:crosses val="autoZero"/>
        <c:crossBetween val="midCat"/>
      </c:valAx>
      <c:valAx>
        <c:axId val="25042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SF,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1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Gear+</a:t>
            </a:r>
            <a:r>
              <a:rPr lang="en-US" altLang="zh-CN" baseline="0"/>
              <a:t>Tail </a:t>
            </a:r>
            <a:r>
              <a:rPr lang="en-US" altLang="zh-CN"/>
              <a:t>Load 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CD"/>
            </a:solidFill>
            <a:ln w="19050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cat>
          <c:val>
            <c:numRef>
              <c:f>'Fuselage Gear Load'!$D$66:$P$66</c:f>
              <c:numCache>
                <c:formatCode>0.0</c:formatCode>
                <c:ptCount val="13"/>
                <c:pt idx="0">
                  <c:v>0</c:v>
                </c:pt>
                <c:pt idx="1">
                  <c:v>-3973.05</c:v>
                </c:pt>
                <c:pt idx="2">
                  <c:v>-1726.5600000000002</c:v>
                </c:pt>
                <c:pt idx="3">
                  <c:v>0</c:v>
                </c:pt>
                <c:pt idx="4">
                  <c:v>10002.276000000002</c:v>
                </c:pt>
                <c:pt idx="5">
                  <c:v>0</c:v>
                </c:pt>
                <c:pt idx="6">
                  <c:v>-1820.7360000000001</c:v>
                </c:pt>
                <c:pt idx="7">
                  <c:v>-1383.21</c:v>
                </c:pt>
                <c:pt idx="8">
                  <c:v>-338.44499999999999</c:v>
                </c:pt>
                <c:pt idx="9">
                  <c:v>-44.145000000000003</c:v>
                </c:pt>
                <c:pt idx="10">
                  <c:v>-93.195000000000007</c:v>
                </c:pt>
                <c:pt idx="11">
                  <c:v>-524.83500000000004</c:v>
                </c:pt>
                <c:pt idx="12">
                  <c:v>-98.100000000000009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42-4F1C-9414-C88DB75A5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450688"/>
        <c:axId val="250452608"/>
      </c:barChart>
      <c:catAx>
        <c:axId val="250450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2608"/>
        <c:crosses val="autoZero"/>
        <c:auto val="1"/>
        <c:lblAlgn val="ctr"/>
        <c:lblOffset val="100"/>
        <c:noMultiLvlLbl val="1"/>
      </c:catAx>
      <c:valAx>
        <c:axId val="250452608"/>
        <c:scaling>
          <c:orientation val="minMax"/>
          <c:max val="16000"/>
          <c:min val="-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Load, N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50688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Fuselage</a:t>
            </a:r>
            <a:r>
              <a:rPr lang="en-US" altLang="zh-CN" baseline="0"/>
              <a:t> Bending Moment </a:t>
            </a:r>
            <a:r>
              <a:rPr lang="en-US" altLang="zh-CN"/>
              <a:t>Diagram </a:t>
            </a:r>
            <a:endParaRPr lang="en-GB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0000C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CD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'Fuselage Gear Load'!$D$63:$P$63</c:f>
              <c:numCache>
                <c:formatCode>General</c:formatCode>
                <c:ptCount val="13"/>
                <c:pt idx="0">
                  <c:v>0</c:v>
                </c:pt>
                <c:pt idx="1">
                  <c:v>27.9</c:v>
                </c:pt>
                <c:pt idx="2">
                  <c:v>127</c:v>
                </c:pt>
                <c:pt idx="3">
                  <c:v>185.4</c:v>
                </c:pt>
                <c:pt idx="4">
                  <c:v>203.2</c:v>
                </c:pt>
                <c:pt idx="5">
                  <c:v>294.60000000000002</c:v>
                </c:pt>
                <c:pt idx="6">
                  <c:v>304.8</c:v>
                </c:pt>
                <c:pt idx="7">
                  <c:v>431.8</c:v>
                </c:pt>
                <c:pt idx="8">
                  <c:v>508</c:v>
                </c:pt>
                <c:pt idx="9">
                  <c:v>584.20000000000005</c:v>
                </c:pt>
                <c:pt idx="10">
                  <c:v>660.4</c:v>
                </c:pt>
                <c:pt idx="11">
                  <c:v>736.6</c:v>
                </c:pt>
                <c:pt idx="12">
                  <c:v>800.1</c:v>
                </c:pt>
              </c:numCache>
            </c:numRef>
          </c:xVal>
          <c:yVal>
            <c:numRef>
              <c:f>'Fuselage Gear Load'!$D$69:$P$69</c:f>
              <c:numCache>
                <c:formatCode>0.0</c:formatCode>
                <c:ptCount val="13"/>
                <c:pt idx="0">
                  <c:v>0</c:v>
                </c:pt>
                <c:pt idx="1">
                  <c:v>-554.24047500000006</c:v>
                </c:pt>
                <c:pt idx="2">
                  <c:v>-5347.0435049999996</c:v>
                </c:pt>
                <c:pt idx="3">
                  <c:v>-8675.6157449999992</c:v>
                </c:pt>
                <c:pt idx="4">
                  <c:v>-8799.9437609999986</c:v>
                </c:pt>
                <c:pt idx="5">
                  <c:v>-4867.3070369999959</c:v>
                </c:pt>
                <c:pt idx="6">
                  <c:v>-4521.2926409999964</c:v>
                </c:pt>
                <c:pt idx="7">
                  <c:v>-2247.5798909999949</c:v>
                </c:pt>
                <c:pt idx="8">
                  <c:v>-1539.302795999994</c:v>
                </c:pt>
                <c:pt idx="9">
                  <c:v>-976.79249099999276</c:v>
                </c:pt>
                <c:pt idx="10">
                  <c:v>-466.60872599999232</c:v>
                </c:pt>
                <c:pt idx="11">
                  <c:v>-191.89439099999123</c:v>
                </c:pt>
                <c:pt idx="12">
                  <c:v>-160.74764099999049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88-4469-A675-06CD553A4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628736"/>
        <c:axId val="250635392"/>
      </c:scatterChart>
      <c:valAx>
        <c:axId val="250628736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Fuselage</a:t>
                </a:r>
                <a:r>
                  <a:rPr lang="en-GB" altLang="en-US" baseline="0"/>
                  <a:t> stations, cm</a:t>
                </a:r>
                <a:endParaRPr lang="en-GB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35392"/>
        <c:crosses val="autoZero"/>
        <c:crossBetween val="midCat"/>
      </c:valAx>
      <c:valAx>
        <c:axId val="25063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GB" altLang="en-US"/>
                  <a:t>BM, Nm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2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gif"/><Relationship Id="rId5" Type="http://schemas.openxmlformats.org/officeDocument/2006/relationships/image" Target="../media/image5.png"/><Relationship Id="rId4" Type="http://schemas.openxmlformats.org/officeDocument/2006/relationships/image" Target="../media/image9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4.xml"/><Relationship Id="rId7" Type="http://schemas.openxmlformats.org/officeDocument/2006/relationships/chart" Target="../charts/chart7.xml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image" Target="../media/image5.png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chart" Target="../charts/chart15.xml"/><Relationship Id="rId3" Type="http://schemas.openxmlformats.org/officeDocument/2006/relationships/chart" Target="../charts/chart11.xml"/><Relationship Id="rId12" Type="http://schemas.openxmlformats.org/officeDocument/2006/relationships/chart" Target="../charts/chart14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11" Type="http://schemas.openxmlformats.org/officeDocument/2006/relationships/chart" Target="../charts/chart13.xml"/><Relationship Id="rId5" Type="http://schemas.openxmlformats.org/officeDocument/2006/relationships/customXml" Target="../ink/ink1.xml"/><Relationship Id="rId10" Type="http://schemas.openxmlformats.org/officeDocument/2006/relationships/image" Target="../media/image5.png"/><Relationship Id="rId4" Type="http://schemas.openxmlformats.org/officeDocument/2006/relationships/chart" Target="../charts/chart12.xml"/><Relationship Id="rId9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19.xml"/><Relationship Id="rId2" Type="http://schemas.openxmlformats.org/officeDocument/2006/relationships/image" Target="../media/image10.emf"/><Relationship Id="rId1" Type="http://schemas.openxmlformats.org/officeDocument/2006/relationships/image" Target="../media/image9.emf"/><Relationship Id="rId6" Type="http://schemas.openxmlformats.org/officeDocument/2006/relationships/chart" Target="../charts/chart18.xml"/><Relationship Id="rId5" Type="http://schemas.openxmlformats.org/officeDocument/2006/relationships/image" Target="../media/image5.png"/><Relationship Id="rId4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ustomXml" Target="../ink/ink2.xml"/><Relationship Id="rId11" Type="http://schemas.openxmlformats.org/officeDocument/2006/relationships/chart" Target="../charts/chart25.xml"/><Relationship Id="rId5" Type="http://schemas.openxmlformats.org/officeDocument/2006/relationships/chart" Target="../charts/chart24.xml"/><Relationship Id="rId10" Type="http://schemas.openxmlformats.org/officeDocument/2006/relationships/image" Target="../media/image5.png"/><Relationship Id="rId4" Type="http://schemas.openxmlformats.org/officeDocument/2006/relationships/chart" Target="../charts/chart23.xml"/><Relationship Id="rId9" Type="http://schemas.openxmlformats.org/officeDocument/2006/relationships/image" Target="../media/image1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image" Target="../media/image14.emf"/><Relationship Id="rId7" Type="http://schemas.openxmlformats.org/officeDocument/2006/relationships/chart" Target="../charts/chart28.xml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6" Type="http://schemas.openxmlformats.org/officeDocument/2006/relationships/image" Target="../media/image6.gif"/><Relationship Id="rId5" Type="http://schemas.openxmlformats.org/officeDocument/2006/relationships/image" Target="../media/image16.emf"/><Relationship Id="rId4" Type="http://schemas.openxmlformats.org/officeDocument/2006/relationships/image" Target="../media/image15.emf"/><Relationship Id="rId9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image" Target="../media/image5.png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jp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7" Type="http://schemas.openxmlformats.org/officeDocument/2006/relationships/image" Target="../media/image5.png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7.jp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image" Target="../media/image5.png"/><Relationship Id="rId4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469733</xdr:colOff>
      <xdr:row>1</xdr:row>
      <xdr:rowOff>315712</xdr:rowOff>
    </xdr:from>
    <xdr:to>
      <xdr:col>22</xdr:col>
      <xdr:colOff>633247</xdr:colOff>
      <xdr:row>12</xdr:row>
      <xdr:rowOff>46482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7676" y="809198"/>
          <a:ext cx="7624084" cy="2084126"/>
        </a:xfrm>
        <a:prstGeom prst="rect">
          <a:avLst/>
        </a:prstGeom>
      </xdr:spPr>
    </xdr:pic>
    <xdr:clientData/>
  </xdr:twoCellAnchor>
  <xdr:twoCellAnchor editAs="oneCell">
    <xdr:from>
      <xdr:col>2</xdr:col>
      <xdr:colOff>8724</xdr:colOff>
      <xdr:row>27</xdr:row>
      <xdr:rowOff>184012</xdr:rowOff>
    </xdr:from>
    <xdr:to>
      <xdr:col>12</xdr:col>
      <xdr:colOff>467655</xdr:colOff>
      <xdr:row>52</xdr:row>
      <xdr:rowOff>167457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438" y="5735726"/>
          <a:ext cx="7966899" cy="4702176"/>
        </a:xfrm>
        <a:prstGeom prst="rect">
          <a:avLst/>
        </a:prstGeom>
      </xdr:spPr>
    </xdr:pic>
    <xdr:clientData/>
  </xdr:twoCellAnchor>
  <xdr:twoCellAnchor editAs="oneCell">
    <xdr:from>
      <xdr:col>13</xdr:col>
      <xdr:colOff>8891</xdr:colOff>
      <xdr:row>27</xdr:row>
      <xdr:rowOff>143104</xdr:rowOff>
    </xdr:from>
    <xdr:to>
      <xdr:col>26</xdr:col>
      <xdr:colOff>300638</xdr:colOff>
      <xdr:row>53</xdr:row>
      <xdr:rowOff>8730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4707" y="5709487"/>
          <a:ext cx="9075249" cy="4781911"/>
        </a:xfrm>
        <a:prstGeom prst="rect">
          <a:avLst/>
        </a:prstGeom>
      </xdr:spPr>
    </xdr:pic>
    <xdr:clientData/>
  </xdr:twoCellAnchor>
  <xdr:twoCellAnchor editAs="oneCell">
    <xdr:from>
      <xdr:col>2</xdr:col>
      <xdr:colOff>512</xdr:colOff>
      <xdr:row>1</xdr:row>
      <xdr:rowOff>326564</xdr:rowOff>
    </xdr:from>
    <xdr:to>
      <xdr:col>11</xdr:col>
      <xdr:colOff>469729</xdr:colOff>
      <xdr:row>12</xdr:row>
      <xdr:rowOff>19561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5003" y="820453"/>
          <a:ext cx="7260669" cy="2055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32505</xdr:colOff>
      <xdr:row>0</xdr:row>
      <xdr:rowOff>430752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50D0B-151F-C978-3128-A4F07F10F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080955" cy="432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9762</xdr:colOff>
      <xdr:row>32</xdr:row>
      <xdr:rowOff>8441</xdr:rowOff>
    </xdr:from>
    <xdr:to>
      <xdr:col>40</xdr:col>
      <xdr:colOff>288844</xdr:colOff>
      <xdr:row>38</xdr:row>
      <xdr:rowOff>158389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70040" y="6146774"/>
          <a:ext cx="8322415" cy="1275966"/>
        </a:xfrm>
        <a:prstGeom prst="rect">
          <a:avLst/>
        </a:prstGeom>
      </xdr:spPr>
    </xdr:pic>
    <xdr:clientData/>
  </xdr:twoCellAnchor>
  <xdr:twoCellAnchor editAs="oneCell">
    <xdr:from>
      <xdr:col>2</xdr:col>
      <xdr:colOff>56387</xdr:colOff>
      <xdr:row>50</xdr:row>
      <xdr:rowOff>2642</xdr:rowOff>
    </xdr:from>
    <xdr:to>
      <xdr:col>11</xdr:col>
      <xdr:colOff>150</xdr:colOff>
      <xdr:row>65</xdr:row>
      <xdr:rowOff>139960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907" y="9959442"/>
          <a:ext cx="6632000" cy="3032918"/>
        </a:xfrm>
        <a:prstGeom prst="rect">
          <a:avLst/>
        </a:prstGeom>
      </xdr:spPr>
    </xdr:pic>
    <xdr:clientData/>
  </xdr:twoCellAnchor>
  <xdr:twoCellAnchor editAs="oneCell">
    <xdr:from>
      <xdr:col>2</xdr:col>
      <xdr:colOff>29823</xdr:colOff>
      <xdr:row>32</xdr:row>
      <xdr:rowOff>9146</xdr:rowOff>
    </xdr:from>
    <xdr:to>
      <xdr:col>11</xdr:col>
      <xdr:colOff>4347</xdr:colOff>
      <xdr:row>50</xdr:row>
      <xdr:rowOff>11180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7084" y="6326789"/>
          <a:ext cx="6672403" cy="3493466"/>
        </a:xfrm>
        <a:prstGeom prst="rect">
          <a:avLst/>
        </a:prstGeom>
      </xdr:spPr>
    </xdr:pic>
    <xdr:clientData/>
  </xdr:twoCellAnchor>
  <xdr:twoCellAnchor>
    <xdr:from>
      <xdr:col>2</xdr:col>
      <xdr:colOff>11943</xdr:colOff>
      <xdr:row>12</xdr:row>
      <xdr:rowOff>26089</xdr:rowOff>
    </xdr:from>
    <xdr:to>
      <xdr:col>13</xdr:col>
      <xdr:colOff>21866</xdr:colOff>
      <xdr:row>29</xdr:row>
      <xdr:rowOff>51556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3040893" y="2407339"/>
          <a:ext cx="8096648" cy="2959167"/>
          <a:chOff x="246529" y="493059"/>
          <a:chExt cx="7281583" cy="3291410"/>
        </a:xfrm>
      </xdr:grpSpPr>
      <xdr:sp macro="" textlink="">
        <xdr:nvSpPr>
          <xdr:cNvPr id="7" name="Rounded Rectangle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8" name="Rounded Rectangle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CxnSpPr/>
        </xdr:nvCxnSpPr>
        <xdr:spPr>
          <a:xfrm>
            <a:off x="1804147" y="2196353"/>
            <a:ext cx="0" cy="157800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CxnSpPr/>
        </xdr:nvCxnSpPr>
        <xdr:spPr>
          <a:xfrm>
            <a:off x="7519147" y="2185148"/>
            <a:ext cx="0" cy="1599321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Arrow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>
            <a:off x="1826559" y="3595606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CxnSpPr/>
        </xdr:nvCxnSpPr>
        <xdr:spPr>
          <a:xfrm>
            <a:off x="1837766" y="2625304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CxnSpPr/>
        </xdr:nvCxnSpPr>
        <xdr:spPr>
          <a:xfrm>
            <a:off x="4247029" y="2221892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>
            <a:off x="4863353" y="2566147"/>
            <a:ext cx="0" cy="6725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CxnSpPr/>
        </xdr:nvCxnSpPr>
        <xdr:spPr>
          <a:xfrm>
            <a:off x="1815354" y="3117262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3574680" y="3315459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2409264" y="2837116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2319618" y="2345157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CxnSpPr/>
        </xdr:nvCxnSpPr>
        <xdr:spPr>
          <a:xfrm>
            <a:off x="268941" y="2830267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280148" y="252880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 editAs="oneCell">
    <xdr:from>
      <xdr:col>12</xdr:col>
      <xdr:colOff>20320</xdr:colOff>
      <xdr:row>32</xdr:row>
      <xdr:rowOff>14225</xdr:rowOff>
    </xdr:from>
    <xdr:to>
      <xdr:col>27</xdr:col>
      <xdr:colOff>100231</xdr:colOff>
      <xdr:row>66</xdr:row>
      <xdr:rowOff>33095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3840" y="6496305"/>
          <a:ext cx="11286391" cy="6582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0</xdr:row>
      <xdr:rowOff>1</xdr:rowOff>
    </xdr:from>
    <xdr:to>
      <xdr:col>0</xdr:col>
      <xdr:colOff>1993307</xdr:colOff>
      <xdr:row>0</xdr:row>
      <xdr:rowOff>414131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17CFEB-70B5-ECED-62AB-DF7E4A29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"/>
          <a:ext cx="1993306" cy="4141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13810</xdr:colOff>
      <xdr:row>12</xdr:row>
      <xdr:rowOff>4892</xdr:rowOff>
    </xdr:from>
    <xdr:to>
      <xdr:col>22</xdr:col>
      <xdr:colOff>427404</xdr:colOff>
      <xdr:row>37</xdr:row>
      <xdr:rowOff>0</xdr:rowOff>
    </xdr:to>
    <xdr:graphicFrame macro="">
      <xdr:nvGraphicFramePr>
        <xdr:cNvPr id="9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14418</xdr:colOff>
      <xdr:row>52</xdr:row>
      <xdr:rowOff>21615</xdr:rowOff>
    </xdr:from>
    <xdr:to>
      <xdr:col>7</xdr:col>
      <xdr:colOff>135257</xdr:colOff>
      <xdr:row>65</xdr:row>
      <xdr:rowOff>177527</xdr:rowOff>
    </xdr:to>
    <xdr:graphicFrame macro="">
      <xdr:nvGraphicFramePr>
        <xdr:cNvPr id="7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652957</xdr:colOff>
      <xdr:row>52</xdr:row>
      <xdr:rowOff>21867</xdr:rowOff>
    </xdr:from>
    <xdr:to>
      <xdr:col>13</xdr:col>
      <xdr:colOff>77112</xdr:colOff>
      <xdr:row>66</xdr:row>
      <xdr:rowOff>19553</xdr:rowOff>
    </xdr:to>
    <xdr:graphicFrame macro="">
      <xdr:nvGraphicFramePr>
        <xdr:cNvPr id="8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</xdr:colOff>
      <xdr:row>0</xdr:row>
      <xdr:rowOff>0</xdr:rowOff>
    </xdr:from>
    <xdr:to>
      <xdr:col>0</xdr:col>
      <xdr:colOff>1978639</xdr:colOff>
      <xdr:row>0</xdr:row>
      <xdr:rowOff>416831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966BEF-23F3-5323-616C-269FE6AB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0"/>
          <a:ext cx="1971382" cy="409575"/>
        </a:xfrm>
        <a:prstGeom prst="rect">
          <a:avLst/>
        </a:prstGeom>
      </xdr:spPr>
    </xdr:pic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0.56758</cdr:x>
      <cdr:y>0.10748</cdr:y>
    </cdr:from>
    <cdr:to>
      <cdr:x>0.63735</cdr:x>
      <cdr:y>0.17207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102229" y="529745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/>
            <a:t>Vau</a:t>
          </a:r>
        </a:p>
      </cdr:txBody>
    </cdr:sp>
  </cdr:relSizeAnchor>
  <cdr:relSizeAnchor xmlns:cdr="http://schemas.openxmlformats.org/drawingml/2006/chartDrawing">
    <cdr:from>
      <cdr:x>0.71685</cdr:x>
      <cdr:y>0.10509</cdr:y>
    </cdr:from>
    <cdr:to>
      <cdr:x>0.80093</cdr:x>
      <cdr:y>0.16968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181107" y="517966"/>
          <a:ext cx="607700" cy="318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/>
            <a:t>Vne</a:t>
          </a:r>
        </a:p>
      </cdr:txBody>
    </cdr:sp>
  </cdr:relSizeAnchor>
  <cdr:relSizeAnchor xmlns:cdr="http://schemas.openxmlformats.org/drawingml/2006/chartDrawing">
    <cdr:from>
      <cdr:x>0.51897</cdr:x>
      <cdr:y>0.86264</cdr:y>
    </cdr:from>
    <cdr:to>
      <cdr:x>0.58874</cdr:x>
      <cdr:y>0.92723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D871823-23C7-01F4-3612-D9EFCC773E1D}"/>
            </a:ext>
          </a:extLst>
        </cdr:cNvPr>
        <cdr:cNvSpPr txBox="1"/>
      </cdr:nvSpPr>
      <cdr:spPr>
        <a:xfrm xmlns:a="http://schemas.openxmlformats.org/drawingml/2006/main">
          <a:off x="3750896" y="4251569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Vgu</a:t>
          </a:r>
        </a:p>
      </cdr:txBody>
    </cdr:sp>
  </cdr:relSizeAnchor>
  <cdr:relSizeAnchor xmlns:cdr="http://schemas.openxmlformats.org/drawingml/2006/chartDrawing">
    <cdr:from>
      <cdr:x>0.45138</cdr:x>
      <cdr:y>0.26056</cdr:y>
    </cdr:from>
    <cdr:to>
      <cdr:x>0.52115</cdr:x>
      <cdr:y>0.32515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5BA9FD2-9725-2BB1-5ED3-C4394E29558D}"/>
            </a:ext>
          </a:extLst>
        </cdr:cNvPr>
        <cdr:cNvSpPr txBox="1"/>
      </cdr:nvSpPr>
      <cdr:spPr>
        <a:xfrm xmlns:a="http://schemas.openxmlformats.org/drawingml/2006/main">
          <a:off x="3262435" y="1284166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Va</a:t>
          </a:r>
        </a:p>
      </cdr:txBody>
    </cdr:sp>
  </cdr:relSizeAnchor>
  <cdr:relSizeAnchor xmlns:cdr="http://schemas.openxmlformats.org/drawingml/2006/chartDrawing">
    <cdr:from>
      <cdr:x>0.41928</cdr:x>
      <cdr:y>0.7561</cdr:y>
    </cdr:from>
    <cdr:to>
      <cdr:x>0.48905</cdr:x>
      <cdr:y>0.82069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6D5ABB2-71F2-1D73-C9BF-D25637731D86}"/>
            </a:ext>
          </a:extLst>
        </cdr:cNvPr>
        <cdr:cNvSpPr txBox="1"/>
      </cdr:nvSpPr>
      <cdr:spPr>
        <a:xfrm xmlns:a="http://schemas.openxmlformats.org/drawingml/2006/main">
          <a:off x="3030415" y="3726473"/>
          <a:ext cx="504272" cy="318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/>
            <a:t>Vg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28863</xdr:colOff>
      <xdr:row>2</xdr:row>
      <xdr:rowOff>21398</xdr:rowOff>
    </xdr:from>
    <xdr:to>
      <xdr:col>23</xdr:col>
      <xdr:colOff>345233</xdr:colOff>
      <xdr:row>23</xdr:row>
      <xdr:rowOff>158216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9242" y="752610"/>
          <a:ext cx="6310384" cy="42307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31922</xdr:colOff>
      <xdr:row>2</xdr:row>
      <xdr:rowOff>43240</xdr:rowOff>
    </xdr:from>
    <xdr:to>
      <xdr:col>35</xdr:col>
      <xdr:colOff>410538</xdr:colOff>
      <xdr:row>23</xdr:row>
      <xdr:rowOff>141009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0104" y="774452"/>
          <a:ext cx="6308458" cy="4191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23654</xdr:colOff>
      <xdr:row>2</xdr:row>
      <xdr:rowOff>40056</xdr:rowOff>
    </xdr:from>
    <xdr:to>
      <xdr:col>12</xdr:col>
      <xdr:colOff>428853</xdr:colOff>
      <xdr:row>23</xdr:row>
      <xdr:rowOff>129212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GrpSpPr/>
      </xdr:nvGrpSpPr>
      <xdr:grpSpPr>
        <a:xfrm>
          <a:off x="2652554" y="716331"/>
          <a:ext cx="8749099" cy="3956306"/>
          <a:chOff x="246529" y="459441"/>
          <a:chExt cx="7283823" cy="4090147"/>
        </a:xfrm>
      </xdr:grpSpPr>
      <xdr:sp macro="" textlink="">
        <xdr:nvSpPr>
          <xdr:cNvPr id="17" name="Freeform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9" name="Rounded Rectangle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4" name="Rounded Rectangle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300-00000B00000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300-00000C000000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22" name="Straight Arrow Connector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Straight Arrow Connector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36" name="Straight Arrow Connector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>
    <xdr:from>
      <xdr:col>12</xdr:col>
      <xdr:colOff>636</xdr:colOff>
      <xdr:row>41</xdr:row>
      <xdr:rowOff>181295</xdr:rowOff>
    </xdr:from>
    <xdr:to>
      <xdr:col>16</xdr:col>
      <xdr:colOff>911225</xdr:colOff>
      <xdr:row>52</xdr:row>
      <xdr:rowOff>19212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11206</xdr:colOff>
      <xdr:row>57</xdr:row>
      <xdr:rowOff>8111</xdr:rowOff>
    </xdr:from>
    <xdr:to>
      <xdr:col>21</xdr:col>
      <xdr:colOff>457321</xdr:colOff>
      <xdr:row>71</xdr:row>
      <xdr:rowOff>68622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587679</xdr:colOff>
      <xdr:row>71</xdr:row>
      <xdr:rowOff>142023</xdr:rowOff>
    </xdr:from>
    <xdr:to>
      <xdr:col>21</xdr:col>
      <xdr:colOff>441700</xdr:colOff>
      <xdr:row>86</xdr:row>
      <xdr:rowOff>1738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76200</xdr:rowOff>
    </xdr:from>
    <xdr:to>
      <xdr:col>0</xdr:col>
      <xdr:colOff>1696305</xdr:colOff>
      <xdr:row>0</xdr:row>
      <xdr:rowOff>430212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64EB18-023D-B3B5-4A9A-D08F936BE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6200"/>
          <a:ext cx="1696305" cy="352425"/>
        </a:xfrm>
        <a:prstGeom prst="rect">
          <a:avLst/>
        </a:prstGeom>
      </xdr:spPr>
    </xdr:pic>
    <xdr:clientData/>
  </xdr:twoCellAnchor>
  <xdr:twoCellAnchor>
    <xdr:from>
      <xdr:col>32</xdr:col>
      <xdr:colOff>16566</xdr:colOff>
      <xdr:row>57</xdr:row>
      <xdr:rowOff>0</xdr:rowOff>
    </xdr:from>
    <xdr:to>
      <xdr:col>41</xdr:col>
      <xdr:colOff>133404</xdr:colOff>
      <xdr:row>68</xdr:row>
      <xdr:rowOff>104455</xdr:rowOff>
    </xdr:to>
    <xdr:graphicFrame macro="">
      <xdr:nvGraphicFramePr>
        <xdr:cNvPr id="3" name="Chart 45">
          <a:extLst>
            <a:ext uri="{FF2B5EF4-FFF2-40B4-BE49-F238E27FC236}">
              <a16:creationId xmlns:a16="http://schemas.microsoft.com/office/drawing/2014/main" id="{16693280-F3E0-4E76-844D-2CE2D958A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134471</xdr:colOff>
      <xdr:row>42</xdr:row>
      <xdr:rowOff>14941</xdr:rowOff>
    </xdr:from>
    <xdr:to>
      <xdr:col>22</xdr:col>
      <xdr:colOff>36529</xdr:colOff>
      <xdr:row>52</xdr:row>
      <xdr:rowOff>39623</xdr:rowOff>
    </xdr:to>
    <xdr:graphicFrame macro="">
      <xdr:nvGraphicFramePr>
        <xdr:cNvPr id="13" name="Chart 45">
          <a:extLst>
            <a:ext uri="{FF2B5EF4-FFF2-40B4-BE49-F238E27FC236}">
              <a16:creationId xmlns:a16="http://schemas.microsoft.com/office/drawing/2014/main" id="{5C15A041-884F-4BCF-95C4-213F039802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0.27621</cdr:x>
      <cdr:y>0.68281</cdr:y>
    </cdr:from>
    <cdr:to>
      <cdr:x>0.63355</cdr:x>
      <cdr:y>0.81735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=−61370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𝐿_𝑚𝑖𝑛=−61370𝑁/𝑚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0.74604</cdr:x>
      <cdr:y>0.07214</cdr:y>
    </cdr:from>
    <cdr:to>
      <cdr:x>0.94438</cdr:x>
      <cdr:y>0.19021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0.82627</cdr:x>
      <cdr:y>0.71785</cdr:y>
    </cdr:from>
    <cdr:to>
      <cdr:x>0.91077</cdr:x>
      <cdr:y>0.78243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7041" y="1438055"/>
              <a:ext cx="304458" cy="1293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7041" y="1438055"/>
              <a:ext cx="304458" cy="129354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0.30536</cdr:x>
      <cdr:y>0.72358</cdr:y>
    </cdr:from>
    <cdr:to>
      <cdr:x>0.52158</cdr:x>
      <cdr:y>0.85812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887045" y="1525921"/>
              <a:ext cx="1336177" cy="28372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=−230139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0000CD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1887045" y="1525921"/>
              <a:ext cx="1336177" cy="28372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𝐿_𝑚𝑖𝑛=−230139𝑁/𝑚</a:t>
              </a:r>
              <a:endParaRPr lang="zh-CN" altLang="en-US" sz="11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0.8244</cdr:x>
      <cdr:y>0.15848</cdr:y>
    </cdr:from>
    <cdr:to>
      <cdr:x>0.94931</cdr:x>
      <cdr:y>0.25843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5094568" y="334200"/>
              <a:ext cx="771907" cy="210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0000CD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5094568" y="334200"/>
              <a:ext cx="771907" cy="2107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105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0.77772</cdr:x>
      <cdr:y>0.73394</cdr:y>
    </cdr:from>
    <cdr:to>
      <cdr:x>0.96525</cdr:x>
      <cdr:y>0.87715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4806055" y="1547758"/>
              <a:ext cx="1158880" cy="30202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20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n</m:t>
                        </m:r>
                      </m:e>
                      <m:sub>
                        <m: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𝑢𝑙𝑡𝑖𝑚𝑎𝑡𝑒</m:t>
                        </m:r>
                      </m:sub>
                    </m:sSub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=3.5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4806055" y="1547758"/>
              <a:ext cx="1158880" cy="302023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n_𝑢𝑙𝑡𝑖𝑚𝑎𝑡𝑒=3.5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0.27621</cdr:x>
      <cdr:y>0.68281</cdr:y>
    </cdr:from>
    <cdr:to>
      <cdr:x>0.63355</cdr:x>
      <cdr:y>0.81735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=−230179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95048" y="1377239"/>
              <a:ext cx="1287270" cy="27137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𝐿_𝑚𝑖𝑛=−230179𝑁/𝑚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0.74604</cdr:x>
      <cdr:y>0.07214</cdr:y>
    </cdr:from>
    <cdr:to>
      <cdr:x>0.94438</cdr:x>
      <cdr:y>0.19021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87573" y="145503"/>
              <a:ext cx="714509" cy="23816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0.7937</cdr:x>
      <cdr:y>0.71785</cdr:y>
    </cdr:from>
    <cdr:to>
      <cdr:x>0.8782</cdr:x>
      <cdr:y>0.78243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57102" y="1441325"/>
              <a:ext cx="304176" cy="12966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en-US" altLang="zh-CN" sz="900" b="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57102" y="1441325"/>
              <a:ext cx="304176" cy="12966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en-US" altLang="zh-CN" sz="900" b="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33615</xdr:colOff>
      <xdr:row>1</xdr:row>
      <xdr:rowOff>212911</xdr:rowOff>
    </xdr:from>
    <xdr:to>
      <xdr:col>12</xdr:col>
      <xdr:colOff>448233</xdr:colOff>
      <xdr:row>23</xdr:row>
      <xdr:rowOff>67236</xdr:rowOff>
    </xdr:to>
    <xdr:grpSp>
      <xdr:nvGrpSpPr>
        <xdr:cNvPr id="2" name="Group 3">
          <a:extLst>
            <a:ext uri="{FF2B5EF4-FFF2-40B4-BE49-F238E27FC236}">
              <a16:creationId xmlns:a16="http://schemas.microsoft.com/office/drawing/2014/main" id="{320A3A08-2785-43B2-89A1-D69D076C6E2A}"/>
            </a:ext>
          </a:extLst>
        </xdr:cNvPr>
        <xdr:cNvGrpSpPr/>
      </xdr:nvGrpSpPr>
      <xdr:grpSpPr>
        <a:xfrm>
          <a:off x="2662515" y="708211"/>
          <a:ext cx="8996643" cy="4112000"/>
          <a:chOff x="246529" y="459441"/>
          <a:chExt cx="7283823" cy="4090147"/>
        </a:xfrm>
      </xdr:grpSpPr>
      <xdr:sp macro="" textlink="">
        <xdr:nvSpPr>
          <xdr:cNvPr id="3" name="Freeform 4">
            <a:extLst>
              <a:ext uri="{FF2B5EF4-FFF2-40B4-BE49-F238E27FC236}">
                <a16:creationId xmlns:a16="http://schemas.microsoft.com/office/drawing/2014/main" id="{53F8C730-3211-97F0-383D-D599DAC94B9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4" name="Rounded Rectangle 5">
            <a:extLst>
              <a:ext uri="{FF2B5EF4-FFF2-40B4-BE49-F238E27FC236}">
                <a16:creationId xmlns:a16="http://schemas.microsoft.com/office/drawing/2014/main" id="{5592FC6A-415B-73D8-939E-EEC909060CE3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5" name="Rounded Rectangle 6">
            <a:extLst>
              <a:ext uri="{FF2B5EF4-FFF2-40B4-BE49-F238E27FC236}">
                <a16:creationId xmlns:a16="http://schemas.microsoft.com/office/drawing/2014/main" id="{52762658-79E8-8634-DC2E-940C8AA6A5A2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6" name="Straight Connector 7">
            <a:extLst>
              <a:ext uri="{FF2B5EF4-FFF2-40B4-BE49-F238E27FC236}">
                <a16:creationId xmlns:a16="http://schemas.microsoft.com/office/drawing/2014/main" id="{7DA2E35B-0610-32C9-BD42-11709D4CC925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Straight Connector 8">
            <a:extLst>
              <a:ext uri="{FF2B5EF4-FFF2-40B4-BE49-F238E27FC236}">
                <a16:creationId xmlns:a16="http://schemas.microsoft.com/office/drawing/2014/main" id="{0C655BD7-0292-E885-5AC7-6AE723A7FAD8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" name="Straight Arrow Connector 9">
            <a:extLst>
              <a:ext uri="{FF2B5EF4-FFF2-40B4-BE49-F238E27FC236}">
                <a16:creationId xmlns:a16="http://schemas.microsoft.com/office/drawing/2014/main" id="{151F7006-50CE-A92E-C267-5933831BB1E9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Rectangle 10">
            <a:extLst>
              <a:ext uri="{FF2B5EF4-FFF2-40B4-BE49-F238E27FC236}">
                <a16:creationId xmlns:a16="http://schemas.microsoft.com/office/drawing/2014/main" id="{B1DACEB4-DF84-3309-AF28-EF46F1D92A6A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0" name="Straight Arrow Connector 11">
            <a:extLst>
              <a:ext uri="{FF2B5EF4-FFF2-40B4-BE49-F238E27FC236}">
                <a16:creationId xmlns:a16="http://schemas.microsoft.com/office/drawing/2014/main" id="{B280C6B7-7F00-1F58-1EAF-243E8728C5EC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" name="Straight Connector 12">
            <a:extLst>
              <a:ext uri="{FF2B5EF4-FFF2-40B4-BE49-F238E27FC236}">
                <a16:creationId xmlns:a16="http://schemas.microsoft.com/office/drawing/2014/main" id="{7902850A-BC80-9A5E-8849-AB366A662758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2" name="Rectangle 13">
            <a:extLst>
              <a:ext uri="{FF2B5EF4-FFF2-40B4-BE49-F238E27FC236}">
                <a16:creationId xmlns:a16="http://schemas.microsoft.com/office/drawing/2014/main" id="{BA63F090-50A9-94BE-7118-10A17B59A151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3" name="Straight Connector 14">
            <a:extLst>
              <a:ext uri="{FF2B5EF4-FFF2-40B4-BE49-F238E27FC236}">
                <a16:creationId xmlns:a16="http://schemas.microsoft.com/office/drawing/2014/main" id="{61DDE3AC-33F6-5C45-F416-00B711D11B31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" name="Straight Arrow Connector 15">
            <a:extLst>
              <a:ext uri="{FF2B5EF4-FFF2-40B4-BE49-F238E27FC236}">
                <a16:creationId xmlns:a16="http://schemas.microsoft.com/office/drawing/2014/main" id="{545FB11B-3C42-5BFF-45B6-F48169772E31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5" name="TextBox 16">
            <a:extLst>
              <a:ext uri="{FF2B5EF4-FFF2-40B4-BE49-F238E27FC236}">
                <a16:creationId xmlns:a16="http://schemas.microsoft.com/office/drawing/2014/main" id="{D64D0916-D8C0-BF0C-804F-A6890C230BD7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6" name="TextBox 17">
            <a:extLst>
              <a:ext uri="{FF2B5EF4-FFF2-40B4-BE49-F238E27FC236}">
                <a16:creationId xmlns:a16="http://schemas.microsoft.com/office/drawing/2014/main" id="{4C8C7B5A-671C-A3ED-7DE9-90640047B666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7" name="TextBox 18">
            <a:extLst>
              <a:ext uri="{FF2B5EF4-FFF2-40B4-BE49-F238E27FC236}">
                <a16:creationId xmlns:a16="http://schemas.microsoft.com/office/drawing/2014/main" id="{95558AA7-8F8E-9149-10E9-471CDC878F5D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18" name="Straight Arrow Connector 19">
            <a:extLst>
              <a:ext uri="{FF2B5EF4-FFF2-40B4-BE49-F238E27FC236}">
                <a16:creationId xmlns:a16="http://schemas.microsoft.com/office/drawing/2014/main" id="{0A80BF10-CBB7-9ABF-B1F7-E641AC074805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Straight Connector 20">
            <a:extLst>
              <a:ext uri="{FF2B5EF4-FFF2-40B4-BE49-F238E27FC236}">
                <a16:creationId xmlns:a16="http://schemas.microsoft.com/office/drawing/2014/main" id="{63EE27CC-7790-53D2-FEB8-38BBA15AF1FC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0" name="TextBox 21">
            <a:extLst>
              <a:ext uri="{FF2B5EF4-FFF2-40B4-BE49-F238E27FC236}">
                <a16:creationId xmlns:a16="http://schemas.microsoft.com/office/drawing/2014/main" id="{7D048EBC-775F-FFED-9BDF-2B9DA3C7C2AF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</a:t>
            </a:r>
            <a:r>
              <a:rPr lang="en-GB" sz="1200"/>
              <a:t>.12 m</a:t>
            </a:r>
          </a:p>
        </xdr:txBody>
      </xdr:sp>
    </xdr:grpSp>
    <xdr:clientData/>
  </xdr:twoCellAnchor>
  <xdr:twoCellAnchor>
    <xdr:from>
      <xdr:col>9</xdr:col>
      <xdr:colOff>18495</xdr:colOff>
      <xdr:row>54</xdr:row>
      <xdr:rowOff>228256</xdr:rowOff>
    </xdr:from>
    <xdr:to>
      <xdr:col>19</xdr:col>
      <xdr:colOff>224974</xdr:colOff>
      <xdr:row>69</xdr:row>
      <xdr:rowOff>55502</xdr:rowOff>
    </xdr:to>
    <xdr:graphicFrame macro="">
      <xdr:nvGraphicFramePr>
        <xdr:cNvPr id="22" name="Chart 24">
          <a:extLst>
            <a:ext uri="{FF2B5EF4-FFF2-40B4-BE49-F238E27FC236}">
              <a16:creationId xmlns:a16="http://schemas.microsoft.com/office/drawing/2014/main" id="{C3EF2BA6-03A5-4908-8BB5-ECB29F897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576417</xdr:colOff>
      <xdr:row>70</xdr:row>
      <xdr:rowOff>133504</xdr:rowOff>
    </xdr:from>
    <xdr:to>
      <xdr:col>19</xdr:col>
      <xdr:colOff>199733</xdr:colOff>
      <xdr:row>85</xdr:row>
      <xdr:rowOff>8376</xdr:rowOff>
    </xdr:to>
    <xdr:graphicFrame macro="">
      <xdr:nvGraphicFramePr>
        <xdr:cNvPr id="23" name="Chart 25">
          <a:extLst>
            <a:ext uri="{FF2B5EF4-FFF2-40B4-BE49-F238E27FC236}">
              <a16:creationId xmlns:a16="http://schemas.microsoft.com/office/drawing/2014/main" id="{399EAD2E-957F-4C4A-A8E7-61E7A58CE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4105</xdr:colOff>
      <xdr:row>112</xdr:row>
      <xdr:rowOff>8016</xdr:rowOff>
    </xdr:from>
    <xdr:to>
      <xdr:col>16</xdr:col>
      <xdr:colOff>188041</xdr:colOff>
      <xdr:row>127</xdr:row>
      <xdr:rowOff>8015</xdr:rowOff>
    </xdr:to>
    <xdr:graphicFrame macro="">
      <xdr:nvGraphicFramePr>
        <xdr:cNvPr id="24" name="Chart 26">
          <a:extLst>
            <a:ext uri="{FF2B5EF4-FFF2-40B4-BE49-F238E27FC236}">
              <a16:creationId xmlns:a16="http://schemas.microsoft.com/office/drawing/2014/main" id="{84F46CD2-21AB-4726-8501-395F42C0B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2416</xdr:colOff>
      <xdr:row>128</xdr:row>
      <xdr:rowOff>4966</xdr:rowOff>
    </xdr:from>
    <xdr:to>
      <xdr:col>16</xdr:col>
      <xdr:colOff>265749</xdr:colOff>
      <xdr:row>145</xdr:row>
      <xdr:rowOff>65479</xdr:rowOff>
    </xdr:to>
    <xdr:graphicFrame macro="">
      <xdr:nvGraphicFramePr>
        <xdr:cNvPr id="25" name="Chart 27">
          <a:extLst>
            <a:ext uri="{FF2B5EF4-FFF2-40B4-BE49-F238E27FC236}">
              <a16:creationId xmlns:a16="http://schemas.microsoft.com/office/drawing/2014/main" id="{E6340B4C-06C1-4100-A055-67879E8A2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</xdr:col>
      <xdr:colOff>245948</xdr:colOff>
      <xdr:row>62</xdr:row>
      <xdr:rowOff>7158</xdr:rowOff>
    </xdr:from>
    <xdr:to>
      <xdr:col>2</xdr:col>
      <xdr:colOff>247748</xdr:colOff>
      <xdr:row>62</xdr:row>
      <xdr:rowOff>7518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6" name="Ink 1">
              <a:extLst>
                <a:ext uri="{FF2B5EF4-FFF2-40B4-BE49-F238E27FC236}">
                  <a16:creationId xmlns:a16="http://schemas.microsoft.com/office/drawing/2014/main" id="{D488F4C8-3C62-4ABD-AFD3-BAB31547314E}"/>
                </a:ext>
              </a:extLst>
            </xdr14:cNvPr>
            <xdr14:cNvContentPartPr/>
          </xdr14:nvContentPartPr>
          <xdr14:nvPr macro=""/>
          <xdr14:xfrm>
            <a:off x="9666360" y="6170393"/>
            <a:ext cx="180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660240" y="6164273"/>
              <a:ext cx="1404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63500</xdr:colOff>
      <xdr:row>26</xdr:row>
      <xdr:rowOff>76200</xdr:rowOff>
    </xdr:from>
    <xdr:to>
      <xdr:col>16</xdr:col>
      <xdr:colOff>802859</xdr:colOff>
      <xdr:row>30</xdr:row>
      <xdr:rowOff>208375</xdr:rowOff>
    </xdr:to>
    <xdr:pic>
      <xdr:nvPicPr>
        <xdr:cNvPr id="27" name="Picture 2">
          <a:extLst>
            <a:ext uri="{FF2B5EF4-FFF2-40B4-BE49-F238E27FC236}">
              <a16:creationId xmlns:a16="http://schemas.microsoft.com/office/drawing/2014/main" id="{36F8EAC6-710B-48C1-9B0C-12326D3F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60200" y="5486400"/>
          <a:ext cx="2758659" cy="10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81040</xdr:rowOff>
    </xdr:from>
    <xdr:to>
      <xdr:col>0</xdr:col>
      <xdr:colOff>1688282</xdr:colOff>
      <xdr:row>0</xdr:row>
      <xdr:rowOff>431799</xdr:rowOff>
    </xdr:to>
    <xdr:pic>
      <xdr:nvPicPr>
        <xdr:cNvPr id="28" name="Picture 22">
          <a:extLst>
            <a:ext uri="{FF2B5EF4-FFF2-40B4-BE49-F238E27FC236}">
              <a16:creationId xmlns:a16="http://schemas.microsoft.com/office/drawing/2014/main" id="{DF9816C8-C391-495E-BC12-C0B2F3BF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040"/>
          <a:ext cx="1688282" cy="350759"/>
        </a:xfrm>
        <a:prstGeom prst="rect">
          <a:avLst/>
        </a:prstGeom>
      </xdr:spPr>
    </xdr:pic>
    <xdr:clientData/>
  </xdr:twoCellAnchor>
  <xdr:twoCellAnchor>
    <xdr:from>
      <xdr:col>9</xdr:col>
      <xdr:colOff>10885</xdr:colOff>
      <xdr:row>44</xdr:row>
      <xdr:rowOff>27214</xdr:rowOff>
    </xdr:from>
    <xdr:to>
      <xdr:col>13</xdr:col>
      <xdr:colOff>662276</xdr:colOff>
      <xdr:row>53</xdr:row>
      <xdr:rowOff>27536</xdr:rowOff>
    </xdr:to>
    <xdr:graphicFrame macro="">
      <xdr:nvGraphicFramePr>
        <xdr:cNvPr id="29" name="Chart 45">
          <a:extLst>
            <a:ext uri="{FF2B5EF4-FFF2-40B4-BE49-F238E27FC236}">
              <a16:creationId xmlns:a16="http://schemas.microsoft.com/office/drawing/2014/main" id="{6CABD681-303E-44BC-B3A9-26531B94D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607787</xdr:colOff>
      <xdr:row>44</xdr:row>
      <xdr:rowOff>27214</xdr:rowOff>
    </xdr:from>
    <xdr:to>
      <xdr:col>19</xdr:col>
      <xdr:colOff>479035</xdr:colOff>
      <xdr:row>53</xdr:row>
      <xdr:rowOff>27536</xdr:rowOff>
    </xdr:to>
    <xdr:graphicFrame macro="">
      <xdr:nvGraphicFramePr>
        <xdr:cNvPr id="30" name="Chart 45">
          <a:extLst>
            <a:ext uri="{FF2B5EF4-FFF2-40B4-BE49-F238E27FC236}">
              <a16:creationId xmlns:a16="http://schemas.microsoft.com/office/drawing/2014/main" id="{359FD8F4-DB12-49E2-A91A-8C946BC5C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138546</xdr:colOff>
      <xdr:row>32</xdr:row>
      <xdr:rowOff>69272</xdr:rowOff>
    </xdr:from>
    <xdr:to>
      <xdr:col>25</xdr:col>
      <xdr:colOff>473898</xdr:colOff>
      <xdr:row>41</xdr:row>
      <xdr:rowOff>93954</xdr:rowOff>
    </xdr:to>
    <xdr:graphicFrame macro="">
      <xdr:nvGraphicFramePr>
        <xdr:cNvPr id="31" name="Chart 45">
          <a:extLst>
            <a:ext uri="{FF2B5EF4-FFF2-40B4-BE49-F238E27FC236}">
              <a16:creationId xmlns:a16="http://schemas.microsoft.com/office/drawing/2014/main" id="{70FA41DF-F7E8-4FF7-B7CD-DF12D8FFA6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0.16334</cdr:x>
      <cdr:y>0.00873</cdr:y>
    </cdr:from>
    <cdr:to>
      <cdr:x>0.46309</cdr:x>
      <cdr:y>0.10234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=91601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𝐿_𝑚𝑎𝑥=91601𝑁/𝑚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0.71973</cdr:x>
      <cdr:y>0.70699</cdr:y>
    </cdr:from>
    <cdr:to>
      <cdr:x>0.91807</cdr:x>
      <cdr:y>0.82506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0.83111</cdr:x>
      <cdr:y>0.06753</cdr:y>
    </cdr:from>
    <cdr:to>
      <cdr:x>0.91561</cdr:x>
      <cdr:y>0.13211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3007833" y="140053"/>
              <a:ext cx="305810" cy="13393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3007833" y="140053"/>
              <a:ext cx="305810" cy="13393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0.16334</cdr:x>
      <cdr:y>0.00873</cdr:y>
    </cdr:from>
    <cdr:to>
      <cdr:x>0.46309</cdr:x>
      <cdr:y>0.10234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=343504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588396" y="17612"/>
              <a:ext cx="1079826" cy="188919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𝐿_𝑚𝑎𝑥=343504𝑁/𝑚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0.71973</cdr:x>
      <cdr:y>0.70699</cdr:y>
    </cdr:from>
    <cdr:to>
      <cdr:x>0.91807</cdr:x>
      <cdr:y>0.82506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91032" y="1432921"/>
              <a:ext cx="714024" cy="2393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0.79305</cdr:x>
      <cdr:y>0.06753</cdr:y>
    </cdr:from>
    <cdr:to>
      <cdr:x>0.95076</cdr:x>
      <cdr:y>0.15348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0.17788</cdr:x>
      <cdr:y>0.0425</cdr:y>
    </cdr:from>
    <cdr:to>
      <cdr:x>0.47763</cdr:x>
      <cdr:y>0.13611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9945" y="84617"/>
              <a:ext cx="1078414" cy="18636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=336230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39945" y="84617"/>
              <a:ext cx="1078414" cy="186367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𝐿_𝑚𝑎𝑥=336230𝑁/𝑚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0.70935</cdr:x>
      <cdr:y>0.68448</cdr:y>
    </cdr:from>
    <cdr:to>
      <cdr:x>0.90769</cdr:x>
      <cdr:y>0.80255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52030" y="1362720"/>
              <a:ext cx="713570" cy="23506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0000CD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0000CD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552030" y="1362720"/>
              <a:ext cx="713570" cy="23506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0000CD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800" kern="1200">
                <a:solidFill>
                  <a:srgbClr val="0000CD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0.79305</cdr:x>
      <cdr:y>0.06753</cdr:y>
    </cdr:from>
    <cdr:to>
      <cdr:x>0.95076</cdr:x>
      <cdr:y>0.15348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=3.75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64756" y="136507"/>
              <a:ext cx="569686" cy="17373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n=3.75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28863</xdr:colOff>
      <xdr:row>2</xdr:row>
      <xdr:rowOff>21398</xdr:rowOff>
    </xdr:from>
    <xdr:to>
      <xdr:col>23</xdr:col>
      <xdr:colOff>345233</xdr:colOff>
      <xdr:row>23</xdr:row>
      <xdr:rowOff>158216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ECCDEDA3-0D2F-4692-AECA-9F72FB02F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5163" y="700848"/>
          <a:ext cx="7187070" cy="4067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31922</xdr:colOff>
      <xdr:row>2</xdr:row>
      <xdr:rowOff>43240</xdr:rowOff>
    </xdr:from>
    <xdr:to>
      <xdr:col>35</xdr:col>
      <xdr:colOff>468265</xdr:colOff>
      <xdr:row>23</xdr:row>
      <xdr:rowOff>141009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E1B20BFD-249C-49D5-BB82-C3D460542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55122" y="722690"/>
          <a:ext cx="7167343" cy="4028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23654</xdr:colOff>
      <xdr:row>2</xdr:row>
      <xdr:rowOff>40056</xdr:rowOff>
    </xdr:from>
    <xdr:to>
      <xdr:col>12</xdr:col>
      <xdr:colOff>428853</xdr:colOff>
      <xdr:row>23</xdr:row>
      <xdr:rowOff>129212</xdr:rowOff>
    </xdr:to>
    <xdr:grpSp>
      <xdr:nvGrpSpPr>
        <xdr:cNvPr id="4" name="Group 42">
          <a:extLst>
            <a:ext uri="{FF2B5EF4-FFF2-40B4-BE49-F238E27FC236}">
              <a16:creationId xmlns:a16="http://schemas.microsoft.com/office/drawing/2014/main" id="{ABB7B04A-F917-4408-8EFA-252397E4B541}"/>
            </a:ext>
          </a:extLst>
        </xdr:cNvPr>
        <xdr:cNvGrpSpPr/>
      </xdr:nvGrpSpPr>
      <xdr:grpSpPr>
        <a:xfrm>
          <a:off x="2652554" y="716331"/>
          <a:ext cx="8806249" cy="3956306"/>
          <a:chOff x="246529" y="459441"/>
          <a:chExt cx="7283823" cy="4090147"/>
        </a:xfrm>
      </xdr:grpSpPr>
      <xdr:sp macro="" textlink="">
        <xdr:nvSpPr>
          <xdr:cNvPr id="5" name="Freeform 16">
            <a:extLst>
              <a:ext uri="{FF2B5EF4-FFF2-40B4-BE49-F238E27FC236}">
                <a16:creationId xmlns:a16="http://schemas.microsoft.com/office/drawing/2014/main" id="{9A6E8238-8CB8-B4F9-4CD6-00BC96A4157A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6" name="Rounded Rectangle 8">
            <a:extLst>
              <a:ext uri="{FF2B5EF4-FFF2-40B4-BE49-F238E27FC236}">
                <a16:creationId xmlns:a16="http://schemas.microsoft.com/office/drawing/2014/main" id="{6FE252EF-745E-843D-552F-E9FA7791D5D6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7" name="Rounded Rectangle 3">
            <a:extLst>
              <a:ext uri="{FF2B5EF4-FFF2-40B4-BE49-F238E27FC236}">
                <a16:creationId xmlns:a16="http://schemas.microsoft.com/office/drawing/2014/main" id="{454BBCCF-1991-6207-9EAE-350C7B97ABC2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8" name="Straight Connector 10">
            <a:extLst>
              <a:ext uri="{FF2B5EF4-FFF2-40B4-BE49-F238E27FC236}">
                <a16:creationId xmlns:a16="http://schemas.microsoft.com/office/drawing/2014/main" id="{7B6F7BC4-9BC2-A597-AD92-6E81D960FE7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11">
            <a:extLst>
              <a:ext uri="{FF2B5EF4-FFF2-40B4-BE49-F238E27FC236}">
                <a16:creationId xmlns:a16="http://schemas.microsoft.com/office/drawing/2014/main" id="{6D1BF3BD-409E-8479-E9E0-FAE7BA32BDDD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Arrow Connector 13">
            <a:extLst>
              <a:ext uri="{FF2B5EF4-FFF2-40B4-BE49-F238E27FC236}">
                <a16:creationId xmlns:a16="http://schemas.microsoft.com/office/drawing/2014/main" id="{14413728-1D9B-3198-C287-2B3C0A118ED5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Rectangle 20">
            <a:extLst>
              <a:ext uri="{FF2B5EF4-FFF2-40B4-BE49-F238E27FC236}">
                <a16:creationId xmlns:a16="http://schemas.microsoft.com/office/drawing/2014/main" id="{9A2A48DE-DBFF-5103-E8B3-DC74F3820045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2" name="Straight Arrow Connector 21">
            <a:extLst>
              <a:ext uri="{FF2B5EF4-FFF2-40B4-BE49-F238E27FC236}">
                <a16:creationId xmlns:a16="http://schemas.microsoft.com/office/drawing/2014/main" id="{4ABE1554-BC2C-E1F1-9588-B02BA5DB5C15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Connector 23">
            <a:extLst>
              <a:ext uri="{FF2B5EF4-FFF2-40B4-BE49-F238E27FC236}">
                <a16:creationId xmlns:a16="http://schemas.microsoft.com/office/drawing/2014/main" id="{804F6D41-581A-B9D5-73D0-798467B15508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" name="Rectangle 26">
            <a:extLst>
              <a:ext uri="{FF2B5EF4-FFF2-40B4-BE49-F238E27FC236}">
                <a16:creationId xmlns:a16="http://schemas.microsoft.com/office/drawing/2014/main" id="{AE347127-8C42-4563-4443-A13F62B902F8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5" name="Straight Connector 27">
            <a:extLst>
              <a:ext uri="{FF2B5EF4-FFF2-40B4-BE49-F238E27FC236}">
                <a16:creationId xmlns:a16="http://schemas.microsoft.com/office/drawing/2014/main" id="{910368C4-5F34-1C48-3DE2-0BBB992593CC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Straight Arrow Connector 29">
            <a:extLst>
              <a:ext uri="{FF2B5EF4-FFF2-40B4-BE49-F238E27FC236}">
                <a16:creationId xmlns:a16="http://schemas.microsoft.com/office/drawing/2014/main" id="{85BAB4D4-C96F-68F0-763F-C2B467D6B206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" name="TextBox 32">
            <a:extLst>
              <a:ext uri="{FF2B5EF4-FFF2-40B4-BE49-F238E27FC236}">
                <a16:creationId xmlns:a16="http://schemas.microsoft.com/office/drawing/2014/main" id="{C78495E9-C47F-762B-0F83-25917094F03C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8" name="TextBox 33">
            <a:extLst>
              <a:ext uri="{FF2B5EF4-FFF2-40B4-BE49-F238E27FC236}">
                <a16:creationId xmlns:a16="http://schemas.microsoft.com/office/drawing/2014/main" id="{ACA93A73-3888-7603-0BA2-3707C4FBD249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9" name="TextBox 34">
            <a:extLst>
              <a:ext uri="{FF2B5EF4-FFF2-40B4-BE49-F238E27FC236}">
                <a16:creationId xmlns:a16="http://schemas.microsoft.com/office/drawing/2014/main" id="{008A2DBF-FF5B-BFE1-1697-3891793075E4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0" name="Straight Arrow Connector 35">
            <a:extLst>
              <a:ext uri="{FF2B5EF4-FFF2-40B4-BE49-F238E27FC236}">
                <a16:creationId xmlns:a16="http://schemas.microsoft.com/office/drawing/2014/main" id="{A8A500FD-8C3D-0B8F-F6B6-8B18C807E03B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37">
            <a:extLst>
              <a:ext uri="{FF2B5EF4-FFF2-40B4-BE49-F238E27FC236}">
                <a16:creationId xmlns:a16="http://schemas.microsoft.com/office/drawing/2014/main" id="{BA7773D8-7FE9-E131-CB93-3F99AF3182A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" name="TextBox 41">
            <a:extLst>
              <a:ext uri="{FF2B5EF4-FFF2-40B4-BE49-F238E27FC236}">
                <a16:creationId xmlns:a16="http://schemas.microsoft.com/office/drawing/2014/main" id="{FF9B0FFD-B1E6-8F09-9CC6-21E82C987B52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1.</a:t>
            </a:r>
            <a:r>
              <a:rPr lang="en-GB" sz="1200"/>
              <a:t>12 m</a:t>
            </a:r>
          </a:p>
        </xdr:txBody>
      </xdr:sp>
    </xdr:grpSp>
    <xdr:clientData/>
  </xdr:twoCellAnchor>
  <xdr:twoCellAnchor>
    <xdr:from>
      <xdr:col>12</xdr:col>
      <xdr:colOff>11206</xdr:colOff>
      <xdr:row>57</xdr:row>
      <xdr:rowOff>8111</xdr:rowOff>
    </xdr:from>
    <xdr:to>
      <xdr:col>21</xdr:col>
      <xdr:colOff>457321</xdr:colOff>
      <xdr:row>71</xdr:row>
      <xdr:rowOff>68622</xdr:rowOff>
    </xdr:to>
    <xdr:graphicFrame macro="">
      <xdr:nvGraphicFramePr>
        <xdr:cNvPr id="24" name="Chart 46">
          <a:extLst>
            <a:ext uri="{FF2B5EF4-FFF2-40B4-BE49-F238E27FC236}">
              <a16:creationId xmlns:a16="http://schemas.microsoft.com/office/drawing/2014/main" id="{EBE41FEF-D1FB-415A-A2B1-B969756AFC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587679</xdr:colOff>
      <xdr:row>71</xdr:row>
      <xdr:rowOff>142023</xdr:rowOff>
    </xdr:from>
    <xdr:to>
      <xdr:col>21</xdr:col>
      <xdr:colOff>441700</xdr:colOff>
      <xdr:row>86</xdr:row>
      <xdr:rowOff>1738</xdr:rowOff>
    </xdr:to>
    <xdr:graphicFrame macro="">
      <xdr:nvGraphicFramePr>
        <xdr:cNvPr id="25" name="Chart 47">
          <a:extLst>
            <a:ext uri="{FF2B5EF4-FFF2-40B4-BE49-F238E27FC236}">
              <a16:creationId xmlns:a16="http://schemas.microsoft.com/office/drawing/2014/main" id="{75C0992D-E090-4B14-9C70-26DE62170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0</xdr:row>
      <xdr:rowOff>76200</xdr:rowOff>
    </xdr:from>
    <xdr:to>
      <xdr:col>0</xdr:col>
      <xdr:colOff>1696305</xdr:colOff>
      <xdr:row>0</xdr:row>
      <xdr:rowOff>430212</xdr:rowOff>
    </xdr:to>
    <xdr:pic>
      <xdr:nvPicPr>
        <xdr:cNvPr id="26" name="Picture 1">
          <a:extLst>
            <a:ext uri="{FF2B5EF4-FFF2-40B4-BE49-F238E27FC236}">
              <a16:creationId xmlns:a16="http://schemas.microsoft.com/office/drawing/2014/main" id="{F4769027-E30D-4138-AD4B-821BDB96D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"/>
          <a:ext cx="1696305" cy="354012"/>
        </a:xfrm>
        <a:prstGeom prst="rect">
          <a:avLst/>
        </a:prstGeom>
      </xdr:spPr>
    </xdr:pic>
    <xdr:clientData/>
  </xdr:twoCellAnchor>
  <xdr:twoCellAnchor>
    <xdr:from>
      <xdr:col>11</xdr:col>
      <xdr:colOff>660400</xdr:colOff>
      <xdr:row>43</xdr:row>
      <xdr:rowOff>38099</xdr:rowOff>
    </xdr:from>
    <xdr:to>
      <xdr:col>16</xdr:col>
      <xdr:colOff>894900</xdr:colOff>
      <xdr:row>53</xdr:row>
      <xdr:rowOff>134499</xdr:rowOff>
    </xdr:to>
    <xdr:graphicFrame macro="">
      <xdr:nvGraphicFramePr>
        <xdr:cNvPr id="28" name="Chart 45">
          <a:extLst>
            <a:ext uri="{FF2B5EF4-FFF2-40B4-BE49-F238E27FC236}">
              <a16:creationId xmlns:a16="http://schemas.microsoft.com/office/drawing/2014/main" id="{EE1DD775-E586-4229-9AD3-9C57C6DF4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1073150</xdr:colOff>
      <xdr:row>43</xdr:row>
      <xdr:rowOff>31750</xdr:rowOff>
    </xdr:from>
    <xdr:to>
      <xdr:col>21</xdr:col>
      <xdr:colOff>494850</xdr:colOff>
      <xdr:row>53</xdr:row>
      <xdr:rowOff>128150</xdr:rowOff>
    </xdr:to>
    <xdr:graphicFrame macro="">
      <xdr:nvGraphicFramePr>
        <xdr:cNvPr id="30" name="Chart 45">
          <a:extLst>
            <a:ext uri="{FF2B5EF4-FFF2-40B4-BE49-F238E27FC236}">
              <a16:creationId xmlns:a16="http://schemas.microsoft.com/office/drawing/2014/main" id="{582D1880-6A9C-4401-AA6D-B35F5FE33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0.18356</cdr:x>
      <cdr:y>0.68681</cdr:y>
    </cdr:from>
    <cdr:to>
      <cdr:x>0.5409</cdr:x>
      <cdr:y>0.82135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=−2108660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𝐿_𝑚𝑖𝑛=−2108660𝑁/𝑚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0.7399</cdr:x>
      <cdr:y>0.05592</cdr:y>
    </cdr:from>
    <cdr:to>
      <cdr:x>0.93824</cdr:x>
      <cdr:y>0.17399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0.82627</cdr:x>
      <cdr:y>0.70974</cdr:y>
    </cdr:from>
    <cdr:to>
      <cdr:x>0.91077</cdr:x>
      <cdr:y>0.77432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2748" y="1449670"/>
              <a:ext cx="304013" cy="13190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=1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972748" y="1449670"/>
              <a:ext cx="304013" cy="131907"/>
            </a:xfrm>
            <a:prstGeom xmlns:a="http://schemas.openxmlformats.org/drawingml/2006/main" prst="rect">
              <a:avLst/>
            </a:prstGeom>
            <a:noFill xmlns:a="http://schemas.openxmlformats.org/drawingml/2006/main"/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n=1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0.18356</cdr:x>
      <cdr:y>0.68681</cdr:y>
    </cdr:from>
    <cdr:to>
      <cdr:x>0.5409</cdr:x>
      <cdr:y>0.82135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=−5949830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660823" y="1392018"/>
              <a:ext cx="1286425" cy="27268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𝐿_𝑚𝑖𝑛=−5949830𝑁/𝑚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0.7399</cdr:x>
      <cdr:y>0.05592</cdr:y>
    </cdr:from>
    <cdr:to>
      <cdr:x>0.93824</cdr:x>
      <cdr:y>0.17399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2662010" y="114219"/>
              <a:ext cx="713586" cy="241162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0.78375</cdr:x>
      <cdr:y>0.71189</cdr:y>
    </cdr:from>
    <cdr:to>
      <cdr:x>0.94115</cdr:x>
      <cdr:y>0.77152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33615</xdr:colOff>
      <xdr:row>1</xdr:row>
      <xdr:rowOff>212911</xdr:rowOff>
    </xdr:from>
    <xdr:to>
      <xdr:col>12</xdr:col>
      <xdr:colOff>448233</xdr:colOff>
      <xdr:row>23</xdr:row>
      <xdr:rowOff>67236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2662515" y="708211"/>
          <a:ext cx="8844243" cy="4112000"/>
          <a:chOff x="246529" y="459441"/>
          <a:chExt cx="7283823" cy="4090147"/>
        </a:xfrm>
      </xdr:grpSpPr>
      <xdr:sp macro="" textlink="">
        <xdr:nvSpPr>
          <xdr:cNvPr id="5" name="Freeform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1815353" y="459441"/>
            <a:ext cx="5714999" cy="1580030"/>
          </a:xfrm>
          <a:custGeom>
            <a:avLst/>
            <a:gdLst>
              <a:gd name="connsiteX0" fmla="*/ 0 w 3429000"/>
              <a:gd name="connsiteY0" fmla="*/ 956 h 1782692"/>
              <a:gd name="connsiteX1" fmla="*/ 11206 w 3429000"/>
              <a:gd name="connsiteY1" fmla="*/ 1782692 h 1782692"/>
              <a:gd name="connsiteX2" fmla="*/ 3429000 w 3429000"/>
              <a:gd name="connsiteY2" fmla="*/ 1771486 h 1782692"/>
              <a:gd name="connsiteX3" fmla="*/ 3429000 w 3429000"/>
              <a:gd name="connsiteY3" fmla="*/ 1771486 h 1782692"/>
              <a:gd name="connsiteX4" fmla="*/ 3417794 w 3429000"/>
              <a:gd name="connsiteY4" fmla="*/ 1412897 h 1782692"/>
              <a:gd name="connsiteX5" fmla="*/ 3395382 w 3429000"/>
              <a:gd name="connsiteY5" fmla="*/ 1323250 h 1782692"/>
              <a:gd name="connsiteX6" fmla="*/ 3372971 w 3429000"/>
              <a:gd name="connsiteY6" fmla="*/ 1289633 h 1782692"/>
              <a:gd name="connsiteX7" fmla="*/ 3361765 w 3429000"/>
              <a:gd name="connsiteY7" fmla="*/ 1256015 h 1782692"/>
              <a:gd name="connsiteX8" fmla="*/ 3328147 w 3429000"/>
              <a:gd name="connsiteY8" fmla="*/ 1233603 h 1782692"/>
              <a:gd name="connsiteX9" fmla="*/ 3294529 w 3429000"/>
              <a:gd name="connsiteY9" fmla="*/ 1188780 h 1782692"/>
              <a:gd name="connsiteX10" fmla="*/ 3249706 w 3429000"/>
              <a:gd name="connsiteY10" fmla="*/ 1121545 h 1782692"/>
              <a:gd name="connsiteX11" fmla="*/ 3216088 w 3429000"/>
              <a:gd name="connsiteY11" fmla="*/ 1087927 h 1782692"/>
              <a:gd name="connsiteX12" fmla="*/ 3148853 w 3429000"/>
              <a:gd name="connsiteY12" fmla="*/ 975868 h 1782692"/>
              <a:gd name="connsiteX13" fmla="*/ 3115235 w 3429000"/>
              <a:gd name="connsiteY13" fmla="*/ 953456 h 1782692"/>
              <a:gd name="connsiteX14" fmla="*/ 3036794 w 3429000"/>
              <a:gd name="connsiteY14" fmla="*/ 875015 h 1782692"/>
              <a:gd name="connsiteX15" fmla="*/ 2980765 w 3429000"/>
              <a:gd name="connsiteY15" fmla="*/ 830192 h 1782692"/>
              <a:gd name="connsiteX16" fmla="*/ 2913529 w 3429000"/>
              <a:gd name="connsiteY16" fmla="*/ 785368 h 1782692"/>
              <a:gd name="connsiteX17" fmla="*/ 2846294 w 3429000"/>
              <a:gd name="connsiteY17" fmla="*/ 740545 h 1782692"/>
              <a:gd name="connsiteX18" fmla="*/ 2812676 w 3429000"/>
              <a:gd name="connsiteY18" fmla="*/ 718133 h 1782692"/>
              <a:gd name="connsiteX19" fmla="*/ 2745441 w 3429000"/>
              <a:gd name="connsiteY19" fmla="*/ 684515 h 1782692"/>
              <a:gd name="connsiteX20" fmla="*/ 2711824 w 3429000"/>
              <a:gd name="connsiteY20" fmla="*/ 673309 h 1782692"/>
              <a:gd name="connsiteX21" fmla="*/ 2644588 w 3429000"/>
              <a:gd name="connsiteY21" fmla="*/ 628486 h 1782692"/>
              <a:gd name="connsiteX22" fmla="*/ 2543735 w 3429000"/>
              <a:gd name="connsiteY22" fmla="*/ 561250 h 1782692"/>
              <a:gd name="connsiteX23" fmla="*/ 2510118 w 3429000"/>
              <a:gd name="connsiteY23" fmla="*/ 538839 h 1782692"/>
              <a:gd name="connsiteX24" fmla="*/ 2431676 w 3429000"/>
              <a:gd name="connsiteY24" fmla="*/ 505221 h 1782692"/>
              <a:gd name="connsiteX25" fmla="*/ 2386853 w 3429000"/>
              <a:gd name="connsiteY25" fmla="*/ 482809 h 1782692"/>
              <a:gd name="connsiteX26" fmla="*/ 2353235 w 3429000"/>
              <a:gd name="connsiteY26" fmla="*/ 471603 h 1782692"/>
              <a:gd name="connsiteX27" fmla="*/ 2252382 w 3429000"/>
              <a:gd name="connsiteY27" fmla="*/ 415574 h 1782692"/>
              <a:gd name="connsiteX28" fmla="*/ 2185147 w 3429000"/>
              <a:gd name="connsiteY28" fmla="*/ 370750 h 1782692"/>
              <a:gd name="connsiteX29" fmla="*/ 1983441 w 3429000"/>
              <a:gd name="connsiteY29" fmla="*/ 303515 h 1782692"/>
              <a:gd name="connsiteX30" fmla="*/ 1882588 w 3429000"/>
              <a:gd name="connsiteY30" fmla="*/ 269897 h 1782692"/>
              <a:gd name="connsiteX31" fmla="*/ 1848971 w 3429000"/>
              <a:gd name="connsiteY31" fmla="*/ 258692 h 1782692"/>
              <a:gd name="connsiteX32" fmla="*/ 1714500 w 3429000"/>
              <a:gd name="connsiteY32" fmla="*/ 236280 h 1782692"/>
              <a:gd name="connsiteX33" fmla="*/ 1647265 w 3429000"/>
              <a:gd name="connsiteY33" fmla="*/ 225074 h 1782692"/>
              <a:gd name="connsiteX34" fmla="*/ 1479176 w 3429000"/>
              <a:gd name="connsiteY34" fmla="*/ 169045 h 1782692"/>
              <a:gd name="connsiteX35" fmla="*/ 1411941 w 3429000"/>
              <a:gd name="connsiteY35" fmla="*/ 146633 h 1782692"/>
              <a:gd name="connsiteX36" fmla="*/ 1378324 w 3429000"/>
              <a:gd name="connsiteY36" fmla="*/ 135427 h 1782692"/>
              <a:gd name="connsiteX37" fmla="*/ 1288676 w 3429000"/>
              <a:gd name="connsiteY37" fmla="*/ 124221 h 1782692"/>
              <a:gd name="connsiteX38" fmla="*/ 1154206 w 3429000"/>
              <a:gd name="connsiteY38" fmla="*/ 101809 h 1782692"/>
              <a:gd name="connsiteX39" fmla="*/ 1109382 w 3429000"/>
              <a:gd name="connsiteY39" fmla="*/ 90603 h 1782692"/>
              <a:gd name="connsiteX40" fmla="*/ 829235 w 3429000"/>
              <a:gd name="connsiteY40" fmla="*/ 56986 h 1782692"/>
              <a:gd name="connsiteX41" fmla="*/ 616324 w 3429000"/>
              <a:gd name="connsiteY41" fmla="*/ 34574 h 1782692"/>
              <a:gd name="connsiteX42" fmla="*/ 515471 w 3429000"/>
              <a:gd name="connsiteY42" fmla="*/ 23368 h 1782692"/>
              <a:gd name="connsiteX43" fmla="*/ 190500 w 3429000"/>
              <a:gd name="connsiteY43" fmla="*/ 12162 h 1782692"/>
              <a:gd name="connsiteX44" fmla="*/ 0 w 3429000"/>
              <a:gd name="connsiteY44" fmla="*/ 956 h 178269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</a:cxnLst>
            <a:rect l="l" t="t" r="r" b="b"/>
            <a:pathLst>
              <a:path w="3429000" h="1782692">
                <a:moveTo>
                  <a:pt x="0" y="956"/>
                </a:moveTo>
                <a:cubicBezTo>
                  <a:pt x="3735" y="594868"/>
                  <a:pt x="7471" y="1188780"/>
                  <a:pt x="11206" y="1782692"/>
                </a:cubicBezTo>
                <a:lnTo>
                  <a:pt x="3429000" y="1771486"/>
                </a:lnTo>
                <a:lnTo>
                  <a:pt x="3429000" y="1771486"/>
                </a:lnTo>
                <a:cubicBezTo>
                  <a:pt x="3425265" y="1651956"/>
                  <a:pt x="3424249" y="1532311"/>
                  <a:pt x="3417794" y="1412897"/>
                </a:cubicBezTo>
                <a:cubicBezTo>
                  <a:pt x="3417019" y="1398560"/>
                  <a:pt x="3404705" y="1341896"/>
                  <a:pt x="3395382" y="1323250"/>
                </a:cubicBezTo>
                <a:cubicBezTo>
                  <a:pt x="3389359" y="1311204"/>
                  <a:pt x="3378994" y="1301679"/>
                  <a:pt x="3372971" y="1289633"/>
                </a:cubicBezTo>
                <a:cubicBezTo>
                  <a:pt x="3367689" y="1279068"/>
                  <a:pt x="3369144" y="1265239"/>
                  <a:pt x="3361765" y="1256015"/>
                </a:cubicBezTo>
                <a:cubicBezTo>
                  <a:pt x="3353352" y="1245498"/>
                  <a:pt x="3337670" y="1243126"/>
                  <a:pt x="3328147" y="1233603"/>
                </a:cubicBezTo>
                <a:cubicBezTo>
                  <a:pt x="3314941" y="1220397"/>
                  <a:pt x="3305239" y="1204080"/>
                  <a:pt x="3294529" y="1188780"/>
                </a:cubicBezTo>
                <a:cubicBezTo>
                  <a:pt x="3279083" y="1166714"/>
                  <a:pt x="3268752" y="1140591"/>
                  <a:pt x="3249706" y="1121545"/>
                </a:cubicBezTo>
                <a:cubicBezTo>
                  <a:pt x="3238500" y="1110339"/>
                  <a:pt x="3225299" y="1100823"/>
                  <a:pt x="3216088" y="1087927"/>
                </a:cubicBezTo>
                <a:cubicBezTo>
                  <a:pt x="3191557" y="1053584"/>
                  <a:pt x="3186935" y="1001256"/>
                  <a:pt x="3148853" y="975868"/>
                </a:cubicBezTo>
                <a:lnTo>
                  <a:pt x="3115235" y="953456"/>
                </a:lnTo>
                <a:cubicBezTo>
                  <a:pt x="3063860" y="876393"/>
                  <a:pt x="3095965" y="894739"/>
                  <a:pt x="3036794" y="875015"/>
                </a:cubicBezTo>
                <a:cubicBezTo>
                  <a:pt x="2986670" y="799828"/>
                  <a:pt x="3045717" y="873493"/>
                  <a:pt x="2980765" y="830192"/>
                </a:cubicBezTo>
                <a:cubicBezTo>
                  <a:pt x="2896823" y="774231"/>
                  <a:pt x="2993465" y="812013"/>
                  <a:pt x="2913529" y="785368"/>
                </a:cubicBezTo>
                <a:lnTo>
                  <a:pt x="2846294" y="740545"/>
                </a:lnTo>
                <a:cubicBezTo>
                  <a:pt x="2835088" y="733074"/>
                  <a:pt x="2825453" y="722392"/>
                  <a:pt x="2812676" y="718133"/>
                </a:cubicBezTo>
                <a:cubicBezTo>
                  <a:pt x="2728180" y="689967"/>
                  <a:pt x="2832332" y="727961"/>
                  <a:pt x="2745441" y="684515"/>
                </a:cubicBezTo>
                <a:cubicBezTo>
                  <a:pt x="2734876" y="679233"/>
                  <a:pt x="2722149" y="679045"/>
                  <a:pt x="2711824" y="673309"/>
                </a:cubicBezTo>
                <a:cubicBezTo>
                  <a:pt x="2688278" y="660228"/>
                  <a:pt x="2667000" y="643427"/>
                  <a:pt x="2644588" y="628486"/>
                </a:cubicBezTo>
                <a:lnTo>
                  <a:pt x="2543735" y="561250"/>
                </a:lnTo>
                <a:cubicBezTo>
                  <a:pt x="2532529" y="553780"/>
                  <a:pt x="2522164" y="544862"/>
                  <a:pt x="2510118" y="538839"/>
                </a:cubicBezTo>
                <a:cubicBezTo>
                  <a:pt x="2361443" y="464502"/>
                  <a:pt x="2547105" y="554691"/>
                  <a:pt x="2431676" y="505221"/>
                </a:cubicBezTo>
                <a:cubicBezTo>
                  <a:pt x="2416322" y="498641"/>
                  <a:pt x="2402207" y="489389"/>
                  <a:pt x="2386853" y="482809"/>
                </a:cubicBezTo>
                <a:cubicBezTo>
                  <a:pt x="2375996" y="478156"/>
                  <a:pt x="2363561" y="477339"/>
                  <a:pt x="2353235" y="471603"/>
                </a:cubicBezTo>
                <a:cubicBezTo>
                  <a:pt x="2237639" y="407384"/>
                  <a:pt x="2328451" y="440930"/>
                  <a:pt x="2252382" y="415574"/>
                </a:cubicBezTo>
                <a:cubicBezTo>
                  <a:pt x="2229970" y="400633"/>
                  <a:pt x="2210700" y="379268"/>
                  <a:pt x="2185147" y="370750"/>
                </a:cubicBezTo>
                <a:lnTo>
                  <a:pt x="1983441" y="303515"/>
                </a:lnTo>
                <a:lnTo>
                  <a:pt x="1882588" y="269897"/>
                </a:lnTo>
                <a:cubicBezTo>
                  <a:pt x="1871382" y="266162"/>
                  <a:pt x="1860622" y="260634"/>
                  <a:pt x="1848971" y="258692"/>
                </a:cubicBezTo>
                <a:lnTo>
                  <a:pt x="1714500" y="236280"/>
                </a:lnTo>
                <a:cubicBezTo>
                  <a:pt x="1692088" y="232545"/>
                  <a:pt x="1668820" y="232259"/>
                  <a:pt x="1647265" y="225074"/>
                </a:cubicBezTo>
                <a:lnTo>
                  <a:pt x="1479176" y="169045"/>
                </a:lnTo>
                <a:lnTo>
                  <a:pt x="1411941" y="146633"/>
                </a:lnTo>
                <a:cubicBezTo>
                  <a:pt x="1400735" y="142898"/>
                  <a:pt x="1390045" y="136892"/>
                  <a:pt x="1378324" y="135427"/>
                </a:cubicBezTo>
                <a:lnTo>
                  <a:pt x="1288676" y="124221"/>
                </a:lnTo>
                <a:cubicBezTo>
                  <a:pt x="1187808" y="99004"/>
                  <a:pt x="1311596" y="128041"/>
                  <a:pt x="1154206" y="101809"/>
                </a:cubicBezTo>
                <a:cubicBezTo>
                  <a:pt x="1139014" y="99277"/>
                  <a:pt x="1124613" y="92888"/>
                  <a:pt x="1109382" y="90603"/>
                </a:cubicBezTo>
                <a:cubicBezTo>
                  <a:pt x="1033382" y="79203"/>
                  <a:pt x="913091" y="66303"/>
                  <a:pt x="829235" y="56986"/>
                </a:cubicBezTo>
                <a:cubicBezTo>
                  <a:pt x="736206" y="25975"/>
                  <a:pt x="820606" y="50917"/>
                  <a:pt x="616324" y="34574"/>
                </a:cubicBezTo>
                <a:cubicBezTo>
                  <a:pt x="582607" y="31877"/>
                  <a:pt x="549249" y="25146"/>
                  <a:pt x="515471" y="23368"/>
                </a:cubicBezTo>
                <a:cubicBezTo>
                  <a:pt x="407233" y="17671"/>
                  <a:pt x="298824" y="15897"/>
                  <a:pt x="190500" y="12162"/>
                </a:cubicBezTo>
                <a:cubicBezTo>
                  <a:pt x="71384" y="-4855"/>
                  <a:pt x="138471" y="956"/>
                  <a:pt x="0" y="956"/>
                </a:cubicBezTo>
                <a:close/>
              </a:path>
            </a:pathLst>
          </a:cu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4000"/>
              <a:t>Lift</a:t>
            </a:r>
          </a:p>
        </xdr:txBody>
      </xdr:sp>
      <xdr:sp macro="" textlink="">
        <xdr:nvSpPr>
          <xdr:cNvPr id="6" name="Rounded Rectangle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/>
        </xdr:nvSpPr>
        <xdr:spPr>
          <a:xfrm>
            <a:off x="257735" y="493059"/>
            <a:ext cx="1557618" cy="1692088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1200"/>
              <a:t>Fuselge</a:t>
            </a:r>
          </a:p>
        </xdr:txBody>
      </xdr:sp>
      <xdr:sp macro="" textlink="">
        <xdr:nvSpPr>
          <xdr:cNvPr id="7" name="Rounded Rectangle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SpPr/>
        </xdr:nvSpPr>
        <xdr:spPr>
          <a:xfrm>
            <a:off x="928968" y="1848970"/>
            <a:ext cx="6599144" cy="333935"/>
          </a:xfrm>
          <a:prstGeom prst="round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GB" sz="1200"/>
              <a:t>Right Wing</a:t>
            </a:r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400-000008000000}"/>
              </a:ext>
            </a:extLst>
          </xdr:cNvPr>
          <xdr:cNvCxnSpPr/>
        </xdr:nvCxnSpPr>
        <xdr:spPr>
          <a:xfrm>
            <a:off x="1804147" y="2196353"/>
            <a:ext cx="0" cy="23308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400-000009000000}"/>
              </a:ext>
            </a:extLst>
          </xdr:cNvPr>
          <xdr:cNvCxnSpPr/>
        </xdr:nvCxnSpPr>
        <xdr:spPr>
          <a:xfrm>
            <a:off x="7519147" y="2185148"/>
            <a:ext cx="0" cy="236444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Straight Arrow Connector 9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CxnSpPr/>
        </xdr:nvCxnSpPr>
        <xdr:spPr>
          <a:xfrm>
            <a:off x="1826559" y="4303059"/>
            <a:ext cx="5692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400-00000B000000}"/>
              </a:ext>
            </a:extLst>
          </xdr:cNvPr>
          <xdr:cNvSpPr/>
        </xdr:nvSpPr>
        <xdr:spPr>
          <a:xfrm>
            <a:off x="1815353" y="2185147"/>
            <a:ext cx="2420471" cy="661147"/>
          </a:xfrm>
          <a:prstGeom prst="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GB" sz="2000"/>
              <a:t>Fuel</a:t>
            </a:r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CxnSpPr/>
        </xdr:nvCxnSpPr>
        <xdr:spPr>
          <a:xfrm>
            <a:off x="1837766" y="3272118"/>
            <a:ext cx="2386853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CxnSpPr/>
        </xdr:nvCxnSpPr>
        <xdr:spPr>
          <a:xfrm>
            <a:off x="4247029" y="2868706"/>
            <a:ext cx="0" cy="437029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/>
        </xdr:nvSpPr>
        <xdr:spPr>
          <a:xfrm>
            <a:off x="4796118" y="2095500"/>
            <a:ext cx="112059" cy="470647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CxnSpPr/>
        </xdr:nvCxnSpPr>
        <xdr:spPr>
          <a:xfrm>
            <a:off x="4863353" y="2566147"/>
            <a:ext cx="0" cy="129988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CxnSpPr/>
        </xdr:nvCxnSpPr>
        <xdr:spPr>
          <a:xfrm>
            <a:off x="1815354" y="3753970"/>
            <a:ext cx="3025590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 txBox="1"/>
        </xdr:nvSpPr>
        <xdr:spPr>
          <a:xfrm>
            <a:off x="3574680" y="4022912"/>
            <a:ext cx="2173940" cy="2801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Right wingbox</a:t>
            </a:r>
            <a:r>
              <a:rPr lang="en-GB" sz="1200" baseline="0"/>
              <a:t> span 3.5</a:t>
            </a:r>
            <a:r>
              <a:rPr lang="en-GB" sz="1200"/>
              <a:t>6m</a:t>
            </a:r>
          </a:p>
        </xdr:txBody>
      </xdr: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 txBox="1"/>
        </xdr:nvSpPr>
        <xdr:spPr>
          <a:xfrm>
            <a:off x="2409264" y="3473824"/>
            <a:ext cx="2364441" cy="291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Additional</a:t>
            </a:r>
            <a:r>
              <a:rPr lang="en-GB" sz="1200" baseline="0"/>
              <a:t> hardpoint </a:t>
            </a:r>
            <a:r>
              <a:rPr lang="en-GB" sz="1200"/>
              <a:t>2 m</a:t>
            </a: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 txBox="1"/>
        </xdr:nvSpPr>
        <xdr:spPr>
          <a:xfrm>
            <a:off x="2319618" y="2991971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Fuel tank 1.6 m</a:t>
            </a:r>
          </a:p>
        </xdr:txBody>
      </xdr: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CxnSpPr/>
        </xdr:nvCxnSpPr>
        <xdr:spPr>
          <a:xfrm>
            <a:off x="268941" y="2991971"/>
            <a:ext cx="1501588" cy="0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400-000015000000}"/>
              </a:ext>
            </a:extLst>
          </xdr:cNvPr>
          <xdr:cNvCxnSpPr/>
        </xdr:nvCxnSpPr>
        <xdr:spPr>
          <a:xfrm>
            <a:off x="246529" y="1983441"/>
            <a:ext cx="0" cy="1165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00000000-0008-0000-0400-000016000000}"/>
              </a:ext>
            </a:extLst>
          </xdr:cNvPr>
          <xdr:cNvSpPr txBox="1"/>
        </xdr:nvSpPr>
        <xdr:spPr>
          <a:xfrm>
            <a:off x="280148" y="2700619"/>
            <a:ext cx="1479176" cy="2465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200"/>
              <a:t>Cabin width</a:t>
            </a:r>
            <a:r>
              <a:rPr lang="en-GB" sz="1200" baseline="0"/>
              <a:t> 1</a:t>
            </a:r>
            <a:r>
              <a:rPr lang="en-GB" sz="1200"/>
              <a:t>.12 m</a:t>
            </a:r>
          </a:p>
        </xdr:txBody>
      </xdr:sp>
    </xdr:grpSp>
    <xdr:clientData/>
  </xdr:twoCellAnchor>
  <xdr:twoCellAnchor>
    <xdr:from>
      <xdr:col>8</xdr:col>
      <xdr:colOff>582220</xdr:colOff>
      <xdr:row>43</xdr:row>
      <xdr:rowOff>180731</xdr:rowOff>
    </xdr:from>
    <xdr:to>
      <xdr:col>17</xdr:col>
      <xdr:colOff>50800</xdr:colOff>
      <xdr:row>53</xdr:row>
      <xdr:rowOff>87924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18495</xdr:colOff>
      <xdr:row>54</xdr:row>
      <xdr:rowOff>228256</xdr:rowOff>
    </xdr:from>
    <xdr:to>
      <xdr:col>19</xdr:col>
      <xdr:colOff>224974</xdr:colOff>
      <xdr:row>69</xdr:row>
      <xdr:rowOff>55502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576417</xdr:colOff>
      <xdr:row>70</xdr:row>
      <xdr:rowOff>133504</xdr:rowOff>
    </xdr:from>
    <xdr:to>
      <xdr:col>19</xdr:col>
      <xdr:colOff>199733</xdr:colOff>
      <xdr:row>85</xdr:row>
      <xdr:rowOff>8376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4105</xdr:colOff>
      <xdr:row>112</xdr:row>
      <xdr:rowOff>8016</xdr:rowOff>
    </xdr:from>
    <xdr:to>
      <xdr:col>16</xdr:col>
      <xdr:colOff>188041</xdr:colOff>
      <xdr:row>127</xdr:row>
      <xdr:rowOff>8015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2416</xdr:colOff>
      <xdr:row>128</xdr:row>
      <xdr:rowOff>4966</xdr:rowOff>
    </xdr:from>
    <xdr:to>
      <xdr:col>16</xdr:col>
      <xdr:colOff>265749</xdr:colOff>
      <xdr:row>145</xdr:row>
      <xdr:rowOff>65479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245948</xdr:colOff>
      <xdr:row>62</xdr:row>
      <xdr:rowOff>7158</xdr:rowOff>
    </xdr:from>
    <xdr:to>
      <xdr:col>2</xdr:col>
      <xdr:colOff>247748</xdr:colOff>
      <xdr:row>62</xdr:row>
      <xdr:rowOff>7518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14:cNvPr>
            <xdr14:cNvContentPartPr/>
          </xdr14:nvContentPartPr>
          <xdr14:nvPr macro=""/>
          <xdr14:xfrm>
            <a:off x="9666360" y="6170393"/>
            <a:ext cx="180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912CB2D7-2B19-9F47-1786-3F03A207D4D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660240" y="6164273"/>
              <a:ext cx="1404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63500</xdr:colOff>
      <xdr:row>26</xdr:row>
      <xdr:rowOff>76200</xdr:rowOff>
    </xdr:from>
    <xdr:to>
      <xdr:col>16</xdr:col>
      <xdr:colOff>802859</xdr:colOff>
      <xdr:row>30</xdr:row>
      <xdr:rowOff>208375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5DDB4E-3160-5738-9C31-1B92C184C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3800" y="5651500"/>
          <a:ext cx="2530059" cy="109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81040</xdr:rowOff>
    </xdr:from>
    <xdr:to>
      <xdr:col>0</xdr:col>
      <xdr:colOff>1688282</xdr:colOff>
      <xdr:row>0</xdr:row>
      <xdr:rowOff>431799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C3BB34-3EFA-37E6-8530-921693C2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1040"/>
          <a:ext cx="1688282" cy="350759"/>
        </a:xfrm>
        <a:prstGeom prst="rect">
          <a:avLst/>
        </a:prstGeom>
      </xdr:spPr>
    </xdr:pic>
    <xdr:clientData/>
  </xdr:twoCellAnchor>
  <xdr:twoCellAnchor>
    <xdr:from>
      <xdr:col>17</xdr:col>
      <xdr:colOff>669635</xdr:colOff>
      <xdr:row>43</xdr:row>
      <xdr:rowOff>230908</xdr:rowOff>
    </xdr:from>
    <xdr:to>
      <xdr:col>23</xdr:col>
      <xdr:colOff>147908</xdr:colOff>
      <xdr:row>53</xdr:row>
      <xdr:rowOff>40980</xdr:rowOff>
    </xdr:to>
    <xdr:graphicFrame macro="">
      <xdr:nvGraphicFramePr>
        <xdr:cNvPr id="31" name="Chart 45">
          <a:extLst>
            <a:ext uri="{FF2B5EF4-FFF2-40B4-BE49-F238E27FC236}">
              <a16:creationId xmlns:a16="http://schemas.microsoft.com/office/drawing/2014/main" id="{82C45708-B74D-401A-83A8-8D34258E98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0.15255</cdr:x>
      <cdr:y>0.05168</cdr:y>
    </cdr:from>
    <cdr:to>
      <cdr:x>0.36909</cdr:x>
      <cdr:y>0.18657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DB4B9E7-CDEA-7D65-1DFB-480DC381E7A4}"/>
                </a:ext>
              </a:extLst>
            </cdr:cNvPr>
            <cdr:cNvSpPr txBox="1"/>
          </cdr:nvSpPr>
          <cdr:spPr>
            <a:xfrm xmlns:a="http://schemas.openxmlformats.org/drawingml/2006/main">
              <a:off x="938293" y="111326"/>
              <a:ext cx="1331889" cy="29057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=343504.2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008080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DB4B9E7-CDEA-7D65-1DFB-480DC381E7A4}"/>
                </a:ext>
              </a:extLst>
            </cdr:cNvPr>
            <cdr:cNvSpPr txBox="1"/>
          </cdr:nvSpPr>
          <cdr:spPr>
            <a:xfrm xmlns:a="http://schemas.openxmlformats.org/drawingml/2006/main">
              <a:off x="938293" y="111326"/>
              <a:ext cx="1331889" cy="29057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𝐿_𝑚𝑎𝑥=343504.2𝑁/𝑚</a:t>
              </a:r>
              <a:endParaRPr lang="zh-CN" altLang="en-US" sz="110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0.76813</cdr:x>
      <cdr:y>0.64995</cdr:y>
    </cdr:from>
    <cdr:to>
      <cdr:x>0.89323</cdr:x>
      <cdr:y>0.75016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D2D5C26A-6613-719A-30B2-375C25141F34}"/>
                </a:ext>
              </a:extLst>
            </cdr:cNvPr>
            <cdr:cNvSpPr txBox="1"/>
          </cdr:nvSpPr>
          <cdr:spPr>
            <a:xfrm xmlns:a="http://schemas.openxmlformats.org/drawingml/2006/main">
              <a:off x="4724580" y="1400072"/>
              <a:ext cx="769430" cy="21586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008080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008080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008080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D2D5C26A-6613-719A-30B2-375C25141F34}"/>
                </a:ext>
              </a:extLst>
            </cdr:cNvPr>
            <cdr:cNvSpPr txBox="1"/>
          </cdr:nvSpPr>
          <cdr:spPr>
            <a:xfrm xmlns:a="http://schemas.openxmlformats.org/drawingml/2006/main">
              <a:off x="4724580" y="1400072"/>
              <a:ext cx="769430" cy="215868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008080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1050" kern="1200">
                <a:solidFill>
                  <a:srgbClr val="008080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0.76779</cdr:x>
      <cdr:y>0.06679</cdr:y>
    </cdr:from>
    <cdr:to>
      <cdr:x>0.95755</cdr:x>
      <cdr:y>0.18513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5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52CF3E77-651E-E855-BECD-7CBDB667CB4C}"/>
                </a:ext>
              </a:extLst>
            </cdr:cNvPr>
            <cdr:cNvSpPr txBox="1"/>
          </cdr:nvSpPr>
          <cdr:spPr>
            <a:xfrm xmlns:a="http://schemas.openxmlformats.org/drawingml/2006/main">
              <a:off x="4722472" y="143869"/>
              <a:ext cx="1167171" cy="2549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20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n</m:t>
                        </m:r>
                      </m:e>
                      <m:sub>
                        <m:r>
                          <a:rPr lang="en-US" altLang="zh-CN" sz="1200" b="0" i="1" kern="1200">
                            <a:solidFill>
                              <a:schemeClr val="tx1"/>
                            </a:solidFill>
                            <a:latin typeface="Cambria Math" panose="02040503050406030204" pitchFamily="18" charset="0"/>
                          </a:rPr>
                          <m:t>𝑢𝑙𝑡𝑖𝑚𝑎𝑡𝑒</m:t>
                        </m:r>
                      </m:sub>
                    </m:sSub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=3.5</m:t>
                    </m:r>
                  </m:oMath>
                </m:oMathPara>
              </a14:m>
              <a:endParaRPr lang="zh-CN" altLang="en-US" sz="110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5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52CF3E77-651E-E855-BECD-7CBDB667CB4C}"/>
                </a:ext>
              </a:extLst>
            </cdr:cNvPr>
            <cdr:cNvSpPr txBox="1"/>
          </cdr:nvSpPr>
          <cdr:spPr>
            <a:xfrm xmlns:a="http://schemas.openxmlformats.org/drawingml/2006/main">
              <a:off x="4722472" y="143869"/>
              <a:ext cx="1167171" cy="25492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n_𝑢𝑙𝑡𝑖𝑚𝑎𝑡𝑒=3.5</a:t>
              </a:r>
              <a:endParaRPr lang="zh-CN" altLang="en-US" sz="11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0.25569</cdr:x>
      <cdr:y>0.69302</cdr:y>
    </cdr:from>
    <cdr:to>
      <cdr:x>0.61303</cdr:x>
      <cdr:y>0.82756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22922" y="1418376"/>
              <a:ext cx="1289842" cy="27536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=−5692881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BFFDAB2-0C27-BEBD-CAEC-0AD69E097D2D}"/>
                </a:ext>
              </a:extLst>
            </cdr:cNvPr>
            <cdr:cNvSpPr txBox="1"/>
          </cdr:nvSpPr>
          <cdr:spPr>
            <a:xfrm xmlns:a="http://schemas.openxmlformats.org/drawingml/2006/main">
              <a:off x="922922" y="1418376"/>
              <a:ext cx="1289842" cy="27536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none" rtlCol="0"/>
            <a:lstStyle xmlns:a="http://schemas.openxmlformats.org/drawingml/2006/main"/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𝐿_𝑚𝑖𝑛=−5692881𝑁/𝑚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0.20162</cdr:x>
      <cdr:y>0.02871</cdr:y>
    </cdr:from>
    <cdr:to>
      <cdr:x>0.48935</cdr:x>
      <cdr:y>0.10964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731769" y="59341"/>
              <a:ext cx="1044254" cy="167294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8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8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=254685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8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C4777B36-1599-6DA7-A93A-17D4D14CFEB9}"/>
                </a:ext>
              </a:extLst>
            </cdr:cNvPr>
            <cdr:cNvSpPr txBox="1"/>
          </cdr:nvSpPr>
          <cdr:spPr>
            <a:xfrm xmlns:a="http://schemas.openxmlformats.org/drawingml/2006/main">
              <a:off x="731769" y="59341"/>
              <a:ext cx="1044254" cy="167294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8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𝐿_𝑚𝑎𝑥=254685𝑁/𝑚</a:t>
              </a:r>
              <a:endParaRPr lang="zh-CN" altLang="en-US" sz="8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0.78375</cdr:x>
      <cdr:y>0.71189</cdr:y>
    </cdr:from>
    <cdr:to>
      <cdr:x>0.94115</cdr:x>
      <cdr:y>0.77152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US" altLang="zh-CN" sz="900" b="0" i="0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n</m:t>
                    </m:r>
                    <m:r>
                      <a:rPr lang="en-US" altLang="zh-CN" sz="9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=2.82</m:t>
                    </m:r>
                  </m:oMath>
                </m:oMathPara>
              </a14:m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6B0F46BF-A7CA-B086-81FB-860163998CDB}"/>
                </a:ext>
              </a:extLst>
            </cdr:cNvPr>
            <cdr:cNvSpPr txBox="1"/>
          </cdr:nvSpPr>
          <cdr:spPr>
            <a:xfrm xmlns:a="http://schemas.openxmlformats.org/drawingml/2006/main">
              <a:off x="2824605" y="1452828"/>
              <a:ext cx="567239" cy="121692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  <a:ln xmlns:a="http://schemas.openxmlformats.org/drawingml/2006/main">
              <a:noFill/>
            </a:ln>
          </cdr:spPr>
          <cdr:txBody>
            <a:bodyPr xmlns:a="http://schemas.openxmlformats.org/drawingml/2006/main" wrap="none" rtlCol="0" anchor="ctr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9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n=2.82</a:t>
              </a:r>
              <a:endParaRPr lang="zh-CN" altLang="en-US" sz="9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757682</xdr:colOff>
      <xdr:row>27</xdr:row>
      <xdr:rowOff>168573</xdr:rowOff>
    </xdr:from>
    <xdr:to>
      <xdr:col>16</xdr:col>
      <xdr:colOff>242583</xdr:colOff>
      <xdr:row>39</xdr:row>
      <xdr:rowOff>49645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5C1CB-22A4-7241-B063-275705E6C7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507999</xdr:colOff>
      <xdr:row>27</xdr:row>
      <xdr:rowOff>161636</xdr:rowOff>
    </xdr:from>
    <xdr:to>
      <xdr:col>23</xdr:col>
      <xdr:colOff>824173</xdr:colOff>
      <xdr:row>39</xdr:row>
      <xdr:rowOff>42708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D22038FC-9BD9-40E1-B5CA-F2A0C7E7F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0.15751</cdr:x>
      <cdr:y>0.04107</cdr:y>
    </cdr:from>
    <cdr:to>
      <cdr:x>0.37462</cdr:x>
      <cdr:y>0.17642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961843" y="85771"/>
              <a:ext cx="1325724" cy="28264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=5954091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961843" y="85771"/>
              <a:ext cx="1325724" cy="282647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𝐿_𝑚𝑎𝑥=5954091𝑁/𝑚</a:t>
              </a:r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0.81348</cdr:x>
      <cdr:y>0.64814</cdr:y>
    </cdr:from>
    <cdr:to>
      <cdr:x>0.9389</cdr:x>
      <cdr:y>0.7487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67438" y="1353482"/>
              <a:ext cx="765900" cy="2099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67438" y="1353482"/>
              <a:ext cx="765900" cy="209979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𝐿_𝑚𝑖𝑛=0𝑁/𝑚</a:t>
              </a:r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0.80967</cdr:x>
      <cdr:y>0.07043</cdr:y>
    </cdr:from>
    <cdr:to>
      <cdr:x>0.95727</cdr:x>
      <cdr:y>0.19307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44180" y="147069"/>
              <a:ext cx="901308" cy="25611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=2.8199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44180" y="147069"/>
              <a:ext cx="901308" cy="256116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𝑛=2.8199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0.25114</cdr:x>
      <cdr:y>0.6585</cdr:y>
    </cdr:from>
    <cdr:to>
      <cdr:x>0.46825</cdr:x>
      <cdr:y>0.79386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1530636" y="1388421"/>
              <a:ext cx="1323214" cy="28540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10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𝑚𝑖𝑛</m:t>
                        </m:r>
                      </m:sub>
                    </m:sSub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=−5697142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Choice>
      <mc:Fallback>
        <cdr:sp macro="" textlink="">
          <cdr:nvSpPr>
            <cdr:cNvPr id="2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BFA494F1-1CAE-82C2-5EE3-C9C993ECFADD}"/>
                </a:ext>
              </a:extLst>
            </cdr:cNvPr>
            <cdr:cNvSpPr txBox="1"/>
          </cdr:nvSpPr>
          <cdr:spPr>
            <a:xfrm xmlns:a="http://schemas.openxmlformats.org/drawingml/2006/main">
              <a:off x="1530636" y="1388421"/>
              <a:ext cx="1323214" cy="285401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10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𝐿_𝑚𝑖𝑛=−5697142𝑁/𝑚</a:t>
              </a:r>
              <a:endParaRPr lang="zh-CN" altLang="en-US" sz="110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0.80895</cdr:x>
      <cdr:y>0.26537</cdr:y>
    </cdr:from>
    <cdr:to>
      <cdr:x>0.96175</cdr:x>
      <cdr:y>0.36592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30306" y="559524"/>
              <a:ext cx="931233" cy="2120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05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𝐿</m:t>
                        </m:r>
                      </m:e>
                      <m:sub>
                        <m:r>
                          <a:rPr lang="en-US" altLang="zh-CN" sz="1050" b="0" i="1" kern="1200">
                            <a:solidFill>
                              <a:srgbClr val="8B4513"/>
                            </a:solidFill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=0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𝑁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050" b="0" i="1" kern="1200">
                        <a:solidFill>
                          <a:srgbClr val="8B4513"/>
                        </a:solidFill>
                        <a:latin typeface="Cambria Math" panose="02040503050406030204" pitchFamily="18" charset="0"/>
                      </a:rPr>
                      <m:t>𝑚</m:t>
                    </m:r>
                  </m:oMath>
                </m:oMathPara>
              </a14:m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Choice>
      <mc:Fallback>
        <cdr:sp macro="" textlink="">
          <cdr:nvSpPr>
            <cdr:cNvPr id="3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38F14EB9-F0CF-6B9A-F154-FBC1921E0B5F}"/>
                </a:ext>
              </a:extLst>
            </cdr:cNvPr>
            <cdr:cNvSpPr txBox="1"/>
          </cdr:nvSpPr>
          <cdr:spPr>
            <a:xfrm xmlns:a="http://schemas.openxmlformats.org/drawingml/2006/main">
              <a:off x="4930306" y="559524"/>
              <a:ext cx="931233" cy="21200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050" b="0" i="0" kern="1200">
                  <a:solidFill>
                    <a:srgbClr val="8B4513"/>
                  </a:solidFill>
                  <a:latin typeface="Cambria Math" panose="02040503050406030204" pitchFamily="18" charset="0"/>
                </a:rPr>
                <a:t>𝐿_𝑚𝑎𝑥=0𝑁/𝑚</a:t>
              </a:r>
              <a:endParaRPr lang="zh-CN" altLang="en-US" sz="1050" kern="1200">
                <a:solidFill>
                  <a:srgbClr val="8B4513"/>
                </a:solidFill>
              </a:endParaRPr>
            </a:p>
          </cdr:txBody>
        </cdr:sp>
      </mc:Fallback>
    </mc:AlternateContent>
  </cdr:relSizeAnchor>
  <cdr:relSizeAnchor xmlns:cdr="http://schemas.openxmlformats.org/drawingml/2006/chartDrawing">
    <cdr:from>
      <cdr:x>0.80459</cdr:x>
      <cdr:y>0.62412</cdr:y>
    </cdr:from>
    <cdr:to>
      <cdr:x>0.96415</cdr:x>
      <cdr:y>0.77819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03723" y="1315922"/>
              <a:ext cx="972470" cy="32486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𝑛</m:t>
                    </m:r>
                    <m:r>
                      <a:rPr lang="en-US" altLang="zh-CN" sz="1200" b="0" i="1" kern="1200">
                        <a:solidFill>
                          <a:schemeClr val="tx1"/>
                        </a:solidFill>
                        <a:latin typeface="Cambria Math" panose="02040503050406030204" pitchFamily="18" charset="0"/>
                      </a:rPr>
                      <m:t>=2.8199</m:t>
                    </m:r>
                  </m:oMath>
                </m:oMathPara>
              </a14:m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Choice>
      <mc:Fallback>
        <cdr:sp macro="" textlink="">
          <cdr:nvSpPr>
            <cdr:cNvPr id="4" name="文本框 1">
              <a:extLst xmlns:a="http://schemas.openxmlformats.org/drawingml/2006/main">
                <a:ext uri="{FF2B5EF4-FFF2-40B4-BE49-F238E27FC236}">
                  <a16:creationId xmlns:a16="http://schemas.microsoft.com/office/drawing/2014/main" id="{AC092B8B-4F5D-2745-9E6D-3F12F53DBBD7}"/>
                </a:ext>
              </a:extLst>
            </cdr:cNvPr>
            <cdr:cNvSpPr txBox="1"/>
          </cdr:nvSpPr>
          <cdr:spPr>
            <a:xfrm xmlns:a="http://schemas.openxmlformats.org/drawingml/2006/main">
              <a:off x="4903723" y="1315922"/>
              <a:ext cx="972470" cy="324865"/>
            </a:xfrm>
            <a:prstGeom xmlns:a="http://schemas.openxmlformats.org/drawingml/2006/main" prst="rect">
              <a:avLst/>
            </a:prstGeom>
            <a:solidFill xmlns:a="http://schemas.openxmlformats.org/drawingml/2006/main">
              <a:schemeClr val="bg1"/>
            </a:solidFill>
          </cdr:spPr>
          <cdr:txBody>
            <a:bodyPr xmlns:a="http://schemas.openxmlformats.org/drawingml/2006/main" wrap="non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/>
              <a:r>
                <a:rPr lang="en-US" altLang="zh-CN" sz="1200" b="0" i="0" kern="1200">
                  <a:solidFill>
                    <a:schemeClr val="tx1"/>
                  </a:solidFill>
                  <a:latin typeface="Cambria Math" panose="02040503050406030204" pitchFamily="18" charset="0"/>
                </a:rPr>
                <a:t>𝑛=2.8199</a:t>
              </a:r>
              <a:endParaRPr lang="zh-CN" altLang="en-US" sz="1200" kern="1200">
                <a:solidFill>
                  <a:schemeClr val="tx1"/>
                </a:solidFill>
              </a:endParaRPr>
            </a:p>
          </cdr:txBody>
        </cdr:sp>
      </mc:Fallback>
    </mc:AlternateContent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142387</xdr:colOff>
      <xdr:row>0</xdr:row>
      <xdr:rowOff>447711</xdr:rowOff>
    </xdr:from>
    <xdr:to>
      <xdr:col>14</xdr:col>
      <xdr:colOff>288370</xdr:colOff>
      <xdr:row>12</xdr:row>
      <xdr:rowOff>176487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8787" y="447711"/>
          <a:ext cx="3722301" cy="2350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766550</xdr:colOff>
      <xdr:row>1</xdr:row>
      <xdr:rowOff>44854</xdr:rowOff>
    </xdr:from>
    <xdr:to>
      <xdr:col>10</xdr:col>
      <xdr:colOff>998754</xdr:colOff>
      <xdr:row>14</xdr:row>
      <xdr:rowOff>99640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7785" y="546582"/>
          <a:ext cx="4093944" cy="2516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541397</xdr:colOff>
      <xdr:row>12</xdr:row>
      <xdr:rowOff>4816</xdr:rowOff>
    </xdr:from>
    <xdr:to>
      <xdr:col>16</xdr:col>
      <xdr:colOff>468786</xdr:colOff>
      <xdr:row>20</xdr:row>
      <xdr:rowOff>47037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3372" y="2576174"/>
          <a:ext cx="5336650" cy="1563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654599</xdr:colOff>
      <xdr:row>14</xdr:row>
      <xdr:rowOff>179389</xdr:rowOff>
    </xdr:from>
    <xdr:to>
      <xdr:col>11</xdr:col>
      <xdr:colOff>30625</xdr:colOff>
      <xdr:row>18</xdr:row>
      <xdr:rowOff>18480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5834" y="3142722"/>
          <a:ext cx="4627296" cy="591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457200</xdr:colOff>
      <xdr:row>73</xdr:row>
      <xdr:rowOff>31750</xdr:rowOff>
    </xdr:from>
    <xdr:to>
      <xdr:col>61</xdr:col>
      <xdr:colOff>180973</xdr:colOff>
      <xdr:row>87</xdr:row>
      <xdr:rowOff>112810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  <a:ext uri="{147F2762-F138-4A5C-976F-8EAC2B608ADB}">
              <a16:predDERef xmlns:a16="http://schemas.microsoft.com/office/drawing/2014/main" pre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2000" y="15068550"/>
          <a:ext cx="315277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617595</xdr:colOff>
      <xdr:row>1</xdr:row>
      <xdr:rowOff>54797</xdr:rowOff>
    </xdr:from>
    <xdr:to>
      <xdr:col>7</xdr:col>
      <xdr:colOff>622349</xdr:colOff>
      <xdr:row>18</xdr:row>
      <xdr:rowOff>71950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6584EA2-0C9C-F830-9C0E-22DC9B38DDE5}"/>
            </a:ext>
          </a:extLst>
        </xdr:cNvPr>
        <xdr:cNvGrpSpPr/>
      </xdr:nvGrpSpPr>
      <xdr:grpSpPr>
        <a:xfrm>
          <a:off x="2570220" y="550097"/>
          <a:ext cx="7786679" cy="3112778"/>
          <a:chOff x="7620000" y="4400550"/>
          <a:chExt cx="7820025" cy="3482975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B30A3CA7-8275-E0E7-49AC-5969A5FD3AB5}"/>
              </a:ext>
            </a:extLst>
          </xdr:cNvPr>
          <xdr:cNvGrpSpPr/>
        </xdr:nvGrpSpPr>
        <xdr:grpSpPr>
          <a:xfrm>
            <a:off x="7620000" y="4400550"/>
            <a:ext cx="7820025" cy="3482975"/>
            <a:chOff x="7620000" y="4400550"/>
            <a:chExt cx="7820025" cy="3482975"/>
          </a:xfrm>
        </xdr:grpSpPr>
        <xdr:grpSp>
          <xdr:nvGrpSpPr>
            <xdr:cNvPr id="34" name="Group 33">
              <a:extLst>
                <a:ext uri="{FF2B5EF4-FFF2-40B4-BE49-F238E27FC236}">
                  <a16:creationId xmlns:a16="http://schemas.microsoft.com/office/drawing/2014/main" id="{00000000-0008-0000-0500-000022000000}"/>
                </a:ext>
              </a:extLst>
            </xdr:cNvPr>
            <xdr:cNvGrpSpPr/>
          </xdr:nvGrpSpPr>
          <xdr:grpSpPr>
            <a:xfrm>
              <a:off x="7620000" y="4400550"/>
              <a:ext cx="7820025" cy="3482975"/>
              <a:chOff x="6858000" y="4019550"/>
              <a:chExt cx="6905625" cy="3105150"/>
            </a:xfrm>
          </xdr:grpSpPr>
          <xdr:pic>
            <xdr:nvPicPr>
              <xdr:cNvPr id="7" name="Picture 6">
                <a:extLst>
                  <a:ext uri="{FF2B5EF4-FFF2-40B4-BE49-F238E27FC236}">
                    <a16:creationId xmlns:a16="http://schemas.microsoft.com/office/drawing/2014/main" id="{00000000-0008-0000-0500-00000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858000" y="5191125"/>
                <a:ext cx="6905625" cy="977226"/>
              </a:xfrm>
              <a:prstGeom prst="rect">
                <a:avLst/>
              </a:prstGeom>
            </xdr:spPr>
          </xdr:pic>
          <xdr:cxnSp macro="">
            <xdr:nvCxnSpPr>
              <xdr:cNvPr id="9" name="Straight Arrow Connector 8">
                <a:extLst>
                  <a:ext uri="{FF2B5EF4-FFF2-40B4-BE49-F238E27FC236}">
                    <a16:creationId xmlns:a16="http://schemas.microsoft.com/office/drawing/2014/main" id="{00000000-0008-0000-0500-000009000000}"/>
                  </a:ext>
                </a:extLst>
              </xdr:cNvPr>
              <xdr:cNvCxnSpPr/>
            </xdr:nvCxnSpPr>
            <xdr:spPr>
              <a:xfrm>
                <a:off x="7953375" y="5724525"/>
                <a:ext cx="0" cy="809625"/>
              </a:xfrm>
              <a:prstGeom prst="straightConnector1">
                <a:avLst/>
              </a:prstGeom>
              <a:ln>
                <a:solidFill>
                  <a:srgbClr val="FF000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0" name="Straight Arrow Connector 9">
                <a:extLst>
                  <a:ext uri="{FF2B5EF4-FFF2-40B4-BE49-F238E27FC236}">
                    <a16:creationId xmlns:a16="http://schemas.microsoft.com/office/drawing/2014/main" id="{00000000-0008-0000-0500-00000A000000}"/>
                  </a:ext>
                </a:extLst>
              </xdr:cNvPr>
              <xdr:cNvCxnSpPr/>
            </xdr:nvCxnSpPr>
            <xdr:spPr>
              <a:xfrm>
                <a:off x="9420225" y="5715000"/>
                <a:ext cx="0" cy="885825"/>
              </a:xfrm>
              <a:prstGeom prst="straightConnector1">
                <a:avLst/>
              </a:prstGeom>
              <a:ln w="25400" cmpd="sng">
                <a:solidFill>
                  <a:schemeClr val="tx1"/>
                </a:solidFill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" name="Straight Arrow Connector 10">
                <a:extLst>
                  <a:ext uri="{FF2B5EF4-FFF2-40B4-BE49-F238E27FC236}">
                    <a16:creationId xmlns:a16="http://schemas.microsoft.com/office/drawing/2014/main" id="{00000000-0008-0000-0500-00000B000000}"/>
                  </a:ext>
                </a:extLst>
              </xdr:cNvPr>
              <xdr:cNvCxnSpPr/>
            </xdr:nvCxnSpPr>
            <xdr:spPr>
              <a:xfrm flipV="1">
                <a:off x="8963025" y="4019550"/>
                <a:ext cx="0" cy="1685925"/>
              </a:xfrm>
              <a:prstGeom prst="straightConnector1">
                <a:avLst/>
              </a:prstGeom>
              <a:ln w="25400" cmpd="sng">
                <a:headEnd type="oval" w="med" len="med"/>
                <a:tailEnd type="triangl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Straight Arrow Connector 15">
                <a:extLst>
                  <a:ext uri="{FF2B5EF4-FFF2-40B4-BE49-F238E27FC236}">
                    <a16:creationId xmlns:a16="http://schemas.microsoft.com/office/drawing/2014/main" id="{00000000-0008-0000-0500-000010000000}"/>
                  </a:ext>
                </a:extLst>
              </xdr:cNvPr>
              <xdr:cNvCxnSpPr/>
            </xdr:nvCxnSpPr>
            <xdr:spPr>
              <a:xfrm>
                <a:off x="8963025" y="4714875"/>
                <a:ext cx="2381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7" name="Straight Arrow Connector 16">
                <a:extLst>
                  <a:ext uri="{FF2B5EF4-FFF2-40B4-BE49-F238E27FC236}">
                    <a16:creationId xmlns:a16="http://schemas.microsoft.com/office/drawing/2014/main" id="{00000000-0008-0000-0500-000011000000}"/>
                  </a:ext>
                </a:extLst>
              </xdr:cNvPr>
              <xdr:cNvCxnSpPr/>
            </xdr:nvCxnSpPr>
            <xdr:spPr>
              <a:xfrm>
                <a:off x="9182100" y="4714875"/>
                <a:ext cx="247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Straight Connector 19">
                <a:extLst>
                  <a:ext uri="{FF2B5EF4-FFF2-40B4-BE49-F238E27FC236}">
                    <a16:creationId xmlns:a16="http://schemas.microsoft.com/office/drawing/2014/main" id="{00000000-0008-0000-0500-000014000000}"/>
                  </a:ext>
                </a:extLst>
              </xdr:cNvPr>
              <xdr:cNvCxnSpPr/>
            </xdr:nvCxnSpPr>
            <xdr:spPr>
              <a:xfrm>
                <a:off x="9191626" y="4572000"/>
                <a:ext cx="0" cy="1728884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1" name="Straight Connector 20">
                <a:extLst>
                  <a:ext uri="{FF2B5EF4-FFF2-40B4-BE49-F238E27FC236}">
                    <a16:creationId xmlns:a16="http://schemas.microsoft.com/office/drawing/2014/main" id="{00000000-0008-0000-0500-000015000000}"/>
                  </a:ext>
                </a:extLst>
              </xdr:cNvPr>
              <xdr:cNvCxnSpPr/>
            </xdr:nvCxnSpPr>
            <xdr:spPr>
              <a:xfrm>
                <a:off x="9420225" y="4580831"/>
                <a:ext cx="0" cy="1134169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2" name="Straight Connector 21">
                <a:extLst>
                  <a:ext uri="{FF2B5EF4-FFF2-40B4-BE49-F238E27FC236}">
                    <a16:creationId xmlns:a16="http://schemas.microsoft.com/office/drawing/2014/main" id="{00000000-0008-0000-0500-000016000000}"/>
                  </a:ext>
                </a:extLst>
              </xdr:cNvPr>
              <xdr:cNvCxnSpPr/>
            </xdr:nvCxnSpPr>
            <xdr:spPr>
              <a:xfrm>
                <a:off x="6934200" y="5943600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3" name="Straight Connector 22">
                <a:extLst>
                  <a:ext uri="{FF2B5EF4-FFF2-40B4-BE49-F238E27FC236}">
                    <a16:creationId xmlns:a16="http://schemas.microsoft.com/office/drawing/2014/main" id="{00000000-0008-0000-0500-000017000000}"/>
                  </a:ext>
                </a:extLst>
              </xdr:cNvPr>
              <xdr:cNvCxnSpPr/>
            </xdr:nvCxnSpPr>
            <xdr:spPr>
              <a:xfrm>
                <a:off x="13696950" y="5915025"/>
                <a:ext cx="0" cy="118110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Straight Arrow Connector 23">
                <a:extLst>
                  <a:ext uri="{FF2B5EF4-FFF2-40B4-BE49-F238E27FC236}">
                    <a16:creationId xmlns:a16="http://schemas.microsoft.com/office/drawing/2014/main" id="{00000000-0008-0000-0500-000018000000}"/>
                  </a:ext>
                </a:extLst>
              </xdr:cNvPr>
              <xdr:cNvCxnSpPr/>
            </xdr:nvCxnSpPr>
            <xdr:spPr>
              <a:xfrm>
                <a:off x="6943725" y="7058025"/>
                <a:ext cx="6724650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6" name="TextBox 25">
                <a:extLst>
                  <a:ext uri="{FF2B5EF4-FFF2-40B4-BE49-F238E27FC236}">
                    <a16:creationId xmlns:a16="http://schemas.microsoft.com/office/drawing/2014/main" id="{00000000-0008-0000-0500-00001A000000}"/>
                  </a:ext>
                </a:extLst>
              </xdr:cNvPr>
              <xdr:cNvSpPr txBox="1"/>
            </xdr:nvSpPr>
            <xdr:spPr>
              <a:xfrm>
                <a:off x="9515475" y="6772275"/>
                <a:ext cx="15811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chord = </a:t>
                </a:r>
                <a:r>
                  <a:rPr lang="el-GR" altLang="zh-CN" sz="1200"/>
                  <a:t>13202</a:t>
                </a:r>
                <a:r>
                  <a:rPr lang="el-GR" altLang="zh-CN" sz="1200" baseline="0"/>
                  <a:t> </a:t>
                </a:r>
                <a:r>
                  <a:rPr lang="en-US" altLang="zh-CN" sz="1200" baseline="0"/>
                  <a:t>mm</a:t>
                </a:r>
                <a:endParaRPr lang="zh-CN" altLang="en-US" sz="1200"/>
              </a:p>
            </xdr:txBody>
          </xdr:sp>
          <xdr:sp macro="" textlink="">
            <xdr:nvSpPr>
              <xdr:cNvPr id="31" name="TextBox 30">
                <a:extLst>
                  <a:ext uri="{FF2B5EF4-FFF2-40B4-BE49-F238E27FC236}">
                    <a16:creationId xmlns:a16="http://schemas.microsoft.com/office/drawing/2014/main" id="{00000000-0008-0000-0500-00001F000000}"/>
                  </a:ext>
                </a:extLst>
              </xdr:cNvPr>
              <xdr:cNvSpPr txBox="1"/>
            </xdr:nvSpPr>
            <xdr:spPr>
              <a:xfrm>
                <a:off x="9159506" y="4419600"/>
                <a:ext cx="40721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b1 </a:t>
                </a:r>
                <a:endParaRPr lang="zh-CN" altLang="en-US" sz="1200"/>
              </a:p>
            </xdr:txBody>
          </xdr:sp>
          <xdr:sp macro="" textlink="">
            <xdr:nvSpPr>
              <xdr:cNvPr id="33" name="TextBox 32">
                <a:extLst>
                  <a:ext uri="{FF2B5EF4-FFF2-40B4-BE49-F238E27FC236}">
                    <a16:creationId xmlns:a16="http://schemas.microsoft.com/office/drawing/2014/main" id="{00000000-0008-0000-0500-000021000000}"/>
                  </a:ext>
                </a:extLst>
              </xdr:cNvPr>
              <xdr:cNvSpPr txBox="1"/>
            </xdr:nvSpPr>
            <xdr:spPr>
              <a:xfrm>
                <a:off x="8416482" y="4800128"/>
                <a:ext cx="39008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b2</a:t>
                </a:r>
                <a:endParaRPr lang="zh-CN" altLang="en-US" sz="1200"/>
              </a:p>
            </xdr:txBody>
          </xdr:sp>
          <xdr:sp macro="" textlink="">
            <xdr:nvSpPr>
              <xdr:cNvPr id="38" name="TextBox 37">
                <a:extLst>
                  <a:ext uri="{FF2B5EF4-FFF2-40B4-BE49-F238E27FC236}">
                    <a16:creationId xmlns:a16="http://schemas.microsoft.com/office/drawing/2014/main" id="{00000000-0008-0000-0500-000026000000}"/>
                  </a:ext>
                </a:extLst>
              </xdr:cNvPr>
              <xdr:cNvSpPr txBox="1"/>
            </xdr:nvSpPr>
            <xdr:spPr>
              <a:xfrm>
                <a:off x="8943975" y="4410075"/>
                <a:ext cx="285750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 </a:t>
                </a:r>
                <a:endParaRPr lang="zh-CN" altLang="en-US" sz="1200"/>
              </a:p>
            </xdr:txBody>
          </xdr:sp>
          <xdr:cxnSp macro="">
            <xdr:nvCxnSpPr>
              <xdr:cNvPr id="39" name="Straight Arrow Connector 38">
                <a:extLst>
                  <a:ext uri="{FF2B5EF4-FFF2-40B4-BE49-F238E27FC236}">
                    <a16:creationId xmlns:a16="http://schemas.microsoft.com/office/drawing/2014/main" id="{00000000-0008-0000-0500-000027000000}"/>
                  </a:ext>
                </a:extLst>
              </xdr:cNvPr>
              <xdr:cNvCxnSpPr/>
            </xdr:nvCxnSpPr>
            <xdr:spPr>
              <a:xfrm>
                <a:off x="7962900" y="5029200"/>
                <a:ext cx="1228725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41" name="Straight Connector 40">
                <a:extLst>
                  <a:ext uri="{FF2B5EF4-FFF2-40B4-BE49-F238E27FC236}">
                    <a16:creationId xmlns:a16="http://schemas.microsoft.com/office/drawing/2014/main" id="{00000000-0008-0000-0500-000029000000}"/>
                  </a:ext>
                </a:extLst>
              </xdr:cNvPr>
              <xdr:cNvCxnSpPr/>
            </xdr:nvCxnSpPr>
            <xdr:spPr>
              <a:xfrm>
                <a:off x="7953375" y="4905375"/>
                <a:ext cx="0" cy="790575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27" name="Straight Arrow Connector 26">
                <a:extLst>
                  <a:ext uri="{FF2B5EF4-FFF2-40B4-BE49-F238E27FC236}">
                    <a16:creationId xmlns:a16="http://schemas.microsoft.com/office/drawing/2014/main" id="{00000000-0008-0000-0500-00001B000000}"/>
                  </a:ext>
                </a:extLst>
              </xdr:cNvPr>
              <xdr:cNvCxnSpPr/>
            </xdr:nvCxnSpPr>
            <xdr:spPr>
              <a:xfrm>
                <a:off x="8756355" y="5733578"/>
                <a:ext cx="0" cy="809625"/>
              </a:xfrm>
              <a:prstGeom prst="straightConnector1">
                <a:avLst/>
              </a:prstGeom>
              <a:ln>
                <a:solidFill>
                  <a:srgbClr val="00B050"/>
                </a:solidFill>
                <a:headEnd type="oval" w="med" len="med"/>
                <a:tailEnd type="triangle" w="lg" len="lg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8" name="Straight Arrow Connector 27">
                <a:extLst>
                  <a:ext uri="{FF2B5EF4-FFF2-40B4-BE49-F238E27FC236}">
                    <a16:creationId xmlns:a16="http://schemas.microsoft.com/office/drawing/2014/main" id="{00000000-0008-0000-0500-00001C000000}"/>
                  </a:ext>
                </a:extLst>
              </xdr:cNvPr>
              <xdr:cNvCxnSpPr/>
            </xdr:nvCxnSpPr>
            <xdr:spPr>
              <a:xfrm>
                <a:off x="8753032" y="6215131"/>
                <a:ext cx="438962" cy="0"/>
              </a:xfrm>
              <a:prstGeom prst="straightConnector1">
                <a:avLst/>
              </a:prstGeom>
              <a:ln>
                <a:headEnd type="arrow"/>
                <a:tailEnd type="arrow"/>
              </a:ln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0" name="TextBox 29">
                <a:extLst>
                  <a:ext uri="{FF2B5EF4-FFF2-40B4-BE49-F238E27FC236}">
                    <a16:creationId xmlns:a16="http://schemas.microsoft.com/office/drawing/2014/main" id="{00000000-0008-0000-0500-00001E000000}"/>
                  </a:ext>
                </a:extLst>
              </xdr:cNvPr>
              <xdr:cNvSpPr txBox="1"/>
            </xdr:nvSpPr>
            <xdr:spPr>
              <a:xfrm>
                <a:off x="8801913" y="6203330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b3</a:t>
                </a:r>
                <a:endParaRPr lang="zh-CN" altLang="en-US" sz="1200"/>
              </a:p>
            </xdr:txBody>
          </xdr:sp>
          <xdr:sp macro="" textlink="">
            <xdr:nvSpPr>
              <xdr:cNvPr id="32" name="TextBox 31">
                <a:extLst>
                  <a:ext uri="{FF2B5EF4-FFF2-40B4-BE49-F238E27FC236}">
                    <a16:creationId xmlns:a16="http://schemas.microsoft.com/office/drawing/2014/main" id="{00000000-0008-0000-0500-000020000000}"/>
                  </a:ext>
                </a:extLst>
              </xdr:cNvPr>
              <xdr:cNvSpPr txBox="1"/>
            </xdr:nvSpPr>
            <xdr:spPr>
              <a:xfrm>
                <a:off x="9508534" y="6393441"/>
                <a:ext cx="893282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Wingbox</a:t>
                </a:r>
                <a:endParaRPr lang="zh-CN" altLang="en-US" sz="1200"/>
              </a:p>
            </xdr:txBody>
          </xdr:sp>
          <xdr:sp macro="" textlink="">
            <xdr:nvSpPr>
              <xdr:cNvPr id="36" name="TextBox 35">
                <a:extLst>
                  <a:ext uri="{FF2B5EF4-FFF2-40B4-BE49-F238E27FC236}">
                    <a16:creationId xmlns:a16="http://schemas.microsoft.com/office/drawing/2014/main" id="{00000000-0008-0000-0500-000024000000}"/>
                  </a:ext>
                </a:extLst>
              </xdr:cNvPr>
              <xdr:cNvSpPr txBox="1"/>
            </xdr:nvSpPr>
            <xdr:spPr>
              <a:xfrm>
                <a:off x="8598491" y="6520182"/>
                <a:ext cx="432907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PL</a:t>
                </a:r>
                <a:endParaRPr lang="zh-CN" altLang="en-US" sz="1200"/>
              </a:p>
            </xdr:txBody>
          </xdr:sp>
          <xdr:sp macro="" textlink="">
            <xdr:nvSpPr>
              <xdr:cNvPr id="37" name="TextBox 36">
                <a:extLst>
                  <a:ext uri="{FF2B5EF4-FFF2-40B4-BE49-F238E27FC236}">
                    <a16:creationId xmlns:a16="http://schemas.microsoft.com/office/drawing/2014/main" id="{00000000-0008-0000-0500-000025000000}"/>
                  </a:ext>
                </a:extLst>
              </xdr:cNvPr>
              <xdr:cNvSpPr txBox="1"/>
            </xdr:nvSpPr>
            <xdr:spPr>
              <a:xfrm>
                <a:off x="7699154" y="6520182"/>
                <a:ext cx="51855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Fuel</a:t>
                </a:r>
                <a:endParaRPr lang="zh-CN" altLang="en-US" sz="1200"/>
              </a:p>
            </xdr:txBody>
          </xdr:sp>
          <xdr:sp macro="" textlink="">
            <xdr:nvSpPr>
              <xdr:cNvPr id="40" name="TextBox 39">
                <a:extLst>
                  <a:ext uri="{FF2B5EF4-FFF2-40B4-BE49-F238E27FC236}">
                    <a16:creationId xmlns:a16="http://schemas.microsoft.com/office/drawing/2014/main" id="{00000000-0008-0000-0500-000028000000}"/>
                  </a:ext>
                </a:extLst>
              </xdr:cNvPr>
              <xdr:cNvSpPr txBox="1"/>
            </xdr:nvSpPr>
            <xdr:spPr>
              <a:xfrm>
                <a:off x="8512839" y="4202636"/>
                <a:ext cx="582798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Lift</a:t>
                </a:r>
                <a:endParaRPr lang="zh-CN" altLang="en-US" sz="1200"/>
              </a:p>
            </xdr:txBody>
          </xdr:sp>
          <xdr:sp macro="" textlink="">
            <xdr:nvSpPr>
              <xdr:cNvPr id="42" name="TextBox 41">
                <a:extLst>
                  <a:ext uri="{FF2B5EF4-FFF2-40B4-BE49-F238E27FC236}">
                    <a16:creationId xmlns:a16="http://schemas.microsoft.com/office/drawing/2014/main" id="{00000000-0008-0000-0500-00002A000000}"/>
                  </a:ext>
                </a:extLst>
              </xdr:cNvPr>
              <xdr:cNvSpPr txBox="1"/>
            </xdr:nvSpPr>
            <xdr:spPr>
              <a:xfrm>
                <a:off x="9872551" y="4963080"/>
                <a:ext cx="1642731" cy="2952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US" altLang="zh-CN" sz="1200"/>
                  <a:t>Aero pitch moment</a:t>
                </a:r>
                <a:endParaRPr lang="zh-CN" altLang="en-US" sz="1200"/>
              </a:p>
            </xdr:txBody>
          </xdr:sp>
        </xdr:grpSp>
        <xdr:sp macro="" textlink="">
          <xdr:nvSpPr>
            <xdr:cNvPr id="35" name="Flowchart: Summing Junction 34">
              <a:extLst>
                <a:ext uri="{FF2B5EF4-FFF2-40B4-BE49-F238E27FC236}">
                  <a16:creationId xmlns:a16="http://schemas.microsoft.com/office/drawing/2014/main" id="{00000000-0008-0000-0500-000023000000}"/>
                </a:ext>
              </a:extLst>
            </xdr:cNvPr>
            <xdr:cNvSpPr/>
          </xdr:nvSpPr>
          <xdr:spPr>
            <a:xfrm>
              <a:off x="9934413" y="6183687"/>
              <a:ext cx="142875" cy="146050"/>
            </a:xfrm>
            <a:prstGeom prst="flowChartSummingJunction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2" name="Circular Arrow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/>
        </xdr:nvSpPr>
        <xdr:spPr>
          <a:xfrm rot="16200000" flipH="1" flipV="1">
            <a:off x="9863138" y="5430839"/>
            <a:ext cx="1489074" cy="1619248"/>
          </a:xfrm>
          <a:prstGeom prst="circularArrow">
            <a:avLst>
              <a:gd name="adj1" fmla="val 2987"/>
              <a:gd name="adj2" fmla="val 1142319"/>
              <a:gd name="adj3" fmla="val 20457686"/>
              <a:gd name="adj4" fmla="val 10800000"/>
              <a:gd name="adj5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2981</xdr:colOff>
      <xdr:row>62</xdr:row>
      <xdr:rowOff>182479</xdr:rowOff>
    </xdr:from>
    <xdr:to>
      <xdr:col>23</xdr:col>
      <xdr:colOff>389467</xdr:colOff>
      <xdr:row>85</xdr:row>
      <xdr:rowOff>33866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1115303</xdr:colOff>
      <xdr:row>36</xdr:row>
      <xdr:rowOff>184019</xdr:rowOff>
    </xdr:from>
    <xdr:to>
      <xdr:col>23</xdr:col>
      <xdr:colOff>281837</xdr:colOff>
      <xdr:row>54</xdr:row>
      <xdr:rowOff>48546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10</xdr:col>
      <xdr:colOff>503044</xdr:colOff>
      <xdr:row>44</xdr:row>
      <xdr:rowOff>131337</xdr:rowOff>
    </xdr:from>
    <xdr:ext cx="65" cy="172227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DBDDF07C-E17A-B8CD-4297-AB5074FA11D8}"/>
            </a:ext>
          </a:extLst>
        </xdr:cNvPr>
        <xdr:cNvSpPr txBox="1"/>
      </xdr:nvSpPr>
      <xdr:spPr>
        <a:xfrm>
          <a:off x="13969690" y="93853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 kern="1200" baseline="0"/>
        </a:p>
      </xdr:txBody>
    </xdr:sp>
    <xdr:clientData/>
  </xdr:oneCellAnchor>
  <xdr:twoCellAnchor editAs="oneCell">
    <xdr:from>
      <xdr:col>0</xdr:col>
      <xdr:colOff>1</xdr:colOff>
      <xdr:row>0</xdr:row>
      <xdr:rowOff>0</xdr:rowOff>
    </xdr:from>
    <xdr:to>
      <xdr:col>1</xdr:col>
      <xdr:colOff>1</xdr:colOff>
      <xdr:row>0</xdr:row>
      <xdr:rowOff>354949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6870A93-6394-285E-4FC8-5FCA645E4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0"/>
          <a:ext cx="1708452" cy="35494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607930</xdr:colOff>
      <xdr:row>69</xdr:row>
      <xdr:rowOff>66084</xdr:rowOff>
    </xdr:from>
    <xdr:to>
      <xdr:col>25</xdr:col>
      <xdr:colOff>254818</xdr:colOff>
      <xdr:row>83</xdr:row>
      <xdr:rowOff>142285</xdr:rowOff>
    </xdr:to>
    <xdr:graphicFrame macro="">
      <xdr:nvGraphicFramePr>
        <xdr:cNvPr id="33" name="Chart 3">
          <a:extLst>
            <a:ext uri="{FF2B5EF4-FFF2-40B4-BE49-F238E27FC236}">
              <a16:creationId xmlns:a16="http://schemas.microsoft.com/office/drawing/2014/main" id="{2F01930B-63C6-4B9A-8183-0F9B9A926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598405</xdr:colOff>
      <xdr:row>51</xdr:row>
      <xdr:rowOff>0</xdr:rowOff>
    </xdr:from>
    <xdr:to>
      <xdr:col>25</xdr:col>
      <xdr:colOff>264343</xdr:colOff>
      <xdr:row>68</xdr:row>
      <xdr:rowOff>184509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F3A00F-0CD4-4E45-BB22-65603CC90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607930</xdr:colOff>
      <xdr:row>84</xdr:row>
      <xdr:rowOff>18165</xdr:rowOff>
    </xdr:from>
    <xdr:to>
      <xdr:col>25</xdr:col>
      <xdr:colOff>254818</xdr:colOff>
      <xdr:row>98</xdr:row>
      <xdr:rowOff>153282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7D41AE-7C86-49D2-8160-B30FAC5DC5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244307</xdr:colOff>
      <xdr:row>1</xdr:row>
      <xdr:rowOff>224967</xdr:rowOff>
    </xdr:from>
    <xdr:to>
      <xdr:col>16</xdr:col>
      <xdr:colOff>380312</xdr:colOff>
      <xdr:row>18</xdr:row>
      <xdr:rowOff>157114</xdr:rowOff>
    </xdr:to>
    <xdr:grpSp>
      <xdr:nvGrpSpPr>
        <xdr:cNvPr id="143" name="Group 7">
          <a:extLst>
            <a:ext uri="{FF2B5EF4-FFF2-40B4-BE49-F238E27FC236}">
              <a16:creationId xmlns:a16="http://schemas.microsoft.com/office/drawing/2014/main" id="{9E026AFA-7350-25A2-01ED-8EC82EAED408}"/>
            </a:ext>
          </a:extLst>
        </xdr:cNvPr>
        <xdr:cNvGrpSpPr/>
      </xdr:nvGrpSpPr>
      <xdr:grpSpPr>
        <a:xfrm>
          <a:off x="2892257" y="672642"/>
          <a:ext cx="10937355" cy="3103972"/>
          <a:chOff x="5222839" y="755224"/>
          <a:chExt cx="9474433" cy="3143319"/>
        </a:xfrm>
      </xdr:grpSpPr>
      <xdr:pic>
        <xdr:nvPicPr>
          <xdr:cNvPr id="144" name="Picture 6">
            <a:extLst>
              <a:ext uri="{FF2B5EF4-FFF2-40B4-BE49-F238E27FC236}">
                <a16:creationId xmlns:a16="http://schemas.microsoft.com/office/drawing/2014/main" id="{174381B0-905E-476D-AD59-B90E55CCE2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45" name="Arrow: Down 11">
            <a:extLst>
              <a:ext uri="{FF2B5EF4-FFF2-40B4-BE49-F238E27FC236}">
                <a16:creationId xmlns:a16="http://schemas.microsoft.com/office/drawing/2014/main" id="{7FD55551-7106-4D7A-AE83-69846737B03B}"/>
              </a:ext>
            </a:extLst>
          </xdr:cNvPr>
          <xdr:cNvSpPr/>
        </xdr:nvSpPr>
        <xdr:spPr>
          <a:xfrm rot="10800000">
            <a:off x="8628858" y="1235791"/>
            <a:ext cx="326572" cy="1248585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r"/>
            <a:endParaRPr lang="en-GB" sz="1100"/>
          </a:p>
        </xdr:txBody>
      </xdr:sp>
      <xdr:sp macro="" textlink="">
        <xdr:nvSpPr>
          <xdr:cNvPr id="146" name="Arrow: Down 12">
            <a:extLst>
              <a:ext uri="{FF2B5EF4-FFF2-40B4-BE49-F238E27FC236}">
                <a16:creationId xmlns:a16="http://schemas.microsoft.com/office/drawing/2014/main" id="{AC3BCCC9-D312-44F0-AF75-EA2278525835}"/>
              </a:ext>
            </a:extLst>
          </xdr:cNvPr>
          <xdr:cNvSpPr/>
        </xdr:nvSpPr>
        <xdr:spPr>
          <a:xfrm rot="10800000">
            <a:off x="7692720" y="1263080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7" name="Arrow: Down 13">
            <a:extLst>
              <a:ext uri="{FF2B5EF4-FFF2-40B4-BE49-F238E27FC236}">
                <a16:creationId xmlns:a16="http://schemas.microsoft.com/office/drawing/2014/main" id="{B3688152-654D-4637-8143-D6B9617826B3}"/>
              </a:ext>
            </a:extLst>
          </xdr:cNvPr>
          <xdr:cNvSpPr/>
        </xdr:nvSpPr>
        <xdr:spPr>
          <a:xfrm rot="10800000">
            <a:off x="12874264" y="1319024"/>
            <a:ext cx="173385" cy="701230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8" name="TextBox 14">
            <a:extLst>
              <a:ext uri="{FF2B5EF4-FFF2-40B4-BE49-F238E27FC236}">
                <a16:creationId xmlns:a16="http://schemas.microsoft.com/office/drawing/2014/main" id="{09F31822-4D18-4536-A649-906DF7224D30}"/>
              </a:ext>
            </a:extLst>
          </xdr:cNvPr>
          <xdr:cNvSpPr txBox="1"/>
        </xdr:nvSpPr>
        <xdr:spPr>
          <a:xfrm>
            <a:off x="7148436" y="978536"/>
            <a:ext cx="581712" cy="51617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R_F</a:t>
            </a:r>
          </a:p>
        </xdr:txBody>
      </xdr:sp>
      <xdr:sp macro="" textlink="">
        <xdr:nvSpPr>
          <xdr:cNvPr id="149" name="TextBox 15">
            <a:extLst>
              <a:ext uri="{FF2B5EF4-FFF2-40B4-BE49-F238E27FC236}">
                <a16:creationId xmlns:a16="http://schemas.microsoft.com/office/drawing/2014/main" id="{29D6A295-5A3E-4642-9838-E22FCD7D0D48}"/>
              </a:ext>
            </a:extLst>
          </xdr:cNvPr>
          <xdr:cNvSpPr txBox="1"/>
        </xdr:nvSpPr>
        <xdr:spPr>
          <a:xfrm>
            <a:off x="8871819" y="777093"/>
            <a:ext cx="581711" cy="5146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R</a:t>
            </a:r>
            <a:endParaRPr lang="en-GB" sz="1800"/>
          </a:p>
        </xdr:txBody>
      </xdr:sp>
      <xdr:sp macro="" textlink="">
        <xdr:nvSpPr>
          <xdr:cNvPr id="150" name="TextBox 17">
            <a:extLst>
              <a:ext uri="{FF2B5EF4-FFF2-40B4-BE49-F238E27FC236}">
                <a16:creationId xmlns:a16="http://schemas.microsoft.com/office/drawing/2014/main" id="{948931EF-5999-4CAB-B4FE-3BCED85C26F5}"/>
              </a:ext>
            </a:extLst>
          </xdr:cNvPr>
          <xdr:cNvSpPr txBox="1"/>
        </xdr:nvSpPr>
        <xdr:spPr>
          <a:xfrm>
            <a:off x="11862682" y="1208652"/>
            <a:ext cx="1000700" cy="49440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CN" sz="1800"/>
              <a:t>Tail load</a:t>
            </a:r>
            <a:endParaRPr lang="en-GB" sz="1800"/>
          </a:p>
        </xdr:txBody>
      </xdr:sp>
    </xdr:grpSp>
    <xdr:clientData/>
  </xdr:twoCellAnchor>
  <xdr:twoCellAnchor editAs="oneCell">
    <xdr:from>
      <xdr:col>2</xdr:col>
      <xdr:colOff>39277</xdr:colOff>
      <xdr:row>35</xdr:row>
      <xdr:rowOff>157113</xdr:rowOff>
    </xdr:from>
    <xdr:to>
      <xdr:col>13</xdr:col>
      <xdr:colOff>417728</xdr:colOff>
      <xdr:row>37</xdr:row>
      <xdr:rowOff>176602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5917B3-F536-3C9E-D6A6-29DC285F1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6700" y="7158479"/>
          <a:ext cx="7870796" cy="402158"/>
        </a:xfrm>
        <a:prstGeom prst="rect">
          <a:avLst/>
        </a:prstGeom>
      </xdr:spPr>
    </xdr:pic>
    <xdr:clientData/>
  </xdr:twoCellAnchor>
  <xdr:twoCellAnchor editAs="oneCell">
    <xdr:from>
      <xdr:col>2</xdr:col>
      <xdr:colOff>55151</xdr:colOff>
      <xdr:row>32</xdr:row>
      <xdr:rowOff>187749</xdr:rowOff>
    </xdr:from>
    <xdr:to>
      <xdr:col>17</xdr:col>
      <xdr:colOff>49694</xdr:colOff>
      <xdr:row>35</xdr:row>
      <xdr:rowOff>10997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B9C590-6586-E30B-FBA0-90F21EC2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2901" y="6712374"/>
          <a:ext cx="9995793" cy="442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0</xdr:col>
      <xdr:colOff>1681023</xdr:colOff>
      <xdr:row>0</xdr:row>
      <xdr:rowOff>349251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F8D8C5-E34A-A472-D1D9-BEAF09A05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"/>
          <a:ext cx="1681023" cy="3492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28575</xdr:colOff>
      <xdr:row>79</xdr:row>
      <xdr:rowOff>193964</xdr:rowOff>
    </xdr:from>
    <xdr:to>
      <xdr:col>25</xdr:col>
      <xdr:colOff>160193</xdr:colOff>
      <xdr:row>94</xdr:row>
      <xdr:rowOff>75333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16A38D-60CF-439F-AE9B-2C6B1EE73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19050</xdr:colOff>
      <xdr:row>62</xdr:row>
      <xdr:rowOff>21648</xdr:rowOff>
    </xdr:from>
    <xdr:to>
      <xdr:col>25</xdr:col>
      <xdr:colOff>169718</xdr:colOff>
      <xdr:row>79</xdr:row>
      <xdr:rowOff>131619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929648-3B15-40FB-BBD2-990A4FCD6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6927</xdr:colOff>
      <xdr:row>94</xdr:row>
      <xdr:rowOff>112567</xdr:rowOff>
    </xdr:from>
    <xdr:to>
      <xdr:col>25</xdr:col>
      <xdr:colOff>138545</xdr:colOff>
      <xdr:row>109</xdr:row>
      <xdr:rowOff>37233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0A65D5-DE58-4E5A-AEFB-90E2FBB7D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358983</xdr:colOff>
      <xdr:row>98</xdr:row>
      <xdr:rowOff>173181</xdr:rowOff>
    </xdr:from>
    <xdr:to>
      <xdr:col>27</xdr:col>
      <xdr:colOff>511383</xdr:colOff>
      <xdr:row>102</xdr:row>
      <xdr:rowOff>115455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6FB5D5-BD5E-452F-A122-9045B4034734}"/>
            </a:ext>
          </a:extLst>
        </xdr:cNvPr>
        <xdr:cNvSpPr txBox="1"/>
      </xdr:nvSpPr>
      <xdr:spPr>
        <a:xfrm>
          <a:off x="17792619" y="19151022"/>
          <a:ext cx="1364673" cy="6927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Bending</a:t>
          </a:r>
          <a:r>
            <a:rPr lang="en-GB" sz="1100" baseline="0">
              <a:solidFill>
                <a:srgbClr val="FF0000"/>
              </a:solidFill>
            </a:rPr>
            <a:t> </a:t>
          </a:r>
          <a:r>
            <a:rPr lang="en-GB" sz="1100">
              <a:solidFill>
                <a:srgbClr val="FF0000"/>
              </a:solidFill>
            </a:rPr>
            <a:t>Moment at tail end must be Zero</a:t>
          </a:r>
        </a:p>
      </xdr:txBody>
    </xdr:sp>
    <xdr:clientData/>
  </xdr:twoCellAnchor>
  <xdr:twoCellAnchor>
    <xdr:from>
      <xdr:col>1</xdr:col>
      <xdr:colOff>230276</xdr:colOff>
      <xdr:row>1</xdr:row>
      <xdr:rowOff>177940</xdr:rowOff>
    </xdr:from>
    <xdr:to>
      <xdr:col>15</xdr:col>
      <xdr:colOff>370165</xdr:colOff>
      <xdr:row>18</xdr:row>
      <xdr:rowOff>75665</xdr:rowOff>
    </xdr:to>
    <xdr:grpSp>
      <xdr:nvGrpSpPr>
        <xdr:cNvPr id="9" name="Group 7">
          <a:extLst>
            <a:ext uri="{FF2B5EF4-FFF2-40B4-BE49-F238E27FC236}">
              <a16:creationId xmlns:a16="http://schemas.microsoft.com/office/drawing/2014/main" id="{0986FAF5-FB92-43EB-B6EE-3F3DB2120B87}"/>
            </a:ext>
          </a:extLst>
        </xdr:cNvPr>
        <xdr:cNvGrpSpPr/>
      </xdr:nvGrpSpPr>
      <xdr:grpSpPr>
        <a:xfrm>
          <a:off x="2201951" y="663715"/>
          <a:ext cx="11084114" cy="3021925"/>
          <a:chOff x="5222839" y="755224"/>
          <a:chExt cx="9474433" cy="3143319"/>
        </a:xfrm>
      </xdr:grpSpPr>
      <xdr:pic>
        <xdr:nvPicPr>
          <xdr:cNvPr id="10" name="Picture 6">
            <a:extLst>
              <a:ext uri="{FF2B5EF4-FFF2-40B4-BE49-F238E27FC236}">
                <a16:creationId xmlns:a16="http://schemas.microsoft.com/office/drawing/2014/main" id="{AE98FB34-0FFB-127F-577C-38A2AEB358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1" name="Arrow: Down 11">
            <a:extLst>
              <a:ext uri="{FF2B5EF4-FFF2-40B4-BE49-F238E27FC236}">
                <a16:creationId xmlns:a16="http://schemas.microsoft.com/office/drawing/2014/main" id="{AB2A2FFB-D847-8CB3-B4ED-51E84DE624B7}"/>
              </a:ext>
            </a:extLst>
          </xdr:cNvPr>
          <xdr:cNvSpPr/>
        </xdr:nvSpPr>
        <xdr:spPr>
          <a:xfrm rot="10800000">
            <a:off x="8664953" y="1256102"/>
            <a:ext cx="326572" cy="1183629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Arrow: Down 12">
            <a:extLst>
              <a:ext uri="{FF2B5EF4-FFF2-40B4-BE49-F238E27FC236}">
                <a16:creationId xmlns:a16="http://schemas.microsoft.com/office/drawing/2014/main" id="{5C670971-C7FA-1F5F-BE1B-D1B6EDD8F271}"/>
              </a:ext>
            </a:extLst>
          </xdr:cNvPr>
          <xdr:cNvSpPr/>
        </xdr:nvSpPr>
        <xdr:spPr>
          <a:xfrm rot="10800000">
            <a:off x="7692720" y="1263080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" name="TextBox 14">
            <a:extLst>
              <a:ext uri="{FF2B5EF4-FFF2-40B4-BE49-F238E27FC236}">
                <a16:creationId xmlns:a16="http://schemas.microsoft.com/office/drawing/2014/main" id="{2554D340-C33D-BE6B-1998-AD4E0F31E176}"/>
              </a:ext>
            </a:extLst>
          </xdr:cNvPr>
          <xdr:cNvSpPr txBox="1"/>
        </xdr:nvSpPr>
        <xdr:spPr>
          <a:xfrm>
            <a:off x="7148436" y="978536"/>
            <a:ext cx="581712" cy="51617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F</a:t>
            </a:r>
            <a:endParaRPr lang="en-GB" sz="1800"/>
          </a:p>
        </xdr:txBody>
      </xdr:sp>
      <xdr:sp macro="" textlink="">
        <xdr:nvSpPr>
          <xdr:cNvPr id="15" name="TextBox 15">
            <a:extLst>
              <a:ext uri="{FF2B5EF4-FFF2-40B4-BE49-F238E27FC236}">
                <a16:creationId xmlns:a16="http://schemas.microsoft.com/office/drawing/2014/main" id="{C6B63394-BFC1-93A7-3A0F-10AC68D7D14A}"/>
              </a:ext>
            </a:extLst>
          </xdr:cNvPr>
          <xdr:cNvSpPr txBox="1"/>
        </xdr:nvSpPr>
        <xdr:spPr>
          <a:xfrm>
            <a:off x="8920904" y="762570"/>
            <a:ext cx="581711" cy="51465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R_</a:t>
            </a:r>
            <a:r>
              <a:rPr lang="en-US" altLang="zh-CN" sz="1800"/>
              <a:t>R</a:t>
            </a:r>
            <a:endParaRPr lang="en-GB" sz="1800"/>
          </a:p>
        </xdr:txBody>
      </xdr:sp>
    </xdr:grpSp>
    <xdr:clientData/>
  </xdr:twoCellAnchor>
  <xdr:twoCellAnchor editAs="oneCell">
    <xdr:from>
      <xdr:col>2</xdr:col>
      <xdr:colOff>41869</xdr:colOff>
      <xdr:row>46</xdr:row>
      <xdr:rowOff>167472</xdr:rowOff>
    </xdr:from>
    <xdr:to>
      <xdr:col>13</xdr:col>
      <xdr:colOff>343517</xdr:colOff>
      <xdr:row>49</xdr:row>
      <xdr:rowOff>27055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E3F4BE-9A4E-7885-3F05-3947994B9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5083" y="9305192"/>
          <a:ext cx="7858846" cy="424803"/>
        </a:xfrm>
        <a:prstGeom prst="rect">
          <a:avLst/>
        </a:prstGeom>
      </xdr:spPr>
    </xdr:pic>
    <xdr:clientData/>
  </xdr:twoCellAnchor>
  <xdr:twoCellAnchor editAs="oneCell">
    <xdr:from>
      <xdr:col>2</xdr:col>
      <xdr:colOff>31402</xdr:colOff>
      <xdr:row>44</xdr:row>
      <xdr:rowOff>41867</xdr:rowOff>
    </xdr:from>
    <xdr:to>
      <xdr:col>15</xdr:col>
      <xdr:colOff>496741</xdr:colOff>
      <xdr:row>46</xdr:row>
      <xdr:rowOff>15765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BCCF2F-4492-406F-1434-0D0A55676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44616" y="8802774"/>
          <a:ext cx="9341383" cy="3977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0</xdr:row>
      <xdr:rowOff>0</xdr:rowOff>
    </xdr:from>
    <xdr:to>
      <xdr:col>0</xdr:col>
      <xdr:colOff>1701801</xdr:colOff>
      <xdr:row>0</xdr:row>
      <xdr:rowOff>353567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40A5DA-4B50-D129-FDBD-D4A4DE1E6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0"/>
          <a:ext cx="1701800" cy="35356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28576</xdr:colOff>
      <xdr:row>79</xdr:row>
      <xdr:rowOff>117125</xdr:rowOff>
    </xdr:from>
    <xdr:to>
      <xdr:col>26</xdr:col>
      <xdr:colOff>249638</xdr:colOff>
      <xdr:row>94</xdr:row>
      <xdr:rowOff>4918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DA2DB-A303-48D8-884B-A5483777F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29634</xdr:colOff>
      <xdr:row>60</xdr:row>
      <xdr:rowOff>230856</xdr:rowOff>
    </xdr:from>
    <xdr:to>
      <xdr:col>26</xdr:col>
      <xdr:colOff>269747</xdr:colOff>
      <xdr:row>79</xdr:row>
      <xdr:rowOff>98657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972A43-82C4-40A9-9064-7B9A1053E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28576</xdr:colOff>
      <xdr:row>94</xdr:row>
      <xdr:rowOff>26691</xdr:rowOff>
    </xdr:from>
    <xdr:to>
      <xdr:col>26</xdr:col>
      <xdr:colOff>249638</xdr:colOff>
      <xdr:row>108</xdr:row>
      <xdr:rowOff>176160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3C72F2-D2BF-4439-BBC2-936012A26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126662</xdr:colOff>
      <xdr:row>67</xdr:row>
      <xdr:rowOff>117010</xdr:rowOff>
    </xdr:from>
    <xdr:to>
      <xdr:col>18</xdr:col>
      <xdr:colOff>455275</xdr:colOff>
      <xdr:row>70</xdr:row>
      <xdr:rowOff>42902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CEC68A-7B43-44CC-B866-91739619DFBE}"/>
            </a:ext>
          </a:extLst>
        </xdr:cNvPr>
        <xdr:cNvSpPr txBox="1"/>
      </xdr:nvSpPr>
      <xdr:spPr>
        <a:xfrm>
          <a:off x="12927843" y="13284537"/>
          <a:ext cx="1668394" cy="4911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Bending</a:t>
          </a:r>
          <a:r>
            <a:rPr lang="en-GB" sz="1100" baseline="0">
              <a:solidFill>
                <a:srgbClr val="FF0000"/>
              </a:solidFill>
            </a:rPr>
            <a:t> </a:t>
          </a:r>
          <a:r>
            <a:rPr lang="en-GB" sz="1100">
              <a:solidFill>
                <a:srgbClr val="FF0000"/>
              </a:solidFill>
            </a:rPr>
            <a:t>Moment at tail end must be Zero</a:t>
          </a:r>
        </a:p>
      </xdr:txBody>
    </xdr:sp>
    <xdr:clientData/>
  </xdr:twoCellAnchor>
  <xdr:twoCellAnchor>
    <xdr:from>
      <xdr:col>3</xdr:col>
      <xdr:colOff>437372</xdr:colOff>
      <xdr:row>56</xdr:row>
      <xdr:rowOff>128296</xdr:rowOff>
    </xdr:from>
    <xdr:to>
      <xdr:col>5</xdr:col>
      <xdr:colOff>305773</xdr:colOff>
      <xdr:row>59</xdr:row>
      <xdr:rowOff>19439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797F72B-870A-445B-B126-2AF98A01BEC2}"/>
            </a:ext>
          </a:extLst>
        </xdr:cNvPr>
        <xdr:cNvSpPr txBox="1"/>
      </xdr:nvSpPr>
      <xdr:spPr>
        <a:xfrm>
          <a:off x="3712806" y="11431944"/>
          <a:ext cx="1637329" cy="4743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rgbClr val="FF0000"/>
              </a:solidFill>
            </a:rPr>
            <a:t>Tail load change</a:t>
          </a:r>
          <a:r>
            <a:rPr lang="en-GB" sz="1100" baseline="0">
              <a:solidFill>
                <a:srgbClr val="FF0000"/>
              </a:solidFill>
            </a:rPr>
            <a:t> landing load factor</a:t>
          </a:r>
          <a:endParaRPr lang="en-GB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211426</xdr:colOff>
      <xdr:row>1</xdr:row>
      <xdr:rowOff>130811</xdr:rowOff>
    </xdr:from>
    <xdr:to>
      <xdr:col>15</xdr:col>
      <xdr:colOff>368308</xdr:colOff>
      <xdr:row>20</xdr:row>
      <xdr:rowOff>42710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B9D55EB5-4D9D-4CD9-BCBF-AFCA08D3460C}"/>
            </a:ext>
          </a:extLst>
        </xdr:cNvPr>
        <xdr:cNvGrpSpPr/>
      </xdr:nvGrpSpPr>
      <xdr:grpSpPr>
        <a:xfrm>
          <a:off x="2183101" y="626111"/>
          <a:ext cx="12158382" cy="3398049"/>
          <a:chOff x="5222839" y="755224"/>
          <a:chExt cx="9474433" cy="3143319"/>
        </a:xfrm>
      </xdr:grpSpPr>
      <xdr:pic>
        <xdr:nvPicPr>
          <xdr:cNvPr id="9" name="Picture 6">
            <a:extLst>
              <a:ext uri="{FF2B5EF4-FFF2-40B4-BE49-F238E27FC236}">
                <a16:creationId xmlns:a16="http://schemas.microsoft.com/office/drawing/2014/main" id="{474C83B4-FA43-78DF-F61A-4714896E4F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5222839" y="755224"/>
            <a:ext cx="9474433" cy="3143319"/>
          </a:xfrm>
          <a:prstGeom prst="rect">
            <a:avLst/>
          </a:prstGeom>
        </xdr:spPr>
      </xdr:pic>
      <xdr:sp macro="" textlink="">
        <xdr:nvSpPr>
          <xdr:cNvPr id="11" name="Arrow: Down 12">
            <a:extLst>
              <a:ext uri="{FF2B5EF4-FFF2-40B4-BE49-F238E27FC236}">
                <a16:creationId xmlns:a16="http://schemas.microsoft.com/office/drawing/2014/main" id="{935F808B-3EC9-1935-EC2D-B3FEEC2A0E93}"/>
              </a:ext>
            </a:extLst>
          </xdr:cNvPr>
          <xdr:cNvSpPr/>
        </xdr:nvSpPr>
        <xdr:spPr>
          <a:xfrm rot="10800000">
            <a:off x="8368733" y="1794371"/>
            <a:ext cx="331341" cy="1164491"/>
          </a:xfrm>
          <a:prstGeom prst="downArrow">
            <a:avLst>
              <a:gd name="adj1" fmla="val 50000"/>
              <a:gd name="adj2" fmla="val 12666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TextBox 14">
            <a:extLst>
              <a:ext uri="{FF2B5EF4-FFF2-40B4-BE49-F238E27FC236}">
                <a16:creationId xmlns:a16="http://schemas.microsoft.com/office/drawing/2014/main" id="{22912112-DB99-A2E6-C215-8E6C24747BC9}"/>
              </a:ext>
            </a:extLst>
          </xdr:cNvPr>
          <xdr:cNvSpPr txBox="1"/>
        </xdr:nvSpPr>
        <xdr:spPr>
          <a:xfrm>
            <a:off x="7947361" y="1470471"/>
            <a:ext cx="696516" cy="632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800"/>
              <a:t>Gear load</a:t>
            </a:r>
          </a:p>
        </xdr:txBody>
      </xdr:sp>
    </xdr:grpSp>
    <xdr:clientData/>
  </xdr:twoCellAnchor>
  <xdr:twoCellAnchor>
    <xdr:from>
      <xdr:col>12</xdr:col>
      <xdr:colOff>711759</xdr:colOff>
      <xdr:row>5</xdr:row>
      <xdr:rowOff>115138</xdr:rowOff>
    </xdr:from>
    <xdr:to>
      <xdr:col>13</xdr:col>
      <xdr:colOff>123386</xdr:colOff>
      <xdr:row>9</xdr:row>
      <xdr:rowOff>64895</xdr:rowOff>
    </xdr:to>
    <xdr:sp macro="" textlink="">
      <xdr:nvSpPr>
        <xdr:cNvPr id="5" name="Arrow: Down 13">
          <a:extLst>
            <a:ext uri="{FF2B5EF4-FFF2-40B4-BE49-F238E27FC236}">
              <a16:creationId xmlns:a16="http://schemas.microsoft.com/office/drawing/2014/main" id="{728CDCA3-7BDE-4A05-97E7-BC32F92BA873}"/>
            </a:ext>
          </a:extLst>
        </xdr:cNvPr>
        <xdr:cNvSpPr/>
      </xdr:nvSpPr>
      <xdr:spPr>
        <a:xfrm rot="10800000">
          <a:off x="10624039" y="1413050"/>
          <a:ext cx="175721" cy="703383"/>
        </a:xfrm>
        <a:prstGeom prst="downArrow">
          <a:avLst>
            <a:gd name="adj1" fmla="val 50000"/>
            <a:gd name="adj2" fmla="val 126666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62803</xdr:colOff>
      <xdr:row>2</xdr:row>
      <xdr:rowOff>136071</xdr:rowOff>
    </xdr:from>
    <xdr:to>
      <xdr:col>13</xdr:col>
      <xdr:colOff>312892</xdr:colOff>
      <xdr:row>5</xdr:row>
      <xdr:rowOff>66770</xdr:rowOff>
    </xdr:to>
    <xdr:sp macro="" textlink="">
      <xdr:nvSpPr>
        <xdr:cNvPr id="10" name="TextBox 17">
          <a:extLst>
            <a:ext uri="{FF2B5EF4-FFF2-40B4-BE49-F238E27FC236}">
              <a16:creationId xmlns:a16="http://schemas.microsoft.com/office/drawing/2014/main" id="{F7AD44B5-282D-4FE4-9523-E40DCEB36F7D}"/>
            </a:ext>
          </a:extLst>
        </xdr:cNvPr>
        <xdr:cNvSpPr txBox="1"/>
      </xdr:nvSpPr>
      <xdr:spPr>
        <a:xfrm>
          <a:off x="9975083" y="868763"/>
          <a:ext cx="1014183" cy="4959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/>
            <a:t>Tail load</a:t>
          </a:r>
          <a:endParaRPr lang="en-GB" sz="1800"/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0</xdr:col>
      <xdr:colOff>1709615</xdr:colOff>
      <xdr:row>0</xdr:row>
      <xdr:rowOff>355191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E068161-A0F3-9D67-5A56-26EF816B7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"/>
          <a:ext cx="1709615" cy="35519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30T01:09:26.673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 0 24575,'3'0'0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1-12T11:39:17.151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 0 24575,'3'0'0</inkml:trace>
</inkml:ink>
</file>

<file path=xl/theme/theme1.xml><?xml version="1.0" encoding="utf-8"?>
<a:theme xmlns:a="http://schemas.openxmlformats.org/drawingml/2006/main" name="Our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3.nd.edu/~ame40431/AME20211_2021/Other/AbbottDoenhoff_TheoryOfWingSectionsIncludingASummaryOfAirfoilData.pdf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zenithair.net/zenith-ch650-specs/" TargetMode="External"/><Relationship Id="rId1" Type="http://schemas.openxmlformats.org/officeDocument/2006/relationships/hyperlink" Target="https://zenithair.net/zenith-ch650-specs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asa.europa.eu/en/document-library/certification-specifications/cs-lsa-initial-issue" TargetMode="External"/><Relationship Id="rId4" Type="http://schemas.openxmlformats.org/officeDocument/2006/relationships/hyperlink" Target="https://cdn.standards.iteh.ai/samples/76060/e8b799935a9846fb934cdec8eabb01f5/ASTM-F2245-10c.pd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en.wikipedia.org/wiki/Mark_81_bomb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en.wikipedia.org/wiki/Mark_81_bomb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"/>
  <sheetViews>
    <sheetView view="pageBreakPreview" topLeftCell="A7" zoomScale="85" zoomScaleNormal="110" zoomScaleSheetLayoutView="85" workbookViewId="0">
      <selection activeCell="D20" sqref="D20"/>
    </sheetView>
  </sheetViews>
  <sheetFormatPr defaultColWidth="8.875" defaultRowHeight="14.45"/>
  <cols>
    <col min="1" max="1" width="30.625" style="153" customWidth="1"/>
    <col min="2" max="3" width="8.875" style="151"/>
    <col min="4" max="4" width="18.875" style="151" bestFit="1" customWidth="1"/>
    <col min="5" max="16384" width="8.875" style="151"/>
  </cols>
  <sheetData>
    <row r="1" spans="1:26" s="154" customFormat="1" ht="39" customHeight="1">
      <c r="A1" s="50"/>
      <c r="B1" s="181" t="s">
        <v>0</v>
      </c>
      <c r="C1" s="265"/>
      <c r="D1" s="265"/>
      <c r="E1" s="182" t="s">
        <v>1</v>
      </c>
      <c r="F1" s="183"/>
      <c r="G1" s="266" t="s">
        <v>2</v>
      </c>
      <c r="H1" s="184"/>
      <c r="I1" s="184"/>
      <c r="J1" s="184"/>
      <c r="K1" s="184"/>
      <c r="L1" s="184"/>
      <c r="M1" s="184"/>
      <c r="N1" s="184"/>
      <c r="O1" s="184"/>
      <c r="P1" s="184"/>
      <c r="Q1" s="184"/>
      <c r="R1" s="184"/>
      <c r="S1" s="184"/>
      <c r="T1" s="184"/>
      <c r="U1" s="184"/>
      <c r="V1" s="184"/>
      <c r="W1" s="184"/>
      <c r="X1" s="184"/>
      <c r="Y1" s="184"/>
      <c r="Z1" s="184"/>
    </row>
    <row r="2" spans="1:26" ht="15" customHeight="1">
      <c r="A2" s="149"/>
      <c r="B2" s="150"/>
      <c r="C2" s="150"/>
      <c r="D2" s="150"/>
      <c r="E2" s="150"/>
      <c r="F2" s="150"/>
      <c r="G2" s="150"/>
      <c r="H2" s="4"/>
      <c r="I2" s="152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5" spans="1:26" ht="26.1">
      <c r="A5" s="41"/>
      <c r="B5" s="4"/>
      <c r="C5" s="4"/>
      <c r="D5" s="4"/>
      <c r="E5" s="4"/>
      <c r="F5" s="4"/>
      <c r="G5" s="4"/>
      <c r="H5" s="4"/>
      <c r="I5" s="4"/>
      <c r="J5" s="4"/>
      <c r="K5" s="4"/>
      <c r="L5" s="15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14" spans="1:26" s="155" customFormat="1">
      <c r="A14" s="112"/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</row>
    <row r="15" spans="1:26">
      <c r="A15" s="41"/>
      <c r="B15" s="4"/>
      <c r="C15" s="267" t="s">
        <v>3</v>
      </c>
      <c r="D15" s="156"/>
      <c r="E15" s="156"/>
      <c r="F15" s="156"/>
      <c r="G15" s="156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4"/>
    </row>
    <row r="16" spans="1:26">
      <c r="A16" s="41"/>
      <c r="B16" s="4"/>
      <c r="C16" s="156" t="s">
        <v>4</v>
      </c>
      <c r="D16" s="156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4"/>
    </row>
    <row r="17" spans="1:25">
      <c r="A17" s="41"/>
      <c r="B17" s="4"/>
      <c r="C17" s="156"/>
      <c r="D17" s="156"/>
      <c r="E17" s="156"/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</row>
    <row r="18" spans="1:25">
      <c r="A18" s="41"/>
      <c r="B18" s="4"/>
      <c r="C18" s="157" t="s">
        <v>5</v>
      </c>
      <c r="D18" s="157" t="s">
        <v>6</v>
      </c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</row>
    <row r="19" spans="1:25">
      <c r="A19" s="41"/>
      <c r="B19" s="4"/>
      <c r="C19" s="158">
        <v>1</v>
      </c>
      <c r="D19" s="159" t="s">
        <v>7</v>
      </c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</row>
    <row r="20" spans="1:25">
      <c r="A20" s="41"/>
      <c r="B20" s="4"/>
      <c r="C20" s="158">
        <v>2</v>
      </c>
      <c r="D20" s="159" t="s">
        <v>8</v>
      </c>
      <c r="E20" s="156"/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</row>
    <row r="21" spans="1:25">
      <c r="A21" s="41"/>
      <c r="B21" s="4"/>
      <c r="C21" s="158">
        <v>3</v>
      </c>
      <c r="D21" s="159" t="s">
        <v>9</v>
      </c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</row>
    <row r="22" spans="1:25">
      <c r="A22" s="41"/>
      <c r="B22" s="4"/>
      <c r="C22" s="158">
        <v>4</v>
      </c>
      <c r="D22" s="159" t="s">
        <v>10</v>
      </c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</row>
    <row r="23" spans="1:25">
      <c r="A23" s="41"/>
      <c r="B23" s="4"/>
      <c r="C23" s="158">
        <v>5</v>
      </c>
      <c r="D23" s="159" t="s">
        <v>11</v>
      </c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</row>
    <row r="24" spans="1:25">
      <c r="A24" s="41"/>
      <c r="B24" s="4"/>
      <c r="C24" s="268">
        <v>6</v>
      </c>
      <c r="D24" s="160" t="s">
        <v>12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>
      <c r="A25" s="41"/>
      <c r="B25" s="4"/>
      <c r="C25" s="268">
        <v>7</v>
      </c>
      <c r="D25" s="160" t="s">
        <v>13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>
      <c r="A26" s="41"/>
      <c r="B26" s="4"/>
      <c r="C26" s="268">
        <v>8</v>
      </c>
      <c r="D26" s="160" t="s">
        <v>14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s="161" customFormat="1">
      <c r="A27" s="110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</row>
  </sheetData>
  <mergeCells count="3">
    <mergeCell ref="B1:D1"/>
    <mergeCell ref="E1:F1"/>
    <mergeCell ref="G1:Z1"/>
  </mergeCells>
  <phoneticPr fontId="3" type="noConversion"/>
  <hyperlinks>
    <hyperlink ref="D19" location="'Wing layout'!A1" display="Wing Layout" xr:uid="{A0F5B795-7590-1E48-AA56-9AC375E09903}"/>
    <hyperlink ref="D20" location="' n-V diagram'!A1" display="n-V Diagram" xr:uid="{C83E4FCD-F634-B94B-BB79-87D32123D896}"/>
    <hyperlink ref="D21" location="'Wing inertia load'!A1" display="Wing Inertia Load" xr:uid="{7A576F75-F862-8647-8D3C-3E41BB799AE0}"/>
    <hyperlink ref="D22" location="'Wing aero load'!A1" display="Wing Aero Load" xr:uid="{DE84D9E1-36C6-2146-9863-B0F7D10C94E9}"/>
    <hyperlink ref="D23" location="'Wing Torque'!A1" display="Wing Torque" xr:uid="{02C2CB99-F41F-4A4A-A528-1784CB280CB4}"/>
    <hyperlink ref="D24" location="'Fuselage Air Load'!A1" display="Fuselage Air Load" xr:uid="{8F5C1B8F-9365-AC40-A43C-621B0FBD38AF}"/>
    <hyperlink ref="D25" location="'Fuselage Inertial Load'!A1" display="Fuselage Inertial Load" xr:uid="{1AB48C86-B4D2-8A4C-A233-8A8605101B92}"/>
    <hyperlink ref="D26" location="'Fuselage Gear Load'!A1" display="Fuselage Gear Load" xr:uid="{83AC5FE2-2AC0-8942-AFB9-1FBC3A57E01C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68"/>
  <sheetViews>
    <sheetView zoomScale="73" zoomScaleNormal="46" workbookViewId="0">
      <pane xSplit="1" topLeftCell="B1" activePane="topRight" state="frozen"/>
      <selection pane="topRight" activeCell="Q23" sqref="Q23"/>
    </sheetView>
  </sheetViews>
  <sheetFormatPr defaultColWidth="8.875" defaultRowHeight="14.1"/>
  <cols>
    <col min="1" max="1" width="30.875" style="132" customWidth="1"/>
    <col min="3" max="3" width="17.375" bestFit="1" customWidth="1"/>
    <col min="14" max="14" width="23.875" customWidth="1"/>
  </cols>
  <sheetData>
    <row r="1" spans="1:42" s="133" customFormat="1" ht="39" customHeight="1">
      <c r="A1" s="50"/>
      <c r="B1" s="186" t="s">
        <v>7</v>
      </c>
      <c r="C1" s="187"/>
      <c r="D1" s="187"/>
      <c r="E1" s="187"/>
      <c r="F1" s="188" t="s">
        <v>1</v>
      </c>
      <c r="G1" s="189"/>
      <c r="H1" s="190" t="s">
        <v>15</v>
      </c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</row>
    <row r="3" spans="1:42">
      <c r="A3" s="138" t="s">
        <v>16</v>
      </c>
      <c r="C3" s="192" t="s">
        <v>17</v>
      </c>
      <c r="D3" s="193"/>
      <c r="E3" s="194"/>
    </row>
    <row r="4" spans="1:42">
      <c r="A4" s="134" t="s">
        <v>18</v>
      </c>
      <c r="C4" s="136" t="s">
        <v>19</v>
      </c>
      <c r="D4" s="136" t="s">
        <v>20</v>
      </c>
      <c r="E4" s="136" t="s">
        <v>21</v>
      </c>
      <c r="F4" s="142"/>
    </row>
    <row r="5" spans="1:42">
      <c r="C5" s="120" t="s">
        <v>22</v>
      </c>
      <c r="D5" s="135">
        <v>3.56</v>
      </c>
      <c r="E5" s="120" t="s">
        <v>23</v>
      </c>
    </row>
    <row r="6" spans="1:42">
      <c r="C6" s="120" t="s">
        <v>24</v>
      </c>
      <c r="D6" s="135">
        <v>30</v>
      </c>
      <c r="E6" s="120" t="s">
        <v>25</v>
      </c>
    </row>
    <row r="7" spans="1:42">
      <c r="C7" s="120" t="s">
        <v>26</v>
      </c>
      <c r="D7" s="135">
        <v>1.1200000000000001</v>
      </c>
      <c r="E7" s="120" t="s">
        <v>23</v>
      </c>
    </row>
    <row r="8" spans="1:42">
      <c r="C8" s="120" t="s">
        <v>27</v>
      </c>
      <c r="D8" s="135">
        <v>46</v>
      </c>
      <c r="E8" s="120" t="s">
        <v>28</v>
      </c>
    </row>
    <row r="9" spans="1:42">
      <c r="C9" s="140" t="s">
        <v>29</v>
      </c>
      <c r="D9" s="141">
        <v>2</v>
      </c>
      <c r="E9" s="140" t="s">
        <v>23</v>
      </c>
      <c r="S9" s="2"/>
    </row>
    <row r="10" spans="1:42">
      <c r="C10" s="120" t="s">
        <v>30</v>
      </c>
      <c r="D10" s="145" t="s">
        <v>31</v>
      </c>
      <c r="E10" s="145"/>
    </row>
    <row r="12" spans="1:42">
      <c r="A12" s="14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</row>
    <row r="13" spans="1:42" ht="15" customHeight="1">
      <c r="A13" s="138" t="s">
        <v>32</v>
      </c>
    </row>
    <row r="14" spans="1:42">
      <c r="A14" s="195" t="s">
        <v>33</v>
      </c>
    </row>
    <row r="15" spans="1:42">
      <c r="A15" s="196"/>
    </row>
    <row r="30" spans="1:42" s="139" customFormat="1">
      <c r="A30" s="132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</row>
    <row r="31" spans="1:42">
      <c r="A31" s="148"/>
      <c r="B31" s="139"/>
      <c r="C31" s="139"/>
      <c r="D31" s="139"/>
      <c r="E31" s="139"/>
      <c r="F31" s="139"/>
      <c r="G31" s="139"/>
      <c r="H31" s="139"/>
      <c r="I31" s="139"/>
      <c r="J31" s="139"/>
      <c r="K31" s="139"/>
      <c r="L31" s="139"/>
      <c r="M31" s="139"/>
      <c r="N31" s="139"/>
      <c r="O31" s="139"/>
      <c r="P31" s="139"/>
      <c r="Q31" s="139"/>
      <c r="R31" s="139"/>
      <c r="S31" s="139"/>
      <c r="T31" s="139"/>
      <c r="U31" s="139"/>
      <c r="V31" s="139"/>
      <c r="W31" s="139"/>
      <c r="X31" s="139"/>
      <c r="Y31" s="139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139"/>
      <c r="AK31" s="139"/>
      <c r="AL31" s="139"/>
      <c r="AM31" s="139"/>
      <c r="AN31" s="139"/>
      <c r="AO31" s="139"/>
      <c r="AP31" s="139"/>
    </row>
    <row r="33" spans="1:1" ht="15" customHeight="1">
      <c r="A33" s="138" t="s">
        <v>34</v>
      </c>
    </row>
    <row r="34" spans="1:1">
      <c r="A34" s="185" t="s">
        <v>35</v>
      </c>
    </row>
    <row r="35" spans="1:1">
      <c r="A35" s="269"/>
    </row>
    <row r="36" spans="1:1">
      <c r="A36" s="269"/>
    </row>
    <row r="37" spans="1:1">
      <c r="A37" s="269"/>
    </row>
    <row r="38" spans="1:1">
      <c r="A38" s="269"/>
    </row>
    <row r="39" spans="1:1">
      <c r="A39" s="269"/>
    </row>
    <row r="67" spans="1:1">
      <c r="A67" s="148"/>
    </row>
    <row r="68" spans="1:1" s="146" customFormat="1">
      <c r="A68" s="132"/>
    </row>
  </sheetData>
  <mergeCells count="6">
    <mergeCell ref="A34:A39"/>
    <mergeCell ref="B1:E1"/>
    <mergeCell ref="F1:G1"/>
    <mergeCell ref="H1:Z1"/>
    <mergeCell ref="C3:E3"/>
    <mergeCell ref="A14:A15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63"/>
  <sheetViews>
    <sheetView zoomScale="70" zoomScaleNormal="70" workbookViewId="0">
      <pane xSplit="1" ySplit="1" topLeftCell="B2" activePane="bottomRight" state="frozen"/>
      <selection pane="bottomRight" activeCell="Q9" sqref="Q9"/>
      <selection pane="bottomLeft" activeCell="A2" sqref="A2"/>
      <selection pane="topRight" activeCell="B1" sqref="B1"/>
    </sheetView>
  </sheetViews>
  <sheetFormatPr defaultColWidth="8.875" defaultRowHeight="14.45"/>
  <cols>
    <col min="1" max="1" width="30.875" style="23" customWidth="1"/>
    <col min="2" max="2" width="8.875" style="4"/>
    <col min="3" max="3" width="13.875" style="4" customWidth="1"/>
    <col min="4" max="4" width="10.625" style="4" bestFit="1" customWidth="1"/>
    <col min="5" max="5" width="12.875" style="4" bestFit="1" customWidth="1"/>
    <col min="6" max="6" width="12.125" style="4" bestFit="1" customWidth="1"/>
    <col min="7" max="7" width="12.875" style="4" bestFit="1" customWidth="1"/>
    <col min="8" max="8" width="9.875" style="4" bestFit="1" customWidth="1"/>
    <col min="9" max="9" width="15" style="4" bestFit="1" customWidth="1"/>
    <col min="10" max="10" width="11.125" style="4" bestFit="1" customWidth="1"/>
    <col min="11" max="11" width="10.625" style="4" bestFit="1" customWidth="1"/>
    <col min="12" max="12" width="8.625" style="4" customWidth="1"/>
    <col min="13" max="13" width="16.125" style="4" bestFit="1" customWidth="1"/>
    <col min="14" max="14" width="11.125" style="4" bestFit="1" customWidth="1"/>
    <col min="15" max="15" width="10.625" style="4" bestFit="1" customWidth="1"/>
    <col min="16" max="19" width="8.875" style="4"/>
    <col min="20" max="20" width="11.375" style="4" bestFit="1" customWidth="1"/>
    <col min="21" max="16384" width="8.875" style="4"/>
  </cols>
  <sheetData>
    <row r="1" spans="1:31" s="30" customFormat="1" ht="39" customHeight="1">
      <c r="A1" s="50"/>
      <c r="B1" s="208" t="s">
        <v>36</v>
      </c>
      <c r="C1" s="208"/>
      <c r="D1" s="208"/>
      <c r="E1" s="209"/>
      <c r="F1" s="210" t="s">
        <v>1</v>
      </c>
      <c r="G1" s="211"/>
      <c r="H1" s="204" t="s">
        <v>37</v>
      </c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</row>
    <row r="2" spans="1:31" ht="18.600000000000001">
      <c r="A2" s="123" t="s">
        <v>38</v>
      </c>
    </row>
    <row r="3" spans="1:31" ht="18.95" customHeight="1">
      <c r="A3" s="207" t="s">
        <v>39</v>
      </c>
      <c r="C3" s="205" t="s">
        <v>40</v>
      </c>
      <c r="D3" s="199"/>
      <c r="F3" s="205" t="s">
        <v>41</v>
      </c>
      <c r="G3" s="198"/>
      <c r="H3" s="199"/>
      <c r="I3" s="16" t="s">
        <v>42</v>
      </c>
      <c r="K3" s="205" t="s">
        <v>43</v>
      </c>
      <c r="L3" s="198"/>
      <c r="M3" s="199"/>
      <c r="N3" s="16" t="s">
        <v>42</v>
      </c>
      <c r="P3" s="205" t="s">
        <v>44</v>
      </c>
      <c r="Q3" s="199"/>
      <c r="R3" s="16" t="s">
        <v>42</v>
      </c>
      <c r="T3" s="205" t="s">
        <v>45</v>
      </c>
      <c r="U3" s="198"/>
      <c r="V3" s="199"/>
    </row>
    <row r="4" spans="1:31" ht="18.95" customHeight="1">
      <c r="A4" s="207"/>
      <c r="C4" s="12" t="s">
        <v>46</v>
      </c>
      <c r="D4" s="12" t="s">
        <v>20</v>
      </c>
      <c r="F4" s="12" t="s">
        <v>46</v>
      </c>
      <c r="G4" s="12" t="s">
        <v>20</v>
      </c>
      <c r="H4" s="12" t="s">
        <v>47</v>
      </c>
      <c r="K4" s="12" t="s">
        <v>46</v>
      </c>
      <c r="L4" s="12" t="s">
        <v>20</v>
      </c>
      <c r="M4" s="12" t="s">
        <v>47</v>
      </c>
      <c r="P4" s="12" t="s">
        <v>46</v>
      </c>
      <c r="Q4" s="12" t="s">
        <v>20</v>
      </c>
      <c r="T4" s="12" t="s">
        <v>46</v>
      </c>
      <c r="U4" s="12" t="s">
        <v>20</v>
      </c>
      <c r="V4" s="12" t="s">
        <v>47</v>
      </c>
      <c r="W4" s="206" t="s">
        <v>48</v>
      </c>
      <c r="X4" s="206"/>
      <c r="Y4" s="206"/>
      <c r="Z4" s="206"/>
      <c r="AA4" s="206"/>
      <c r="AB4" s="206"/>
      <c r="AC4" s="206"/>
      <c r="AD4" s="206"/>
      <c r="AE4" s="206"/>
    </row>
    <row r="5" spans="1:31" ht="18.95" customHeight="1">
      <c r="A5" s="207"/>
      <c r="C5" s="6" t="s">
        <v>49</v>
      </c>
      <c r="D5" s="15">
        <v>3.75</v>
      </c>
      <c r="F5" s="5" t="s">
        <v>50</v>
      </c>
      <c r="G5" s="14">
        <v>548.70000000000005</v>
      </c>
      <c r="H5" s="5" t="s">
        <v>51</v>
      </c>
      <c r="K5" s="5" t="s">
        <v>52</v>
      </c>
      <c r="L5" s="17">
        <f>62.5826*3.6</f>
        <v>225.29736</v>
      </c>
      <c r="M5" s="5" t="s">
        <v>53</v>
      </c>
      <c r="P5" s="5" t="s">
        <v>54</v>
      </c>
      <c r="Q5" s="18">
        <v>0.52</v>
      </c>
      <c r="T5" s="5" t="s">
        <v>55</v>
      </c>
      <c r="U5" s="19">
        <f>147.5083 * 3.6</f>
        <v>531.02987999999993</v>
      </c>
      <c r="V5" s="5" t="s">
        <v>53</v>
      </c>
      <c r="W5" s="206" t="s">
        <v>56</v>
      </c>
      <c r="X5" s="206"/>
      <c r="Y5" s="206"/>
      <c r="Z5" s="206"/>
      <c r="AA5" s="206"/>
      <c r="AB5" s="206"/>
      <c r="AC5" s="206"/>
      <c r="AD5" s="206"/>
      <c r="AE5" s="206"/>
    </row>
    <row r="6" spans="1:31" ht="18.95" customHeight="1">
      <c r="A6" s="207"/>
      <c r="C6" s="6" t="s">
        <v>57</v>
      </c>
      <c r="D6" s="15">
        <v>-1.5</v>
      </c>
      <c r="F6" s="5" t="s">
        <v>58</v>
      </c>
      <c r="G6" s="14">
        <v>65</v>
      </c>
      <c r="H6" s="5" t="s">
        <v>23</v>
      </c>
      <c r="K6" s="5" t="s">
        <v>59</v>
      </c>
      <c r="L6" s="17">
        <f>93.2924 * 3.6</f>
        <v>335.85264000000001</v>
      </c>
      <c r="M6" s="5" t="s">
        <v>53</v>
      </c>
      <c r="P6" s="5" t="s">
        <v>60</v>
      </c>
      <c r="Q6" s="18">
        <v>4.4359000000000002</v>
      </c>
      <c r="T6" s="5" t="s">
        <v>61</v>
      </c>
      <c r="U6" s="19">
        <f>113.509 * 3.6</f>
        <v>408.63240000000002</v>
      </c>
      <c r="V6" s="5" t="s">
        <v>53</v>
      </c>
      <c r="W6" s="206" t="s">
        <v>62</v>
      </c>
      <c r="X6" s="206"/>
      <c r="Y6" s="206"/>
      <c r="Z6" s="206"/>
      <c r="AA6" s="206"/>
      <c r="AB6" s="206"/>
      <c r="AC6" s="206"/>
      <c r="AD6" s="206"/>
      <c r="AE6" s="206"/>
    </row>
    <row r="7" spans="1:31">
      <c r="A7" s="207"/>
      <c r="F7" s="5" t="s">
        <v>63</v>
      </c>
      <c r="G7" s="36">
        <f>G5/G6</f>
        <v>8.4415384615384621</v>
      </c>
      <c r="H7" s="5" t="s">
        <v>23</v>
      </c>
      <c r="K7" s="5" t="s">
        <v>64</v>
      </c>
      <c r="L7" s="17">
        <f>161.0222*3.6</f>
        <v>579.67992000000004</v>
      </c>
      <c r="M7" s="5" t="s">
        <v>53</v>
      </c>
      <c r="P7" s="5" t="s">
        <v>65</v>
      </c>
      <c r="Q7" s="18">
        <v>1.4413</v>
      </c>
      <c r="T7" s="5" t="s">
        <v>66</v>
      </c>
      <c r="U7" s="19">
        <f>180.7*3.6</f>
        <v>650.52</v>
      </c>
      <c r="V7" s="5" t="s">
        <v>53</v>
      </c>
      <c r="W7" s="206" t="s">
        <v>67</v>
      </c>
      <c r="X7" s="206"/>
      <c r="Y7" s="206"/>
      <c r="Z7" s="206"/>
      <c r="AA7" s="206"/>
      <c r="AB7" s="206"/>
      <c r="AC7" s="206"/>
      <c r="AD7" s="206"/>
      <c r="AE7" s="206"/>
    </row>
    <row r="8" spans="1:31">
      <c r="A8" s="207"/>
      <c r="F8" s="5" t="s">
        <v>68</v>
      </c>
      <c r="G8" s="14">
        <v>429900</v>
      </c>
      <c r="H8" s="5" t="s">
        <v>25</v>
      </c>
      <c r="K8" s="5" t="s">
        <v>69</v>
      </c>
      <c r="L8" s="17">
        <f>201.2777*3.6</f>
        <v>724.59972000000005</v>
      </c>
      <c r="M8" s="5" t="s">
        <v>53</v>
      </c>
      <c r="P8" s="5" t="s">
        <v>70</v>
      </c>
      <c r="Q8" s="18">
        <v>-0.97460000000000002</v>
      </c>
      <c r="T8" s="5" t="s">
        <v>71</v>
      </c>
      <c r="U8" s="19">
        <f>139.003 * 3.6</f>
        <v>500.41079999999994</v>
      </c>
      <c r="V8" s="5" t="s">
        <v>53</v>
      </c>
      <c r="W8" s="206" t="s">
        <v>72</v>
      </c>
      <c r="X8" s="206"/>
      <c r="Y8" s="206"/>
      <c r="Z8" s="206"/>
      <c r="AA8" s="206"/>
      <c r="AB8" s="206"/>
      <c r="AC8" s="206"/>
      <c r="AD8" s="206"/>
      <c r="AE8" s="206"/>
    </row>
    <row r="9" spans="1:31">
      <c r="A9" s="207"/>
      <c r="F9" s="5" t="s">
        <v>73</v>
      </c>
      <c r="G9" s="35">
        <f>G8/G5</f>
        <v>783.48824494259156</v>
      </c>
      <c r="H9" s="5" t="s">
        <v>74</v>
      </c>
      <c r="P9" s="5" t="s">
        <v>75</v>
      </c>
      <c r="Q9" s="18">
        <v>0.13109999999999999</v>
      </c>
      <c r="T9" s="4" t="s">
        <v>76</v>
      </c>
    </row>
    <row r="10" spans="1:31">
      <c r="A10" s="207"/>
      <c r="P10" s="5" t="s">
        <v>77</v>
      </c>
      <c r="Q10" s="18">
        <v>-0.5</v>
      </c>
      <c r="T10" s="1" t="s">
        <v>78</v>
      </c>
      <c r="V10" s="1" t="s">
        <v>79</v>
      </c>
    </row>
    <row r="11" spans="1:31" s="21" customFormat="1">
      <c r="A11" s="23"/>
    </row>
    <row r="12" spans="1:31" s="20" customFormat="1" ht="18.600000000000001">
      <c r="A12" s="124" t="s">
        <v>32</v>
      </c>
    </row>
    <row r="13" spans="1:31" ht="18.600000000000001">
      <c r="A13" s="125" t="s">
        <v>80</v>
      </c>
      <c r="C13" s="200" t="s">
        <v>81</v>
      </c>
      <c r="D13" s="201"/>
      <c r="E13" s="201"/>
      <c r="F13" s="201"/>
      <c r="G13" s="201"/>
      <c r="I13" s="200" t="s">
        <v>82</v>
      </c>
      <c r="J13" s="201"/>
      <c r="K13" s="201"/>
      <c r="X13" s="4" t="s">
        <v>83</v>
      </c>
    </row>
    <row r="14" spans="1:31">
      <c r="C14" s="12" t="s">
        <v>84</v>
      </c>
      <c r="D14" s="12" t="s">
        <v>85</v>
      </c>
      <c r="E14" s="12" t="s">
        <v>86</v>
      </c>
      <c r="F14" s="12" t="s">
        <v>87</v>
      </c>
      <c r="G14" s="12" t="s">
        <v>88</v>
      </c>
      <c r="I14" s="13" t="s">
        <v>89</v>
      </c>
      <c r="J14" s="13" t="s">
        <v>90</v>
      </c>
      <c r="K14" s="13" t="s">
        <v>91</v>
      </c>
    </row>
    <row r="15" spans="1:31">
      <c r="C15" s="25">
        <v>0</v>
      </c>
      <c r="D15" s="25">
        <f t="shared" ref="D15:D37" si="0">C15*3.6</f>
        <v>0</v>
      </c>
      <c r="E15" s="25">
        <f t="shared" ref="E15:E37" si="1">0.5*1.225*C15^2</f>
        <v>0</v>
      </c>
      <c r="F15" s="25">
        <f t="shared" ref="F15:F35" si="2">E15*$G$5*$Q$7/$G$8/9.81</f>
        <v>0</v>
      </c>
      <c r="G15" s="25">
        <f t="shared" ref="G15:G30" si="3">E15*$G$5*$Q$8/$G$8/9.81</f>
        <v>0</v>
      </c>
      <c r="I15" s="7" t="s">
        <v>66</v>
      </c>
      <c r="J15" s="27">
        <f>SQRT((D5* 9.81* G9) / (0.5 * 1.225*Q7)) * 3.6</f>
        <v>650.48702898185968</v>
      </c>
      <c r="K15" s="5">
        <f>D5</f>
        <v>3.75</v>
      </c>
    </row>
    <row r="16" spans="1:31">
      <c r="C16" s="25">
        <v>10</v>
      </c>
      <c r="D16" s="25">
        <f t="shared" si="0"/>
        <v>36</v>
      </c>
      <c r="E16" s="25">
        <f t="shared" si="1"/>
        <v>61.250000000000007</v>
      </c>
      <c r="F16" s="25">
        <f t="shared" si="2"/>
        <v>1.1485740167509265E-2</v>
      </c>
      <c r="G16" s="25">
        <f t="shared" si="3"/>
        <v>-7.766601240029509E-3</v>
      </c>
      <c r="I16" s="7" t="s">
        <v>69</v>
      </c>
      <c r="J16" s="5">
        <f>L8</f>
        <v>724.59972000000005</v>
      </c>
      <c r="K16" s="5">
        <f>D5</f>
        <v>3.75</v>
      </c>
    </row>
    <row r="17" spans="1:11">
      <c r="C17" s="25">
        <v>21</v>
      </c>
      <c r="D17" s="25">
        <f t="shared" si="0"/>
        <v>75.600000000000009</v>
      </c>
      <c r="E17" s="25">
        <f t="shared" si="1"/>
        <v>270.11250000000001</v>
      </c>
      <c r="F17" s="25">
        <f t="shared" si="2"/>
        <v>5.0652114138715856E-2</v>
      </c>
      <c r="G17" s="25">
        <f t="shared" si="3"/>
        <v>-3.4250711468530121E-2</v>
      </c>
    </row>
    <row r="18" spans="1:11">
      <c r="C18" s="25">
        <v>22.8</v>
      </c>
      <c r="D18" s="25">
        <f t="shared" si="0"/>
        <v>82.08</v>
      </c>
      <c r="E18" s="25">
        <f t="shared" si="1"/>
        <v>318.40200000000004</v>
      </c>
      <c r="F18" s="25">
        <f t="shared" si="2"/>
        <v>5.9707471686780172E-2</v>
      </c>
      <c r="G18" s="25">
        <f t="shared" si="3"/>
        <v>-4.03738998861694E-2</v>
      </c>
    </row>
    <row r="19" spans="1:11">
      <c r="C19" s="25">
        <v>25</v>
      </c>
      <c r="D19" s="25">
        <f t="shared" si="0"/>
        <v>90</v>
      </c>
      <c r="E19" s="25">
        <f t="shared" si="1"/>
        <v>382.8125</v>
      </c>
      <c r="F19" s="25">
        <f t="shared" si="2"/>
        <v>7.17858760469329E-2</v>
      </c>
      <c r="G19" s="25">
        <f t="shared" si="3"/>
        <v>-4.8541257750184426E-2</v>
      </c>
      <c r="I19" s="200" t="s">
        <v>92</v>
      </c>
      <c r="J19" s="201"/>
      <c r="K19" s="201"/>
    </row>
    <row r="20" spans="1:11">
      <c r="C20" s="25">
        <v>27</v>
      </c>
      <c r="D20" s="25">
        <f t="shared" si="0"/>
        <v>97.2</v>
      </c>
      <c r="E20" s="25">
        <f t="shared" si="1"/>
        <v>446.51250000000005</v>
      </c>
      <c r="F20" s="25">
        <f t="shared" si="2"/>
        <v>8.3731045821142533E-2</v>
      </c>
      <c r="G20" s="25">
        <f t="shared" si="3"/>
        <v>-5.6618523039815113E-2</v>
      </c>
      <c r="I20" s="12" t="s">
        <v>89</v>
      </c>
      <c r="J20" s="12" t="s">
        <v>90</v>
      </c>
      <c r="K20" s="12" t="s">
        <v>91</v>
      </c>
    </row>
    <row r="21" spans="1:11">
      <c r="C21" s="25">
        <v>30</v>
      </c>
      <c r="D21" s="25">
        <f t="shared" si="0"/>
        <v>108</v>
      </c>
      <c r="E21" s="25">
        <f t="shared" si="1"/>
        <v>551.25</v>
      </c>
      <c r="F21" s="25">
        <f t="shared" si="2"/>
        <v>0.10337166150758337</v>
      </c>
      <c r="G21" s="25">
        <f t="shared" si="3"/>
        <v>-6.9899411160265559E-2</v>
      </c>
      <c r="I21" s="7" t="s">
        <v>71</v>
      </c>
      <c r="J21" s="26">
        <f>U8</f>
        <v>500.41079999999994</v>
      </c>
      <c r="K21" s="6">
        <f>D6</f>
        <v>-1.5</v>
      </c>
    </row>
    <row r="22" spans="1:11">
      <c r="C22" s="25">
        <v>35</v>
      </c>
      <c r="D22" s="25">
        <f t="shared" si="0"/>
        <v>126</v>
      </c>
      <c r="E22" s="25">
        <f t="shared" si="1"/>
        <v>750.3125</v>
      </c>
      <c r="F22" s="25">
        <f t="shared" si="2"/>
        <v>0.14070031705198849</v>
      </c>
      <c r="G22" s="25">
        <f t="shared" si="3"/>
        <v>-9.5140865190361468E-2</v>
      </c>
      <c r="I22" s="7" t="s">
        <v>69</v>
      </c>
      <c r="J22" s="6">
        <f>L8</f>
        <v>724.59972000000005</v>
      </c>
      <c r="K22" s="6">
        <f>D6</f>
        <v>-1.5</v>
      </c>
    </row>
    <row r="23" spans="1:11">
      <c r="A23" s="24"/>
      <c r="C23" s="25">
        <v>40</v>
      </c>
      <c r="D23" s="25">
        <f t="shared" si="0"/>
        <v>144</v>
      </c>
      <c r="E23" s="25">
        <f t="shared" si="1"/>
        <v>980.00000000000011</v>
      </c>
      <c r="F23" s="25">
        <f t="shared" si="2"/>
        <v>0.18377184268014823</v>
      </c>
      <c r="G23" s="25">
        <f t="shared" si="3"/>
        <v>-0.12426561984047214</v>
      </c>
    </row>
    <row r="24" spans="1:11">
      <c r="C24" s="25">
        <v>45</v>
      </c>
      <c r="D24" s="25">
        <f t="shared" si="0"/>
        <v>162</v>
      </c>
      <c r="E24" s="25">
        <f t="shared" si="1"/>
        <v>1240.3125</v>
      </c>
      <c r="F24" s="25">
        <f t="shared" si="2"/>
        <v>0.23258623839206258</v>
      </c>
      <c r="G24" s="25">
        <f t="shared" si="3"/>
        <v>-0.15727367511059748</v>
      </c>
    </row>
    <row r="25" spans="1:11">
      <c r="C25" s="25">
        <v>46</v>
      </c>
      <c r="D25" s="25">
        <f t="shared" si="0"/>
        <v>165.6</v>
      </c>
      <c r="E25" s="25">
        <f t="shared" si="1"/>
        <v>1296.0500000000002</v>
      </c>
      <c r="F25" s="25">
        <f t="shared" si="2"/>
        <v>0.24303826194449607</v>
      </c>
      <c r="G25" s="25">
        <f t="shared" si="3"/>
        <v>-0.16434128223902439</v>
      </c>
      <c r="I25" s="197" t="s">
        <v>93</v>
      </c>
      <c r="J25" s="202"/>
      <c r="K25" s="203"/>
    </row>
    <row r="26" spans="1:11">
      <c r="C26" s="25">
        <v>47</v>
      </c>
      <c r="D26" s="25">
        <f t="shared" si="0"/>
        <v>169.20000000000002</v>
      </c>
      <c r="E26" s="25">
        <f t="shared" si="1"/>
        <v>1353.0125</v>
      </c>
      <c r="F26" s="25">
        <f t="shared" si="2"/>
        <v>0.25372000030027964</v>
      </c>
      <c r="G26" s="25">
        <f t="shared" si="3"/>
        <v>-0.17156422139225183</v>
      </c>
      <c r="I26" s="12" t="s">
        <v>89</v>
      </c>
      <c r="J26" s="12" t="s">
        <v>90</v>
      </c>
      <c r="K26" s="12" t="s">
        <v>91</v>
      </c>
    </row>
    <row r="27" spans="1:11">
      <c r="C27" s="25">
        <v>48</v>
      </c>
      <c r="D27" s="25">
        <f t="shared" si="0"/>
        <v>172.8</v>
      </c>
      <c r="E27" s="25">
        <f t="shared" si="1"/>
        <v>1411.2</v>
      </c>
      <c r="F27" s="25">
        <f t="shared" si="2"/>
        <v>0.26463145345941347</v>
      </c>
      <c r="G27" s="25">
        <f t="shared" si="3"/>
        <v>-0.17894249257027986</v>
      </c>
      <c r="I27" s="7" t="s">
        <v>69</v>
      </c>
      <c r="J27" s="6">
        <f>L8</f>
        <v>724.59972000000005</v>
      </c>
      <c r="K27" s="6">
        <f>D5</f>
        <v>3.75</v>
      </c>
    </row>
    <row r="28" spans="1:11">
      <c r="C28" s="25">
        <v>49</v>
      </c>
      <c r="D28" s="25">
        <f t="shared" si="0"/>
        <v>176.4</v>
      </c>
      <c r="E28" s="25">
        <f t="shared" si="1"/>
        <v>1470.6125000000002</v>
      </c>
      <c r="F28" s="25">
        <f t="shared" si="2"/>
        <v>0.27577262142189746</v>
      </c>
      <c r="G28" s="25">
        <f t="shared" si="3"/>
        <v>-0.1864760957731085</v>
      </c>
      <c r="I28" s="7" t="s">
        <v>69</v>
      </c>
      <c r="J28" s="6">
        <f>L8</f>
        <v>724.59972000000005</v>
      </c>
      <c r="K28" s="6">
        <f>D6</f>
        <v>-1.5</v>
      </c>
    </row>
    <row r="29" spans="1:11">
      <c r="C29" s="25">
        <v>50</v>
      </c>
      <c r="D29" s="25">
        <f t="shared" si="0"/>
        <v>180</v>
      </c>
      <c r="E29" s="25">
        <f t="shared" si="1"/>
        <v>1531.25</v>
      </c>
      <c r="F29" s="25">
        <f t="shared" si="2"/>
        <v>0.2871435041877316</v>
      </c>
      <c r="G29" s="25">
        <f t="shared" si="3"/>
        <v>-0.1941650310007377</v>
      </c>
    </row>
    <row r="30" spans="1:11">
      <c r="C30" s="25">
        <f>J21/3.6</f>
        <v>139.00299999999999</v>
      </c>
      <c r="D30" s="25">
        <f t="shared" si="0"/>
        <v>500.41079999999994</v>
      </c>
      <c r="E30" s="25">
        <f t="shared" si="1"/>
        <v>11834.623330512497</v>
      </c>
      <c r="F30" s="25">
        <f t="shared" si="2"/>
        <v>2.2192556498711782</v>
      </c>
      <c r="G30" s="25">
        <f t="shared" si="3"/>
        <v>-1.5006497997394368</v>
      </c>
      <c r="I30" s="206" t="s">
        <v>94</v>
      </c>
      <c r="J30" s="206"/>
      <c r="K30" s="206"/>
    </row>
    <row r="31" spans="1:11">
      <c r="C31" s="25">
        <v>52</v>
      </c>
      <c r="D31" s="25">
        <f t="shared" si="0"/>
        <v>187.20000000000002</v>
      </c>
      <c r="E31" s="25">
        <f t="shared" si="1"/>
        <v>1656.2</v>
      </c>
      <c r="F31" s="25">
        <f t="shared" si="2"/>
        <v>0.31057441412945053</v>
      </c>
      <c r="G31" s="25"/>
      <c r="I31" s="13" t="s">
        <v>95</v>
      </c>
      <c r="J31" s="13" t="s">
        <v>96</v>
      </c>
      <c r="K31" s="13" t="s">
        <v>97</v>
      </c>
    </row>
    <row r="32" spans="1:11">
      <c r="C32" s="25">
        <v>53</v>
      </c>
      <c r="D32" s="25">
        <f t="shared" si="0"/>
        <v>190.8</v>
      </c>
      <c r="E32" s="25">
        <f t="shared" si="1"/>
        <v>1720.5125</v>
      </c>
      <c r="F32" s="25">
        <f t="shared" si="2"/>
        <v>0.32263444130533525</v>
      </c>
      <c r="G32" s="25"/>
      <c r="I32" s="7" t="s">
        <v>55</v>
      </c>
      <c r="J32" s="22">
        <f>F35/1.5</f>
        <v>2.5</v>
      </c>
      <c r="K32" s="27">
        <f>U5</f>
        <v>531.02987999999993</v>
      </c>
    </row>
    <row r="33" spans="1:11">
      <c r="C33" s="25">
        <v>54</v>
      </c>
      <c r="D33" s="25">
        <f t="shared" si="0"/>
        <v>194.4</v>
      </c>
      <c r="E33" s="25">
        <f t="shared" si="1"/>
        <v>1786.0500000000002</v>
      </c>
      <c r="F33" s="25">
        <f t="shared" si="2"/>
        <v>0.33492418328457013</v>
      </c>
      <c r="G33" s="25"/>
      <c r="I33" s="7" t="s">
        <v>69</v>
      </c>
      <c r="J33" s="22">
        <f>J32</f>
        <v>2.5</v>
      </c>
      <c r="K33" s="27">
        <f>L8</f>
        <v>724.59972000000005</v>
      </c>
    </row>
    <row r="34" spans="1:11">
      <c r="C34" s="25">
        <v>55</v>
      </c>
      <c r="D34" s="25">
        <f t="shared" si="0"/>
        <v>198</v>
      </c>
      <c r="E34" s="25">
        <f t="shared" si="1"/>
        <v>1852.8125000000002</v>
      </c>
      <c r="F34" s="25">
        <f t="shared" si="2"/>
        <v>0.34744364006715528</v>
      </c>
      <c r="G34" s="25"/>
      <c r="I34" s="172" t="s">
        <v>61</v>
      </c>
      <c r="J34" s="22">
        <f>G30/1.5</f>
        <v>-1.0004331998262912</v>
      </c>
      <c r="K34" s="27">
        <f>U6</f>
        <v>408.63240000000002</v>
      </c>
    </row>
    <row r="35" spans="1:11">
      <c r="C35" s="25">
        <f>J15/3.6</f>
        <v>180.69084138384991</v>
      </c>
      <c r="D35" s="25">
        <f t="shared" si="0"/>
        <v>650.48702898185968</v>
      </c>
      <c r="E35" s="25">
        <f t="shared" si="1"/>
        <v>19997.622848002211</v>
      </c>
      <c r="F35" s="25">
        <f t="shared" si="2"/>
        <v>3.75</v>
      </c>
      <c r="G35" s="25"/>
      <c r="I35" s="7" t="s">
        <v>69</v>
      </c>
      <c r="J35" s="22">
        <f>J34</f>
        <v>-1.0004331998262912</v>
      </c>
      <c r="K35" s="27">
        <f>L8</f>
        <v>724.59972000000005</v>
      </c>
    </row>
    <row r="36" spans="1:11">
      <c r="C36" s="25">
        <v>57</v>
      </c>
      <c r="D36" s="25">
        <f t="shared" si="0"/>
        <v>205.20000000000002</v>
      </c>
      <c r="E36" s="25">
        <f t="shared" si="1"/>
        <v>1990.0125</v>
      </c>
      <c r="F36" s="25"/>
      <c r="G36" s="25"/>
    </row>
    <row r="37" spans="1:11">
      <c r="C37" s="25">
        <v>58</v>
      </c>
      <c r="D37" s="25">
        <f t="shared" si="0"/>
        <v>208.8</v>
      </c>
      <c r="E37" s="25">
        <f t="shared" si="1"/>
        <v>2060.4500000000003</v>
      </c>
      <c r="F37" s="25"/>
      <c r="G37" s="25"/>
    </row>
    <row r="38" spans="1:11" s="21" customFormat="1">
      <c r="A38" s="49"/>
    </row>
    <row r="39" spans="1:11" ht="18.600000000000001">
      <c r="A39" s="121" t="s">
        <v>98</v>
      </c>
    </row>
    <row r="40" spans="1:11">
      <c r="A40" s="207" t="s">
        <v>99</v>
      </c>
      <c r="C40" s="205" t="s">
        <v>100</v>
      </c>
      <c r="D40" s="212"/>
      <c r="E40" s="212"/>
      <c r="F40" s="213"/>
      <c r="H40" s="197" t="s">
        <v>101</v>
      </c>
      <c r="I40" s="198"/>
      <c r="J40" s="198"/>
      <c r="K40" s="199"/>
    </row>
    <row r="41" spans="1:11">
      <c r="A41" s="207"/>
      <c r="C41" s="5" t="s">
        <v>102</v>
      </c>
      <c r="D41" s="5" t="s">
        <v>103</v>
      </c>
      <c r="E41" s="5" t="s">
        <v>104</v>
      </c>
      <c r="F41" s="5" t="s">
        <v>105</v>
      </c>
      <c r="H41" s="6" t="s">
        <v>95</v>
      </c>
      <c r="I41" s="6" t="s">
        <v>46</v>
      </c>
      <c r="J41" s="6" t="s">
        <v>20</v>
      </c>
      <c r="K41" s="6" t="s">
        <v>47</v>
      </c>
    </row>
    <row r="42" spans="1:11">
      <c r="A42" s="207"/>
      <c r="C42" s="5">
        <v>0</v>
      </c>
      <c r="D42" s="22">
        <f>C42/57.3</f>
        <v>0</v>
      </c>
      <c r="E42" s="22">
        <f t="shared" ref="E42:E50" si="4">$Q$5+$Q$6*D42</f>
        <v>0.52</v>
      </c>
      <c r="F42" s="22">
        <f t="shared" ref="F42:F50" si="5">$Q$9+$Q$10*D42</f>
        <v>0.13109999999999999</v>
      </c>
      <c r="H42" s="7" t="s">
        <v>66</v>
      </c>
      <c r="I42" s="8" t="s">
        <v>106</v>
      </c>
      <c r="J42" s="28">
        <f>(J44/57.3*Q10+Q9)*G5*G7*0.5*1.225*(U7/3.6)^2</f>
        <v>2558283.6878767484</v>
      </c>
      <c r="K42" s="9" t="s">
        <v>107</v>
      </c>
    </row>
    <row r="43" spans="1:11">
      <c r="A43" s="207"/>
      <c r="C43" s="5">
        <v>2</v>
      </c>
      <c r="D43" s="22">
        <f t="shared" ref="D43:D50" si="6">C43/57.3</f>
        <v>3.4904013961605584E-2</v>
      </c>
      <c r="E43" s="22">
        <f t="shared" si="4"/>
        <v>0.67483071553228624</v>
      </c>
      <c r="F43" s="22">
        <f t="shared" si="5"/>
        <v>0.1136479930191972</v>
      </c>
      <c r="H43" s="7" t="s">
        <v>66</v>
      </c>
      <c r="I43" s="3" t="s">
        <v>104</v>
      </c>
      <c r="J43" s="10">
        <f>Q7</f>
        <v>1.4413</v>
      </c>
      <c r="K43" s="7"/>
    </row>
    <row r="44" spans="1:11">
      <c r="A44" s="207"/>
      <c r="C44" s="5">
        <v>4</v>
      </c>
      <c r="D44" s="22">
        <f t="shared" si="6"/>
        <v>6.9808027923211169E-2</v>
      </c>
      <c r="E44" s="22">
        <f t="shared" si="4"/>
        <v>0.82966143106457246</v>
      </c>
      <c r="F44" s="22">
        <f t="shared" si="5"/>
        <v>9.619598603839441E-2</v>
      </c>
      <c r="H44" s="7" t="s">
        <v>66</v>
      </c>
      <c r="I44" s="8" t="s">
        <v>108</v>
      </c>
      <c r="J44" s="10">
        <f>(J43-Q5)/Q6*57.1</f>
        <v>11.859201064045628</v>
      </c>
      <c r="K44" s="7" t="s">
        <v>109</v>
      </c>
    </row>
    <row r="45" spans="1:11">
      <c r="A45" s="207"/>
      <c r="C45" s="5">
        <v>6</v>
      </c>
      <c r="D45" s="22">
        <f t="shared" si="6"/>
        <v>0.10471204188481675</v>
      </c>
      <c r="E45" s="22">
        <f t="shared" si="4"/>
        <v>0.98449214659685869</v>
      </c>
      <c r="F45" s="22">
        <f t="shared" si="5"/>
        <v>7.8743979057591618E-2</v>
      </c>
      <c r="H45" s="7" t="s">
        <v>69</v>
      </c>
      <c r="I45" s="8" t="s">
        <v>106</v>
      </c>
      <c r="J45" s="28">
        <f>(J47/57.3*Q10+Q9)*G5*G7*0.5*1.225*(L8/3.6)^2</f>
        <v>6785762.8465562463</v>
      </c>
      <c r="K45" s="7" t="s">
        <v>107</v>
      </c>
    </row>
    <row r="46" spans="1:11">
      <c r="A46" s="207"/>
      <c r="C46" s="5">
        <v>8</v>
      </c>
      <c r="D46" s="22">
        <f t="shared" si="6"/>
        <v>0.13961605584642234</v>
      </c>
      <c r="E46" s="22">
        <f t="shared" si="4"/>
        <v>1.1393228621291449</v>
      </c>
      <c r="F46" s="22">
        <f t="shared" si="5"/>
        <v>6.1291972076788825E-2</v>
      </c>
      <c r="H46" s="7" t="s">
        <v>69</v>
      </c>
      <c r="I46" s="8" t="s">
        <v>104</v>
      </c>
      <c r="J46" s="10">
        <f>D5*G8*9.81/G5/(0.5*1.225*(L8/3.6)^2)</f>
        <v>1.1615431414159225</v>
      </c>
      <c r="K46" s="7"/>
    </row>
    <row r="47" spans="1:11">
      <c r="A47" s="207"/>
      <c r="C47" s="5">
        <v>10</v>
      </c>
      <c r="D47" s="22">
        <f t="shared" si="6"/>
        <v>0.17452006980802792</v>
      </c>
      <c r="E47" s="22">
        <f t="shared" si="4"/>
        <v>1.2941535776614312</v>
      </c>
      <c r="F47" s="22">
        <f t="shared" si="5"/>
        <v>4.3839965095986033E-2</v>
      </c>
      <c r="H47" s="7" t="s">
        <v>69</v>
      </c>
      <c r="I47" s="8" t="s">
        <v>108</v>
      </c>
      <c r="J47" s="10">
        <f>(J46-Q5)/Q6*57.1</f>
        <v>8.2581017098783054</v>
      </c>
      <c r="K47" s="7" t="s">
        <v>109</v>
      </c>
    </row>
    <row r="48" spans="1:11">
      <c r="C48" s="5">
        <v>12</v>
      </c>
      <c r="D48" s="22">
        <f t="shared" si="6"/>
        <v>0.20942408376963351</v>
      </c>
      <c r="E48" s="22">
        <f t="shared" si="4"/>
        <v>1.4489842931937174</v>
      </c>
      <c r="F48" s="22">
        <f t="shared" si="5"/>
        <v>2.6387958115183241E-2</v>
      </c>
    </row>
    <row r="49" spans="3:10">
      <c r="C49" s="5">
        <v>13</v>
      </c>
      <c r="D49" s="22">
        <f t="shared" si="6"/>
        <v>0.2268760907504363</v>
      </c>
      <c r="E49" s="22">
        <f t="shared" si="4"/>
        <v>1.5263996509598605</v>
      </c>
      <c r="F49" s="22">
        <f t="shared" si="5"/>
        <v>1.7661954624781845E-2</v>
      </c>
    </row>
    <row r="50" spans="3:10">
      <c r="C50" s="5">
        <v>14</v>
      </c>
      <c r="D50" s="22">
        <f t="shared" si="6"/>
        <v>0.24432809773123909</v>
      </c>
      <c r="E50" s="22">
        <f t="shared" si="4"/>
        <v>1.6038150087260035</v>
      </c>
      <c r="F50" s="22">
        <f t="shared" si="5"/>
        <v>8.9359511343804487E-3</v>
      </c>
    </row>
    <row r="61" spans="3:10">
      <c r="C61"/>
      <c r="J61" s="11"/>
    </row>
    <row r="62" spans="3:10">
      <c r="J62" s="11"/>
    </row>
    <row r="63" spans="3:10">
      <c r="J63" s="37"/>
    </row>
  </sheetData>
  <mergeCells count="22">
    <mergeCell ref="A3:A10"/>
    <mergeCell ref="A40:A47"/>
    <mergeCell ref="B1:E1"/>
    <mergeCell ref="F1:G1"/>
    <mergeCell ref="C13:G13"/>
    <mergeCell ref="C40:F40"/>
    <mergeCell ref="C3:D3"/>
    <mergeCell ref="H40:K40"/>
    <mergeCell ref="I13:K13"/>
    <mergeCell ref="I25:K25"/>
    <mergeCell ref="I19:K19"/>
    <mergeCell ref="H1:Z1"/>
    <mergeCell ref="F3:H3"/>
    <mergeCell ref="K3:M3"/>
    <mergeCell ref="P3:Q3"/>
    <mergeCell ref="I30:K30"/>
    <mergeCell ref="T3:V3"/>
    <mergeCell ref="W7:AE7"/>
    <mergeCell ref="W8:AE8"/>
    <mergeCell ref="W5:AE5"/>
    <mergeCell ref="W6:AE6"/>
    <mergeCell ref="W4:AE4"/>
  </mergeCells>
  <phoneticPr fontId="3" type="noConversion"/>
  <hyperlinks>
    <hyperlink ref="N3" r:id="rId1" xr:uid="{675A29E1-CDC4-CB47-B25D-399F74C37441}"/>
    <hyperlink ref="I3" r:id="rId2" xr:uid="{324D5EC5-FA4E-8C4C-ACE8-60D315A47EC6}"/>
    <hyperlink ref="R3" r:id="rId3" xr:uid="{2C29F1F3-D486-441F-AB4F-37D1D7BF7752}"/>
    <hyperlink ref="T10" r:id="rId4" xr:uid="{37BB459F-5CF4-497C-9F99-E046D062FE94}"/>
    <hyperlink ref="V10" r:id="rId5" xr:uid="{0CFC75E7-55C9-4E92-A54F-DE6529290CB9}"/>
  </hyperlinks>
  <pageMargins left="0.7" right="0.7" top="0.75" bottom="0.75" header="0.3" footer="0.3"/>
  <pageSetup paperSize="9" orientation="portrait" r:id="rId6"/>
  <ignoredErrors>
    <ignoredError sqref="J34" formula="1"/>
  </ignoredErrors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110"/>
  <sheetViews>
    <sheetView zoomScale="70" zoomScaleNormal="70" workbookViewId="0">
      <pane xSplit="1" ySplit="1" topLeftCell="F105" activePane="bottomRight" state="frozen"/>
      <selection pane="bottomRight" activeCell="G105" sqref="G105"/>
      <selection pane="bottomLeft" activeCell="F46" sqref="F46"/>
      <selection pane="topRight" activeCell="F46" sqref="F46"/>
    </sheetView>
  </sheetViews>
  <sheetFormatPr defaultColWidth="8.875" defaultRowHeight="14.45"/>
  <cols>
    <col min="1" max="1" width="25.625" style="24" customWidth="1"/>
    <col min="2" max="2" width="8.875" style="32"/>
    <col min="3" max="3" width="20.875" style="32" bestFit="1" customWidth="1"/>
    <col min="4" max="6" width="8.875" style="32"/>
    <col min="7" max="7" width="10.625" style="32" bestFit="1" customWidth="1"/>
    <col min="8" max="8" width="14.375" style="32" bestFit="1" customWidth="1"/>
    <col min="9" max="10" width="9.625" style="32" bestFit="1" customWidth="1"/>
    <col min="11" max="16" width="8.875" style="32"/>
    <col min="17" max="17" width="15.125" style="32" bestFit="1" customWidth="1"/>
    <col min="18" max="18" width="10.625" style="32" customWidth="1"/>
    <col min="19" max="19" width="8.875" style="32"/>
    <col min="20" max="20" width="10.125" style="32" customWidth="1"/>
    <col min="21" max="21" width="10" style="32" bestFit="1" customWidth="1"/>
    <col min="22" max="28" width="8.875" style="32"/>
    <col min="29" max="29" width="9.625" style="32" bestFit="1" customWidth="1"/>
    <col min="30" max="16384" width="8.875" style="32"/>
  </cols>
  <sheetData>
    <row r="1" spans="1:27" s="31" customFormat="1" ht="39" customHeight="1" thickBot="1">
      <c r="A1" s="51"/>
      <c r="B1" s="208" t="s">
        <v>9</v>
      </c>
      <c r="C1" s="215"/>
      <c r="D1" s="215"/>
      <c r="E1" s="216"/>
      <c r="F1" s="211" t="s">
        <v>1</v>
      </c>
      <c r="G1" s="211"/>
      <c r="H1" s="270" t="s">
        <v>110</v>
      </c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/>
      <c r="AA1" s="271"/>
    </row>
    <row r="3" spans="1:27" ht="18.600000000000001">
      <c r="A3" s="122" t="s">
        <v>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>
      <c r="A4" s="207" t="s">
        <v>111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" customHeight="1">
      <c r="A5" s="21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33"/>
      <c r="Z5" s="33"/>
      <c r="AA5" s="33"/>
    </row>
    <row r="6" spans="1:27" ht="15" customHeight="1">
      <c r="A6" s="21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33"/>
      <c r="Z6" s="33"/>
      <c r="AA6" s="33"/>
    </row>
    <row r="7" spans="1:27">
      <c r="A7" s="21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>
      <c r="A8" s="21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25" spans="1:10" s="34" customFormat="1" ht="15" thickBot="1">
      <c r="A25" s="52"/>
      <c r="B25" s="21"/>
      <c r="C25" s="21"/>
      <c r="D25" s="21"/>
      <c r="E25" s="21"/>
      <c r="F25" s="21"/>
      <c r="G25" s="21"/>
      <c r="H25" s="21"/>
      <c r="I25" s="21"/>
      <c r="J25" s="21"/>
    </row>
    <row r="27" spans="1:10" ht="18.600000000000001">
      <c r="A27" s="122" t="s">
        <v>32</v>
      </c>
      <c r="B27" s="4"/>
      <c r="C27" s="206" t="s">
        <v>112</v>
      </c>
      <c r="D27" s="206"/>
      <c r="E27" s="206"/>
      <c r="F27" s="4"/>
      <c r="G27" s="4"/>
      <c r="H27" s="206" t="s">
        <v>113</v>
      </c>
      <c r="I27" s="206"/>
      <c r="J27" s="206"/>
    </row>
    <row r="28" spans="1:10">
      <c r="A28" s="207" t="s">
        <v>114</v>
      </c>
      <c r="B28" s="4"/>
      <c r="C28" s="5" t="s">
        <v>115</v>
      </c>
      <c r="D28" s="5">
        <f>' n-V diagram'!G6</f>
        <v>65</v>
      </c>
      <c r="E28" s="5" t="s">
        <v>23</v>
      </c>
      <c r="F28" s="4"/>
      <c r="G28" s="4"/>
      <c r="H28" s="5" t="s">
        <v>68</v>
      </c>
      <c r="I28" s="5">
        <v>429900</v>
      </c>
      <c r="J28" s="5" t="s">
        <v>25</v>
      </c>
    </row>
    <row r="29" spans="1:10">
      <c r="A29" s="214"/>
      <c r="B29" s="4"/>
      <c r="C29" s="5" t="s">
        <v>116</v>
      </c>
      <c r="D29" s="5">
        <v>6.38</v>
      </c>
      <c r="E29" s="5" t="s">
        <v>23</v>
      </c>
      <c r="F29" s="4"/>
      <c r="G29" s="4"/>
      <c r="H29" s="5" t="s">
        <v>117</v>
      </c>
      <c r="I29" s="175">
        <v>3.75</v>
      </c>
      <c r="J29" s="5"/>
    </row>
    <row r="30" spans="1:10">
      <c r="A30" s="214"/>
      <c r="B30" s="4"/>
      <c r="C30" s="5" t="s">
        <v>22</v>
      </c>
      <c r="D30" s="22">
        <f>(D28-D29)/2</f>
        <v>29.31</v>
      </c>
      <c r="E30" s="5" t="s">
        <v>23</v>
      </c>
      <c r="F30" s="4"/>
      <c r="G30" s="4"/>
      <c r="H30" s="5" t="s">
        <v>118</v>
      </c>
      <c r="I30" s="5">
        <f>I28*I29*9.81</f>
        <v>15814946.25</v>
      </c>
      <c r="J30" s="5" t="s">
        <v>119</v>
      </c>
    </row>
    <row r="31" spans="1:10">
      <c r="A31" s="214"/>
      <c r="B31" s="4"/>
      <c r="C31" s="5" t="s">
        <v>24</v>
      </c>
      <c r="D31" s="5">
        <v>15709</v>
      </c>
      <c r="E31" s="5" t="s">
        <v>25</v>
      </c>
      <c r="F31" s="4" t="s">
        <v>120</v>
      </c>
      <c r="G31" s="4"/>
      <c r="H31" s="5" t="s">
        <v>121</v>
      </c>
      <c r="I31" s="217" t="s">
        <v>122</v>
      </c>
      <c r="J31" s="272"/>
    </row>
    <row r="32" spans="1:10">
      <c r="A32" s="214"/>
      <c r="B32" s="4"/>
      <c r="C32" s="5" t="s">
        <v>26</v>
      </c>
      <c r="D32" s="22">
        <v>27.5</v>
      </c>
      <c r="E32" s="5" t="s">
        <v>23</v>
      </c>
      <c r="F32" s="4"/>
      <c r="G32" s="4"/>
      <c r="H32" s="5" t="s">
        <v>123</v>
      </c>
      <c r="I32" s="22">
        <f>VLOOKUP(I31,C35:D37,2,FALSE)*9.81</f>
        <v>60086.25</v>
      </c>
      <c r="J32" s="5" t="s">
        <v>119</v>
      </c>
    </row>
    <row r="33" spans="1:29">
      <c r="A33" s="214"/>
      <c r="B33" s="4"/>
      <c r="C33" s="5" t="s">
        <v>27</v>
      </c>
      <c r="D33" s="5">
        <v>43100</v>
      </c>
      <c r="E33" s="5" t="s">
        <v>28</v>
      </c>
      <c r="F33" s="4"/>
      <c r="G33" s="4"/>
      <c r="H33" s="5" t="s">
        <v>124</v>
      </c>
      <c r="I33" s="22">
        <f>D33*(D38/1000)*9.81</f>
        <v>343745.34299999999</v>
      </c>
      <c r="J33" s="5" t="s">
        <v>125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 spans="1:29">
      <c r="A34" s="214"/>
      <c r="B34" s="4"/>
      <c r="C34" s="5" t="s">
        <v>29</v>
      </c>
      <c r="D34" s="5">
        <v>5.59</v>
      </c>
      <c r="E34" s="5" t="s">
        <v>23</v>
      </c>
      <c r="F34" s="4"/>
      <c r="G34" s="4"/>
      <c r="H34" s="5" t="s">
        <v>126</v>
      </c>
      <c r="I34" s="5">
        <f>D31*9.81</f>
        <v>154105.29</v>
      </c>
      <c r="J34" s="5" t="s">
        <v>125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 spans="1:29">
      <c r="A35" s="214"/>
      <c r="B35" s="4"/>
      <c r="C35" s="5" t="s">
        <v>127</v>
      </c>
      <c r="D35" s="5">
        <v>0</v>
      </c>
      <c r="E35" s="7"/>
      <c r="F35" s="4"/>
      <c r="G35" s="4"/>
      <c r="H35" s="5" t="s">
        <v>128</v>
      </c>
      <c r="I35" s="67">
        <f>SUM(I32:I34)</f>
        <v>557936.88300000003</v>
      </c>
      <c r="J35" s="5" t="s">
        <v>125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 spans="1:29">
      <c r="B36" s="4"/>
      <c r="C36" s="5" t="s">
        <v>122</v>
      </c>
      <c r="D36" s="5">
        <v>6125</v>
      </c>
      <c r="E36" s="5" t="s">
        <v>25</v>
      </c>
      <c r="F36" s="1" t="s">
        <v>129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 spans="1:29">
      <c r="B37" s="4"/>
      <c r="C37" s="5" t="s">
        <v>130</v>
      </c>
      <c r="D37" s="5">
        <v>150</v>
      </c>
      <c r="E37" s="5" t="s">
        <v>28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 spans="1:29">
      <c r="B38" s="4"/>
      <c r="C38" s="5" t="s">
        <v>131</v>
      </c>
      <c r="D38" s="5">
        <v>813</v>
      </c>
      <c r="E38" s="5" t="s">
        <v>132</v>
      </c>
      <c r="F38" s="53" t="s">
        <v>133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 spans="1:29">
      <c r="B39" s="4"/>
      <c r="C39" s="5" t="s">
        <v>130</v>
      </c>
      <c r="D39" s="5">
        <f>D37*D38/1000</f>
        <v>121.95</v>
      </c>
      <c r="E39" s="5" t="s">
        <v>25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1" spans="1:29" s="34" customFormat="1" ht="15" thickBot="1">
      <c r="A41" s="5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</row>
    <row r="43" spans="1:29" ht="18.600000000000001">
      <c r="A43" s="121" t="s">
        <v>34</v>
      </c>
      <c r="B43" s="4"/>
      <c r="C43" s="206" t="s">
        <v>134</v>
      </c>
      <c r="D43" s="206"/>
      <c r="E43" s="206"/>
      <c r="F43" s="206"/>
      <c r="G43" s="206"/>
      <c r="H43" s="206"/>
      <c r="I43" s="206"/>
      <c r="J43" s="206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 spans="1:29">
      <c r="A44" s="207" t="s">
        <v>135</v>
      </c>
      <c r="B44" s="4"/>
      <c r="C44" s="5" t="s">
        <v>136</v>
      </c>
      <c r="D44" s="5" t="s">
        <v>137</v>
      </c>
      <c r="E44" s="5" t="s">
        <v>138</v>
      </c>
      <c r="F44" s="5" t="s">
        <v>121</v>
      </c>
      <c r="G44" s="5" t="s">
        <v>139</v>
      </c>
      <c r="H44" s="5" t="s">
        <v>140</v>
      </c>
      <c r="I44" s="5" t="s">
        <v>141</v>
      </c>
      <c r="J44" s="5" t="s">
        <v>142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 spans="1:29" ht="18.75" customHeight="1">
      <c r="A45" s="214"/>
      <c r="B45" s="4"/>
      <c r="C45" s="5" t="s">
        <v>23</v>
      </c>
      <c r="D45" s="5" t="s">
        <v>143</v>
      </c>
      <c r="E45" s="5" t="s">
        <v>143</v>
      </c>
      <c r="F45" s="5" t="s">
        <v>119</v>
      </c>
      <c r="G45" s="5" t="s">
        <v>125</v>
      </c>
      <c r="H45" s="5" t="s">
        <v>125</v>
      </c>
      <c r="I45" s="5" t="s">
        <v>107</v>
      </c>
      <c r="J45" s="5" t="s">
        <v>107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173">
        <v>9805.9767415753104</v>
      </c>
      <c r="AA45" s="4"/>
      <c r="AB45" s="4"/>
      <c r="AC45" s="273">
        <f>-G46</f>
        <v>-58013.990312500122</v>
      </c>
    </row>
    <row r="46" spans="1:29" ht="15" customHeight="1">
      <c r="A46" s="214"/>
      <c r="B46" s="4"/>
      <c r="C46" s="10">
        <v>0</v>
      </c>
      <c r="D46" s="67">
        <f>$D$31/60*$I$29*9.81</f>
        <v>9631.5806250000005</v>
      </c>
      <c r="E46" s="173">
        <v>0</v>
      </c>
      <c r="F46" s="10">
        <f>14186.1866666667 * $I$29</f>
        <v>53198.200000000121</v>
      </c>
      <c r="G46" s="274">
        <f>(D47+D46)*(C47-C46)/2+(E47+E46)*(C47-C46)/2+F46</f>
        <v>58013.990312500122</v>
      </c>
      <c r="H46" s="10">
        <f>SUM(G46:$G$105)</f>
        <v>1105335.9031187494</v>
      </c>
      <c r="I46" s="10">
        <f>(H47+H46)*(C47-C46)/2</f>
        <v>538164.45398124959</v>
      </c>
      <c r="J46" s="10">
        <f>SUM(I46:$I$110)</f>
        <v>9971247.3725802694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173">
        <v>9608.4462793990006</v>
      </c>
      <c r="AA46" s="4"/>
      <c r="AB46" s="4"/>
      <c r="AC46" s="273">
        <f t="shared" ref="AC46:AC104" si="0">-G47</f>
        <v>-58013.990312500122</v>
      </c>
    </row>
    <row r="47" spans="1:29" ht="15" customHeight="1">
      <c r="A47" s="214"/>
      <c r="B47" s="4"/>
      <c r="C47" s="10">
        <v>0.5</v>
      </c>
      <c r="D47" s="67">
        <f t="shared" ref="D47:D105" si="1">$D$31/60*$I$29*9.81</f>
        <v>9631.5806250000005</v>
      </c>
      <c r="E47" s="173">
        <v>0</v>
      </c>
      <c r="F47" s="10">
        <f t="shared" ref="F47:F52" si="2">14186.1866666667 * $I$29</f>
        <v>53198.200000000121</v>
      </c>
      <c r="G47" s="274">
        <f t="shared" ref="G47:G104" si="3">(D48+D47)*(C48-C47)/2+(E48+E47)*(C48-C47)/2+F47</f>
        <v>58013.990312500122</v>
      </c>
      <c r="H47" s="10">
        <f>SUM(G47:$G$105)</f>
        <v>1047321.9128062492</v>
      </c>
      <c r="I47" s="10">
        <f t="shared" ref="I47:I105" si="4">(H48+H47)*(C48-C47)/2</f>
        <v>509157.45882499963</v>
      </c>
      <c r="J47" s="10">
        <f>SUM(I47:$I$110)</f>
        <v>9433082.9185990207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173">
        <v>9410.9157969052703</v>
      </c>
      <c r="AA47" s="4"/>
      <c r="AB47" s="4"/>
      <c r="AC47" s="273">
        <f t="shared" si="0"/>
        <v>-58013.990312500122</v>
      </c>
    </row>
    <row r="48" spans="1:29" ht="15" customHeight="1">
      <c r="A48" s="214"/>
      <c r="B48" s="4"/>
      <c r="C48" s="10">
        <v>1</v>
      </c>
      <c r="D48" s="67">
        <f t="shared" si="1"/>
        <v>9631.5806250000005</v>
      </c>
      <c r="E48" s="173">
        <v>0</v>
      </c>
      <c r="F48" s="10">
        <f t="shared" si="2"/>
        <v>53198.200000000121</v>
      </c>
      <c r="G48" s="274">
        <f t="shared" si="3"/>
        <v>58013.990312500122</v>
      </c>
      <c r="H48" s="10">
        <f>SUM(G48:$G$105)</f>
        <v>989307.92249374918</v>
      </c>
      <c r="I48" s="10">
        <f t="shared" si="4"/>
        <v>480150.46366874955</v>
      </c>
      <c r="J48" s="10">
        <f>SUM(I48:$I$110)</f>
        <v>8923925.4597740211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173">
        <v>9213.3853347289496</v>
      </c>
      <c r="AA48" s="4"/>
      <c r="AB48" s="4"/>
      <c r="AC48" s="273">
        <f t="shared" si="0"/>
        <v>-58013.990312500122</v>
      </c>
    </row>
    <row r="49" spans="1:29" ht="15" customHeight="1">
      <c r="A49" s="214"/>
      <c r="B49" s="4"/>
      <c r="C49" s="10">
        <v>1.5</v>
      </c>
      <c r="D49" s="67">
        <f t="shared" si="1"/>
        <v>9631.5806250000005</v>
      </c>
      <c r="E49" s="173">
        <v>0</v>
      </c>
      <c r="F49" s="10">
        <f t="shared" si="2"/>
        <v>53198.200000000121</v>
      </c>
      <c r="G49" s="274">
        <f t="shared" si="3"/>
        <v>58013.990312500122</v>
      </c>
      <c r="H49" s="10">
        <f>SUM(G49:$G$105)</f>
        <v>931293.93218124914</v>
      </c>
      <c r="I49" s="10">
        <f t="shared" si="4"/>
        <v>451143.46851249953</v>
      </c>
      <c r="J49" s="10">
        <f>SUM(I49:$I$110)</f>
        <v>8443774.9961052705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173">
        <v>9015.8548725526398</v>
      </c>
      <c r="AA49" s="4"/>
      <c r="AB49" s="4"/>
      <c r="AC49" s="273">
        <f t="shared" si="0"/>
        <v>-58013.990312500122</v>
      </c>
    </row>
    <row r="50" spans="1:29" ht="15" customHeight="1">
      <c r="A50" s="214"/>
      <c r="B50" s="4"/>
      <c r="C50" s="10">
        <v>2</v>
      </c>
      <c r="D50" s="67">
        <f t="shared" si="1"/>
        <v>9631.5806250000005</v>
      </c>
      <c r="E50" s="173">
        <v>0</v>
      </c>
      <c r="F50" s="10">
        <f t="shared" si="2"/>
        <v>53198.200000000121</v>
      </c>
      <c r="G50" s="274">
        <f t="shared" si="3"/>
        <v>58013.990312500122</v>
      </c>
      <c r="H50" s="10">
        <f>SUM(G50:$G$105)</f>
        <v>873279.94186874898</v>
      </c>
      <c r="I50" s="10">
        <f t="shared" si="4"/>
        <v>422136.47335624951</v>
      </c>
      <c r="J50" s="10">
        <f>SUM(I50:$I$110)</f>
        <v>7992631.527592768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173">
        <v>8818.32441037633</v>
      </c>
      <c r="AA50" s="4"/>
      <c r="AB50" s="4"/>
      <c r="AC50" s="273">
        <f t="shared" si="0"/>
        <v>-58013.990312500122</v>
      </c>
    </row>
    <row r="51" spans="1:29" ht="15" customHeight="1">
      <c r="A51" s="214"/>
      <c r="B51" s="4"/>
      <c r="C51" s="10">
        <v>2.5</v>
      </c>
      <c r="D51" s="67">
        <f t="shared" si="1"/>
        <v>9631.5806250000005</v>
      </c>
      <c r="E51" s="173">
        <v>0</v>
      </c>
      <c r="F51" s="10">
        <f t="shared" si="2"/>
        <v>53198.200000000121</v>
      </c>
      <c r="G51" s="274">
        <f t="shared" si="3"/>
        <v>58013.990312500122</v>
      </c>
      <c r="H51" s="10">
        <f>SUM(G51:$G$105)</f>
        <v>815265.95155624894</v>
      </c>
      <c r="I51" s="10">
        <f t="shared" si="4"/>
        <v>393129.47819999943</v>
      </c>
      <c r="J51" s="10">
        <f>SUM(I51:$I$110)</f>
        <v>7570495.0542365192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173">
        <v>8620.7939482000202</v>
      </c>
      <c r="AA51" s="4"/>
      <c r="AB51" s="4"/>
      <c r="AC51" s="273">
        <f t="shared" si="0"/>
        <v>-58013.990312500122</v>
      </c>
    </row>
    <row r="52" spans="1:29">
      <c r="A52" s="214"/>
      <c r="B52" s="4"/>
      <c r="C52" s="10">
        <v>3</v>
      </c>
      <c r="D52" s="67">
        <f t="shared" si="1"/>
        <v>9631.5806250000005</v>
      </c>
      <c r="E52" s="173">
        <v>0</v>
      </c>
      <c r="F52" s="10">
        <f>14186.1866666667 * $I$29</f>
        <v>53198.200000000121</v>
      </c>
      <c r="G52" s="274">
        <f t="shared" si="3"/>
        <v>58013.990312500122</v>
      </c>
      <c r="H52" s="10">
        <f>SUM(G52:$G$105)</f>
        <v>757251.96124374878</v>
      </c>
      <c r="I52" s="10">
        <f t="shared" si="4"/>
        <v>364122.48304374935</v>
      </c>
      <c r="J52" s="10">
        <f>SUM(I52:$I$110)</f>
        <v>7177365.5760365194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173">
        <v>8423.2634657062899</v>
      </c>
      <c r="AA52" s="4"/>
      <c r="AB52" s="4"/>
      <c r="AC52" s="273">
        <f t="shared" si="0"/>
        <v>-4815.7903125000003</v>
      </c>
    </row>
    <row r="53" spans="1:29">
      <c r="A53" s="214"/>
      <c r="B53" s="4"/>
      <c r="C53" s="10">
        <v>3.5</v>
      </c>
      <c r="D53" s="67">
        <f t="shared" si="1"/>
        <v>9631.5806250000005</v>
      </c>
      <c r="E53" s="173">
        <v>0</v>
      </c>
      <c r="F53" s="10">
        <v>0</v>
      </c>
      <c r="G53" s="274">
        <f t="shared" si="3"/>
        <v>4815.7903125000003</v>
      </c>
      <c r="H53" s="10">
        <f>SUM(G53:$G$105)</f>
        <v>699237.97093124874</v>
      </c>
      <c r="I53" s="10">
        <f t="shared" si="4"/>
        <v>348415.03788749938</v>
      </c>
      <c r="J53" s="10">
        <f>SUM(I53:$I$110)</f>
        <v>6813243.0929927705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173">
        <v>8225.7330035299801</v>
      </c>
      <c r="AA53" s="4"/>
      <c r="AB53" s="4"/>
      <c r="AC53" s="273">
        <f t="shared" si="0"/>
        <v>-4815.7903125000003</v>
      </c>
    </row>
    <row r="54" spans="1:29">
      <c r="B54" s="4"/>
      <c r="C54" s="10">
        <v>4</v>
      </c>
      <c r="D54" s="67">
        <f t="shared" si="1"/>
        <v>9631.5806250000005</v>
      </c>
      <c r="E54" s="173">
        <v>0</v>
      </c>
      <c r="F54" s="10">
        <v>0</v>
      </c>
      <c r="G54" s="274">
        <f t="shared" si="3"/>
        <v>4815.7903125000003</v>
      </c>
      <c r="H54" s="10">
        <f>SUM(G54:$G$105)</f>
        <v>694422.18061874877</v>
      </c>
      <c r="I54" s="10">
        <f t="shared" si="4"/>
        <v>346007.14273124939</v>
      </c>
      <c r="J54" s="10">
        <f>SUM(I54:$I$110)</f>
        <v>6464828.0551052717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173">
        <v>8072.9320919757602</v>
      </c>
      <c r="AA54" s="4"/>
      <c r="AB54" s="4"/>
      <c r="AC54" s="273">
        <f t="shared" si="0"/>
        <v>-4815.7903125000003</v>
      </c>
    </row>
    <row r="55" spans="1:29">
      <c r="B55" s="4"/>
      <c r="C55" s="10">
        <v>4.5</v>
      </c>
      <c r="D55" s="67">
        <f t="shared" si="1"/>
        <v>9631.5806250000005</v>
      </c>
      <c r="E55" s="173">
        <v>0</v>
      </c>
      <c r="F55" s="10">
        <v>0</v>
      </c>
      <c r="G55" s="274">
        <f t="shared" si="3"/>
        <v>4815.7903125000003</v>
      </c>
      <c r="H55" s="10">
        <f>SUM(G55:$G$105)</f>
        <v>689606.3903062488</v>
      </c>
      <c r="I55" s="10">
        <f t="shared" si="4"/>
        <v>343599.2475749994</v>
      </c>
      <c r="J55" s="10">
        <f>SUM(I55:$I$110)</f>
        <v>6118820.9123740224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173">
        <v>7964.8607107262196</v>
      </c>
      <c r="AA55" s="4"/>
      <c r="AB55" s="4"/>
      <c r="AC55" s="273">
        <f t="shared" si="0"/>
        <v>-4815.7903125000003</v>
      </c>
    </row>
    <row r="56" spans="1:29">
      <c r="B56" s="4"/>
      <c r="C56" s="10">
        <v>5</v>
      </c>
      <c r="D56" s="67">
        <f t="shared" si="1"/>
        <v>9631.5806250000005</v>
      </c>
      <c r="E56" s="173">
        <v>0</v>
      </c>
      <c r="F56" s="10">
        <v>0</v>
      </c>
      <c r="G56" s="274">
        <f t="shared" si="3"/>
        <v>4815.7903125000003</v>
      </c>
      <c r="H56" s="10">
        <f>SUM(G56:$G$105)</f>
        <v>684790.59999374882</v>
      </c>
      <c r="I56" s="10">
        <f t="shared" si="4"/>
        <v>341191.35241874942</v>
      </c>
      <c r="J56" s="10">
        <f>SUM(I56:$I$110)</f>
        <v>5775221.6647990225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173">
        <v>7856.78932947668</v>
      </c>
      <c r="AA56" s="4"/>
      <c r="AB56" s="4"/>
      <c r="AC56" s="273">
        <f t="shared" si="0"/>
        <v>-230139.2278125</v>
      </c>
    </row>
    <row r="57" spans="1:29">
      <c r="B57" s="4"/>
      <c r="C57" s="10">
        <v>5.5</v>
      </c>
      <c r="D57" s="67">
        <f t="shared" si="1"/>
        <v>9631.5806250000005</v>
      </c>
      <c r="E57" s="173">
        <v>0</v>
      </c>
      <c r="F57" s="10">
        <f>I32*I29</f>
        <v>225323.4375</v>
      </c>
      <c r="G57" s="274">
        <f t="shared" si="3"/>
        <v>230139.2278125</v>
      </c>
      <c r="H57" s="10">
        <f>SUM(G57:$G$105)</f>
        <v>679974.80968124885</v>
      </c>
      <c r="I57" s="10">
        <f t="shared" si="4"/>
        <v>282452.59788749955</v>
      </c>
      <c r="J57" s="10">
        <f>SUM(I57:$I$110)</f>
        <v>5434030.3123802729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173">
        <v>7748.7179482271404</v>
      </c>
      <c r="AA57" s="4"/>
      <c r="AB57" s="4"/>
      <c r="AC57" s="273">
        <f t="shared" si="0"/>
        <v>-4815.7903125000003</v>
      </c>
    </row>
    <row r="58" spans="1:29">
      <c r="B58" s="4"/>
      <c r="C58" s="10">
        <v>6</v>
      </c>
      <c r="D58" s="67">
        <f t="shared" si="1"/>
        <v>9631.5806250000005</v>
      </c>
      <c r="E58" s="173">
        <v>0</v>
      </c>
      <c r="F58" s="10">
        <v>0</v>
      </c>
      <c r="G58" s="274">
        <f t="shared" si="3"/>
        <v>4815.7903125000003</v>
      </c>
      <c r="H58" s="10">
        <f>SUM(G58:$G$105)</f>
        <v>449835.58186874934</v>
      </c>
      <c r="I58" s="10">
        <f t="shared" si="4"/>
        <v>223713.84335624968</v>
      </c>
      <c r="J58" s="10">
        <f>SUM(I58:$I$110)</f>
        <v>5151577.7144927727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173">
        <v>7640.6465669775998</v>
      </c>
      <c r="AA58" s="4"/>
      <c r="AB58" s="4"/>
      <c r="AC58" s="273">
        <f t="shared" si="0"/>
        <v>-4815.7903125000003</v>
      </c>
    </row>
    <row r="59" spans="1:29">
      <c r="B59" s="4"/>
      <c r="C59" s="10">
        <v>6.5</v>
      </c>
      <c r="D59" s="67">
        <f t="shared" si="1"/>
        <v>9631.5806250000005</v>
      </c>
      <c r="E59" s="173">
        <v>0</v>
      </c>
      <c r="F59" s="10">
        <v>0</v>
      </c>
      <c r="G59" s="274">
        <f t="shared" si="3"/>
        <v>4815.7903125000003</v>
      </c>
      <c r="H59" s="10">
        <f>SUM(G59:$G$105)</f>
        <v>445019.79155624937</v>
      </c>
      <c r="I59" s="10">
        <f t="shared" si="4"/>
        <v>221305.94819999969</v>
      </c>
      <c r="J59" s="10">
        <f>SUM(I59:$I$110)</f>
        <v>4927863.8711365238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173">
        <v>7532.5751857280602</v>
      </c>
      <c r="AA59" s="4"/>
      <c r="AB59" s="4"/>
      <c r="AC59" s="273">
        <f t="shared" si="0"/>
        <v>-4815.7903125000003</v>
      </c>
    </row>
    <row r="60" spans="1:29">
      <c r="B60" s="4"/>
      <c r="C60" s="10">
        <v>7</v>
      </c>
      <c r="D60" s="67">
        <f t="shared" si="1"/>
        <v>9631.5806250000005</v>
      </c>
      <c r="E60" s="173">
        <v>0</v>
      </c>
      <c r="F60" s="10">
        <v>0</v>
      </c>
      <c r="G60" s="274">
        <f t="shared" si="3"/>
        <v>4815.7903125000003</v>
      </c>
      <c r="H60" s="10">
        <f>SUM(G60:$G$105)</f>
        <v>440204.00124374934</v>
      </c>
      <c r="I60" s="10">
        <f t="shared" si="4"/>
        <v>218898.05304374968</v>
      </c>
      <c r="J60" s="10">
        <f>SUM(I60:$I$110)</f>
        <v>4706557.9229365252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173">
        <v>7424.5038044785197</v>
      </c>
      <c r="AA60" s="4"/>
      <c r="AB60" s="4"/>
      <c r="AC60" s="273">
        <f t="shared" si="0"/>
        <v>-4815.7903125000003</v>
      </c>
    </row>
    <row r="61" spans="1:29">
      <c r="B61" s="4"/>
      <c r="C61" s="10">
        <v>7.5</v>
      </c>
      <c r="D61" s="67">
        <f t="shared" si="1"/>
        <v>9631.5806250000005</v>
      </c>
      <c r="E61" s="173">
        <v>0</v>
      </c>
      <c r="F61" s="10">
        <v>0</v>
      </c>
      <c r="G61" s="274">
        <f t="shared" si="3"/>
        <v>4815.7903125000003</v>
      </c>
      <c r="H61" s="10">
        <f>SUM(G61:$G$105)</f>
        <v>435388.21093124937</v>
      </c>
      <c r="I61" s="10">
        <f t="shared" si="4"/>
        <v>216490.15788749966</v>
      </c>
      <c r="J61" s="10">
        <f>SUM(I61:$I$110)</f>
        <v>4487659.8698927741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173">
        <v>7316.43242322898</v>
      </c>
      <c r="AA61" s="4"/>
      <c r="AB61" s="4"/>
      <c r="AC61" s="273">
        <f t="shared" si="0"/>
        <v>-4815.7903125000003</v>
      </c>
    </row>
    <row r="62" spans="1:29">
      <c r="B62" s="4"/>
      <c r="C62" s="10">
        <v>8</v>
      </c>
      <c r="D62" s="67">
        <f t="shared" si="1"/>
        <v>9631.5806250000005</v>
      </c>
      <c r="E62" s="173">
        <v>0</v>
      </c>
      <c r="F62" s="10">
        <v>0</v>
      </c>
      <c r="G62" s="274">
        <f t="shared" si="3"/>
        <v>4815.7903125000003</v>
      </c>
      <c r="H62" s="10">
        <f>SUM(G62:$G$105)</f>
        <v>430572.42061874934</v>
      </c>
      <c r="I62" s="10">
        <f t="shared" si="4"/>
        <v>214082.26273124968</v>
      </c>
      <c r="J62" s="10">
        <f>SUM(I62:$I$110)</f>
        <v>4271169.7120052753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173">
        <v>7208.3610419794404</v>
      </c>
      <c r="AA62" s="4"/>
      <c r="AB62" s="4"/>
      <c r="AC62" s="273">
        <f t="shared" si="0"/>
        <v>-4815.7903125000003</v>
      </c>
    </row>
    <row r="63" spans="1:29">
      <c r="B63" s="4"/>
      <c r="C63" s="10">
        <v>8.5</v>
      </c>
      <c r="D63" s="67">
        <f t="shared" si="1"/>
        <v>9631.5806250000005</v>
      </c>
      <c r="E63" s="173">
        <v>0</v>
      </c>
      <c r="F63" s="10">
        <v>0</v>
      </c>
      <c r="G63" s="274">
        <f t="shared" si="3"/>
        <v>4815.7903125000003</v>
      </c>
      <c r="H63" s="10">
        <f>SUM(G63:$G$105)</f>
        <v>425756.63030624937</v>
      </c>
      <c r="I63" s="10">
        <f t="shared" si="4"/>
        <v>211674.36757499969</v>
      </c>
      <c r="J63" s="10">
        <f>SUM(I63:$I$110)</f>
        <v>4057087.4492740263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173">
        <v>7100.2896607298999</v>
      </c>
      <c r="AA63" s="4"/>
      <c r="AB63" s="4"/>
      <c r="AC63" s="273">
        <f t="shared" si="0"/>
        <v>-4815.7903125000003</v>
      </c>
    </row>
    <row r="64" spans="1:29">
      <c r="B64" s="4"/>
      <c r="C64" s="10">
        <v>9</v>
      </c>
      <c r="D64" s="67">
        <f t="shared" si="1"/>
        <v>9631.5806250000005</v>
      </c>
      <c r="E64" s="173">
        <v>0</v>
      </c>
      <c r="F64" s="10">
        <v>0</v>
      </c>
      <c r="G64" s="274">
        <f t="shared" si="3"/>
        <v>4815.7903125000003</v>
      </c>
      <c r="H64" s="10">
        <f>SUM(G64:$G$105)</f>
        <v>420940.83999374934</v>
      </c>
      <c r="I64" s="10">
        <f t="shared" si="4"/>
        <v>209266.47241874968</v>
      </c>
      <c r="J64" s="10">
        <f>SUM(I64:$I$110)</f>
        <v>3845413.0816990263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173">
        <v>6992.2182794803603</v>
      </c>
      <c r="AA64" s="4"/>
      <c r="AB64" s="4"/>
      <c r="AC64" s="273">
        <f t="shared" si="0"/>
        <v>-4815.7903125000003</v>
      </c>
    </row>
    <row r="65" spans="3:29">
      <c r="C65" s="10">
        <v>9.5</v>
      </c>
      <c r="D65" s="67">
        <f t="shared" si="1"/>
        <v>9631.5806250000005</v>
      </c>
      <c r="E65" s="173">
        <v>0</v>
      </c>
      <c r="F65" s="10">
        <v>0</v>
      </c>
      <c r="G65" s="274">
        <f t="shared" si="3"/>
        <v>4815.7903125000003</v>
      </c>
      <c r="H65" s="10">
        <f>SUM(G65:$G$105)</f>
        <v>416125.04968124937</v>
      </c>
      <c r="I65" s="10">
        <f t="shared" si="4"/>
        <v>206858.57726249966</v>
      </c>
      <c r="J65" s="10">
        <f>SUM(I65:$I$110)</f>
        <v>3636146.6092802766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173">
        <v>6884.1468982308197</v>
      </c>
      <c r="AA65" s="4"/>
      <c r="AB65" s="4"/>
      <c r="AC65" s="273">
        <f t="shared" si="0"/>
        <v>-4815.7903125000003</v>
      </c>
    </row>
    <row r="66" spans="3:29">
      <c r="C66" s="10">
        <v>10</v>
      </c>
      <c r="D66" s="67">
        <f t="shared" si="1"/>
        <v>9631.5806250000005</v>
      </c>
      <c r="E66" s="173">
        <v>0</v>
      </c>
      <c r="F66" s="10">
        <v>0</v>
      </c>
      <c r="G66" s="274">
        <f t="shared" si="3"/>
        <v>4815.7903125000003</v>
      </c>
      <c r="H66" s="10">
        <f>SUM(G66:$G$105)</f>
        <v>411309.25936874934</v>
      </c>
      <c r="I66" s="10">
        <f t="shared" si="4"/>
        <v>204450.68210624967</v>
      </c>
      <c r="J66" s="10">
        <f>SUM(I66:$I$110)</f>
        <v>3429288.0320177772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173">
        <v>6776.0755169812701</v>
      </c>
      <c r="AA66" s="4"/>
      <c r="AB66" s="4"/>
      <c r="AC66" s="273">
        <f t="shared" si="0"/>
        <v>-4815.7903125000003</v>
      </c>
    </row>
    <row r="67" spans="3:29">
      <c r="C67" s="10">
        <v>10.5</v>
      </c>
      <c r="D67" s="67">
        <f t="shared" si="1"/>
        <v>9631.5806250000005</v>
      </c>
      <c r="E67" s="173">
        <v>0</v>
      </c>
      <c r="F67" s="10">
        <v>0</v>
      </c>
      <c r="G67" s="274">
        <f t="shared" si="3"/>
        <v>4815.7903125000003</v>
      </c>
      <c r="H67" s="10">
        <f>SUM(G67:$G$105)</f>
        <v>406493.46905624936</v>
      </c>
      <c r="I67" s="10">
        <f t="shared" si="4"/>
        <v>202042.78694999969</v>
      </c>
      <c r="J67" s="10">
        <f>SUM(I67:$I$110)</f>
        <v>3224837.3499115277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173">
        <v>6668.0041357317295</v>
      </c>
      <c r="AA67" s="4"/>
      <c r="AB67" s="4"/>
      <c r="AC67" s="273">
        <f t="shared" si="0"/>
        <v>-4815.7903125000003</v>
      </c>
    </row>
    <row r="68" spans="3:29">
      <c r="C68" s="10">
        <v>11</v>
      </c>
      <c r="D68" s="67">
        <f t="shared" si="1"/>
        <v>9631.5806250000005</v>
      </c>
      <c r="E68" s="173">
        <v>0</v>
      </c>
      <c r="F68" s="10">
        <v>0</v>
      </c>
      <c r="G68" s="274">
        <f t="shared" si="3"/>
        <v>4815.7903125000003</v>
      </c>
      <c r="H68" s="10">
        <f>SUM(G68:$G$105)</f>
        <v>401677.67874374933</v>
      </c>
      <c r="I68" s="10">
        <f t="shared" si="4"/>
        <v>199634.89179374967</v>
      </c>
      <c r="J68" s="10">
        <f>SUM(I68:$I$110)</f>
        <v>3022794.5629615276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173">
        <v>6559.9327544821899</v>
      </c>
      <c r="AA68" s="4"/>
      <c r="AB68" s="4"/>
      <c r="AC68" s="273">
        <f t="shared" si="0"/>
        <v>-4815.7903125000003</v>
      </c>
    </row>
    <row r="69" spans="3:29">
      <c r="C69" s="10">
        <v>11.5</v>
      </c>
      <c r="D69" s="67">
        <f t="shared" si="1"/>
        <v>9631.5806250000005</v>
      </c>
      <c r="E69" s="173">
        <v>0</v>
      </c>
      <c r="F69" s="10">
        <v>0</v>
      </c>
      <c r="G69" s="274">
        <f t="shared" si="3"/>
        <v>4815.7903125000003</v>
      </c>
      <c r="H69" s="10">
        <f>SUM(G69:$G$105)</f>
        <v>396861.88843124936</v>
      </c>
      <c r="I69" s="10">
        <f t="shared" si="4"/>
        <v>197226.99663749966</v>
      </c>
      <c r="J69" s="10">
        <f>SUM(I69:$I$110)</f>
        <v>2823159.6711677783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173">
        <v>6451.8613732326503</v>
      </c>
      <c r="AA69" s="4"/>
      <c r="AB69" s="4"/>
      <c r="AC69" s="273">
        <f t="shared" si="0"/>
        <v>-4815.7903125000003</v>
      </c>
    </row>
    <row r="70" spans="3:29">
      <c r="C70" s="10">
        <v>12</v>
      </c>
      <c r="D70" s="67">
        <f t="shared" si="1"/>
        <v>9631.5806250000005</v>
      </c>
      <c r="E70" s="173">
        <v>0</v>
      </c>
      <c r="F70" s="10">
        <v>0</v>
      </c>
      <c r="G70" s="274">
        <f t="shared" si="3"/>
        <v>4815.7903125000003</v>
      </c>
      <c r="H70" s="10">
        <f>SUM(G70:$G$105)</f>
        <v>392046.09811874933</v>
      </c>
      <c r="I70" s="10">
        <f t="shared" si="4"/>
        <v>194819.10148124967</v>
      </c>
      <c r="J70" s="10">
        <f>SUM(I70:$I$110)</f>
        <v>2625932.6745302784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173">
        <v>6343.7900123005302</v>
      </c>
      <c r="AA70" s="4"/>
      <c r="AB70" s="4"/>
      <c r="AC70" s="273">
        <f t="shared" si="0"/>
        <v>-4815.7903125000003</v>
      </c>
    </row>
    <row r="71" spans="3:29">
      <c r="C71" s="10">
        <v>12.5</v>
      </c>
      <c r="D71" s="67">
        <f t="shared" si="1"/>
        <v>9631.5806250000005</v>
      </c>
      <c r="E71" s="173">
        <v>0</v>
      </c>
      <c r="F71" s="10">
        <v>0</v>
      </c>
      <c r="G71" s="274">
        <f t="shared" si="3"/>
        <v>4815.7903125000003</v>
      </c>
      <c r="H71" s="10">
        <f>SUM(G71:$G$105)</f>
        <v>387230.30780624936</v>
      </c>
      <c r="I71" s="10">
        <f t="shared" si="4"/>
        <v>192411.20632499969</v>
      </c>
      <c r="J71" s="10">
        <f>SUM(I71:$I$110)</f>
        <v>2431113.5730490293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173">
        <v>6235.7186310509896</v>
      </c>
      <c r="AA71" s="4"/>
      <c r="AB71" s="4"/>
      <c r="AC71" s="273">
        <f t="shared" si="0"/>
        <v>-4815.7903125000003</v>
      </c>
    </row>
    <row r="72" spans="3:29">
      <c r="C72" s="10">
        <v>13</v>
      </c>
      <c r="D72" s="67">
        <f t="shared" si="1"/>
        <v>9631.5806250000005</v>
      </c>
      <c r="E72" s="173">
        <v>0</v>
      </c>
      <c r="F72" s="10">
        <v>0</v>
      </c>
      <c r="G72" s="274">
        <f t="shared" si="3"/>
        <v>4815.7903125000003</v>
      </c>
      <c r="H72" s="10">
        <f>SUM(G72:$G$105)</f>
        <v>382414.51749374933</v>
      </c>
      <c r="I72" s="10">
        <f t="shared" si="4"/>
        <v>190003.31116874967</v>
      </c>
      <c r="J72" s="10">
        <f>SUM(I72:$I$110)</f>
        <v>2238702.3667240292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173">
        <v>6127.64724980145</v>
      </c>
      <c r="AA72" s="4"/>
      <c r="AB72" s="4"/>
      <c r="AC72" s="273">
        <f t="shared" si="0"/>
        <v>-4815.7903125000003</v>
      </c>
    </row>
    <row r="73" spans="3:29">
      <c r="C73" s="10">
        <v>13.5</v>
      </c>
      <c r="D73" s="67">
        <f t="shared" si="1"/>
        <v>9631.5806250000005</v>
      </c>
      <c r="E73" s="173">
        <v>0</v>
      </c>
      <c r="F73" s="10">
        <v>0</v>
      </c>
      <c r="G73" s="274">
        <f t="shared" si="3"/>
        <v>4815.7903125000003</v>
      </c>
      <c r="H73" s="10">
        <f>SUM(G73:$G$105)</f>
        <v>377598.72718124936</v>
      </c>
      <c r="I73" s="10">
        <f t="shared" si="4"/>
        <v>187595.41601249969</v>
      </c>
      <c r="J73" s="10">
        <f>SUM(I73:$I$110)</f>
        <v>2048699.0555552794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173">
        <v>6019.5758685519104</v>
      </c>
      <c r="AA73" s="4"/>
      <c r="AB73" s="4"/>
      <c r="AC73" s="273">
        <f t="shared" si="0"/>
        <v>-4815.7903125000003</v>
      </c>
    </row>
    <row r="74" spans="3:29">
      <c r="C74" s="10">
        <v>14</v>
      </c>
      <c r="D74" s="67">
        <f t="shared" si="1"/>
        <v>9631.5806250000005</v>
      </c>
      <c r="E74" s="173">
        <v>0</v>
      </c>
      <c r="F74" s="10">
        <v>0</v>
      </c>
      <c r="G74" s="274">
        <f t="shared" si="3"/>
        <v>4815.7903125000003</v>
      </c>
      <c r="H74" s="10">
        <f>SUM(G74:$G$105)</f>
        <v>372782.93686874938</v>
      </c>
      <c r="I74" s="10">
        <f t="shared" si="4"/>
        <v>185187.5208562497</v>
      </c>
      <c r="J74" s="10">
        <f>SUM(I74:$I$110)</f>
        <v>1861103.6395427794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173">
        <v>5911.5044873023699</v>
      </c>
      <c r="AA74" s="4"/>
      <c r="AB74" s="4"/>
      <c r="AC74" s="273">
        <f t="shared" si="0"/>
        <v>-4815.7903125000003</v>
      </c>
    </row>
    <row r="75" spans="3:29">
      <c r="C75" s="10">
        <v>14.5</v>
      </c>
      <c r="D75" s="67">
        <f t="shared" si="1"/>
        <v>9631.5806250000005</v>
      </c>
      <c r="E75" s="173">
        <v>0</v>
      </c>
      <c r="F75" s="10">
        <v>0</v>
      </c>
      <c r="G75" s="274">
        <f t="shared" si="3"/>
        <v>4815.7903125000003</v>
      </c>
      <c r="H75" s="10">
        <f>SUM(G75:$G$105)</f>
        <v>367967.14655624941</v>
      </c>
      <c r="I75" s="10">
        <f t="shared" si="4"/>
        <v>182779.62569999971</v>
      </c>
      <c r="J75" s="10">
        <f>SUM(I75:$I$110)</f>
        <v>1675916.1186865298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173">
        <v>5803.4331060528302</v>
      </c>
      <c r="AA75" s="4"/>
      <c r="AB75" s="4"/>
      <c r="AC75" s="273">
        <f t="shared" si="0"/>
        <v>-4815.7903125000003</v>
      </c>
    </row>
    <row r="76" spans="3:29">
      <c r="C76" s="10">
        <v>15</v>
      </c>
      <c r="D76" s="67">
        <f t="shared" si="1"/>
        <v>9631.5806250000005</v>
      </c>
      <c r="E76" s="173">
        <v>0</v>
      </c>
      <c r="F76" s="10">
        <v>0</v>
      </c>
      <c r="G76" s="274">
        <f t="shared" si="3"/>
        <v>4815.7903125000003</v>
      </c>
      <c r="H76" s="10">
        <f>SUM(G76:$G$105)</f>
        <v>363151.35624374944</v>
      </c>
      <c r="I76" s="10">
        <f t="shared" si="4"/>
        <v>180371.73054374973</v>
      </c>
      <c r="J76" s="10">
        <f>SUM(I76:$I$110)</f>
        <v>1493136.4929865298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173">
        <v>5695.3617248032897</v>
      </c>
      <c r="AA76" s="4"/>
      <c r="AB76" s="4"/>
      <c r="AC76" s="273">
        <f t="shared" si="0"/>
        <v>-4815.7903125000003</v>
      </c>
    </row>
    <row r="77" spans="3:29">
      <c r="C77" s="10">
        <v>15.5</v>
      </c>
      <c r="D77" s="67">
        <f t="shared" si="1"/>
        <v>9631.5806250000005</v>
      </c>
      <c r="E77" s="173">
        <v>0</v>
      </c>
      <c r="F77" s="10">
        <v>0</v>
      </c>
      <c r="G77" s="274">
        <f t="shared" si="3"/>
        <v>4815.7903125000003</v>
      </c>
      <c r="H77" s="10">
        <f>SUM(G77:$G$105)</f>
        <v>358335.56593124947</v>
      </c>
      <c r="I77" s="10">
        <f t="shared" si="4"/>
        <v>177963.83538749974</v>
      </c>
      <c r="J77" s="10">
        <f>SUM(I77:$I$110)</f>
        <v>1312764.7624427804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173">
        <v>5587.2903435537501</v>
      </c>
      <c r="AA77" s="4"/>
      <c r="AB77" s="4"/>
      <c r="AC77" s="273">
        <f t="shared" si="0"/>
        <v>-4815.7903125000003</v>
      </c>
    </row>
    <row r="78" spans="3:29">
      <c r="C78" s="10">
        <v>16</v>
      </c>
      <c r="D78" s="67">
        <f t="shared" si="1"/>
        <v>9631.5806250000005</v>
      </c>
      <c r="E78" s="173">
        <v>0</v>
      </c>
      <c r="F78" s="10">
        <v>0</v>
      </c>
      <c r="G78" s="274">
        <f t="shared" si="3"/>
        <v>4815.7903125000003</v>
      </c>
      <c r="H78" s="10">
        <f>SUM(G78:$G$105)</f>
        <v>353519.7756187495</v>
      </c>
      <c r="I78" s="10">
        <f t="shared" si="4"/>
        <v>175555.94023124976</v>
      </c>
      <c r="J78" s="10">
        <f>SUM(I78:$I$110)</f>
        <v>1134800.9270552807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173">
        <v>5479.2189623042104</v>
      </c>
      <c r="AA78" s="4"/>
      <c r="AB78" s="4"/>
      <c r="AC78" s="273">
        <f t="shared" si="0"/>
        <v>-4815.7903125000003</v>
      </c>
    </row>
    <row r="79" spans="3:29">
      <c r="C79" s="10">
        <v>16.5</v>
      </c>
      <c r="D79" s="67">
        <f t="shared" si="1"/>
        <v>9631.5806250000005</v>
      </c>
      <c r="E79" s="173">
        <v>0</v>
      </c>
      <c r="F79" s="10">
        <v>0</v>
      </c>
      <c r="G79" s="274">
        <f t="shared" si="3"/>
        <v>4815.7903125000003</v>
      </c>
      <c r="H79" s="10">
        <f>SUM(G79:$G$105)</f>
        <v>348703.98530624952</v>
      </c>
      <c r="I79" s="10">
        <f t="shared" si="4"/>
        <v>173148.04507499977</v>
      </c>
      <c r="J79" s="10">
        <f>SUM(I79:$I$110)</f>
        <v>959244.98682403099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173">
        <v>5371.1475810546699</v>
      </c>
      <c r="AA79" s="4"/>
      <c r="AB79" s="4"/>
      <c r="AC79" s="273">
        <f t="shared" si="0"/>
        <v>-230139.2278125</v>
      </c>
    </row>
    <row r="80" spans="3:29">
      <c r="C80" s="10">
        <v>17</v>
      </c>
      <c r="D80" s="67">
        <f t="shared" si="1"/>
        <v>9631.5806250000005</v>
      </c>
      <c r="E80" s="173">
        <v>0</v>
      </c>
      <c r="F80" s="10">
        <f>I32*I29</f>
        <v>225323.4375</v>
      </c>
      <c r="G80" s="274">
        <f t="shared" si="3"/>
        <v>230139.2278125</v>
      </c>
      <c r="H80" s="10">
        <f>SUM(G80:$G$105)</f>
        <v>343888.19499374955</v>
      </c>
      <c r="I80" s="10">
        <f t="shared" si="4"/>
        <v>114409.29054374988</v>
      </c>
      <c r="J80" s="10">
        <f>SUM(I80:$I$110)</f>
        <v>786096.94174903107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173">
        <v>5263.0761998051303</v>
      </c>
      <c r="AA80" s="4"/>
      <c r="AB80" s="4"/>
      <c r="AC80" s="273">
        <f t="shared" si="0"/>
        <v>-4815.7903125000003</v>
      </c>
    </row>
    <row r="81" spans="3:29">
      <c r="C81" s="10">
        <v>17.5</v>
      </c>
      <c r="D81" s="67">
        <f t="shared" si="1"/>
        <v>9631.5806250000005</v>
      </c>
      <c r="E81" s="173">
        <v>0</v>
      </c>
      <c r="F81" s="10">
        <v>0</v>
      </c>
      <c r="G81" s="274">
        <f t="shared" si="3"/>
        <v>4815.7903125000003</v>
      </c>
      <c r="H81" s="10">
        <f>SUM(G81:$G$105)</f>
        <v>113748.96718125</v>
      </c>
      <c r="I81" s="10">
        <f t="shared" si="4"/>
        <v>55670.536012500001</v>
      </c>
      <c r="J81" s="10">
        <f>SUM(I81:$I$110)</f>
        <v>671687.65120528126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173">
        <v>5155.0048185555897</v>
      </c>
      <c r="AA81" s="4"/>
      <c r="AB81" s="4"/>
      <c r="AC81" s="273">
        <f t="shared" si="0"/>
        <v>-4815.7903125000003</v>
      </c>
    </row>
    <row r="82" spans="3:29">
      <c r="C82" s="10">
        <v>18</v>
      </c>
      <c r="D82" s="67">
        <f t="shared" si="1"/>
        <v>9631.5806250000005</v>
      </c>
      <c r="E82" s="173">
        <v>0</v>
      </c>
      <c r="F82" s="10">
        <v>0</v>
      </c>
      <c r="G82" s="274">
        <f t="shared" si="3"/>
        <v>4815.7903125000003</v>
      </c>
      <c r="H82" s="10">
        <f>SUM(G82:$G$105)</f>
        <v>108933.17686875</v>
      </c>
      <c r="I82" s="10">
        <f t="shared" si="4"/>
        <v>53262.64085625</v>
      </c>
      <c r="J82" s="10">
        <f>SUM(I82:$I$110)</f>
        <v>616017.1151927812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173">
        <v>5046.9334373060501</v>
      </c>
      <c r="AA82" s="4"/>
      <c r="AB82" s="4"/>
      <c r="AC82" s="273">
        <f t="shared" si="0"/>
        <v>-4815.7903125000003</v>
      </c>
    </row>
    <row r="83" spans="3:29">
      <c r="C83" s="10">
        <v>18.5</v>
      </c>
      <c r="D83" s="67">
        <f t="shared" si="1"/>
        <v>9631.5806250000005</v>
      </c>
      <c r="E83" s="173">
        <v>0</v>
      </c>
      <c r="F83" s="10">
        <v>0</v>
      </c>
      <c r="G83" s="274">
        <f t="shared" si="3"/>
        <v>4815.7903125000003</v>
      </c>
      <c r="H83" s="10">
        <f>SUM(G83:$G$105)</f>
        <v>104117.38655625</v>
      </c>
      <c r="I83" s="10">
        <f t="shared" si="4"/>
        <v>50854.745699999999</v>
      </c>
      <c r="J83" s="10">
        <f>SUM(I83:$I$110)</f>
        <v>562754.47433653113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173">
        <v>4938.8620560565096</v>
      </c>
      <c r="AA83" s="4"/>
      <c r="AB83" s="4"/>
      <c r="AC83" s="273">
        <f t="shared" si="0"/>
        <v>-4815.7903125000003</v>
      </c>
    </row>
    <row r="84" spans="3:29">
      <c r="C84" s="10">
        <v>19</v>
      </c>
      <c r="D84" s="67">
        <f t="shared" si="1"/>
        <v>9631.5806250000005</v>
      </c>
      <c r="E84" s="173">
        <v>0</v>
      </c>
      <c r="F84" s="10">
        <v>0</v>
      </c>
      <c r="G84" s="274">
        <f t="shared" si="3"/>
        <v>4815.7903125000003</v>
      </c>
      <c r="H84" s="10">
        <f>SUM(G84:$G$105)</f>
        <v>99301.596243749998</v>
      </c>
      <c r="I84" s="10">
        <f t="shared" si="4"/>
        <v>48446.850543749999</v>
      </c>
      <c r="J84" s="10">
        <f>SUM(I84:$I$110)</f>
        <v>511899.72863653128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173">
        <v>4830.7906748069699</v>
      </c>
      <c r="AA84" s="4"/>
      <c r="AB84" s="4"/>
      <c r="AC84" s="273">
        <f t="shared" si="0"/>
        <v>-4815.7903125000003</v>
      </c>
    </row>
    <row r="85" spans="3:29">
      <c r="C85" s="10">
        <v>19.5</v>
      </c>
      <c r="D85" s="67">
        <f t="shared" si="1"/>
        <v>9631.5806250000005</v>
      </c>
      <c r="E85" s="173">
        <v>0</v>
      </c>
      <c r="F85" s="10">
        <v>0</v>
      </c>
      <c r="G85" s="274">
        <f t="shared" si="3"/>
        <v>4815.7903125000003</v>
      </c>
      <c r="H85" s="10">
        <f>SUM(G85:$G$105)</f>
        <v>94485.805931249997</v>
      </c>
      <c r="I85" s="10">
        <f t="shared" si="4"/>
        <v>46038.955387499998</v>
      </c>
      <c r="J85" s="10">
        <f>SUM(I85:$I$110)</f>
        <v>463452.87809278117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173">
        <v>4722.7193138748498</v>
      </c>
      <c r="AA85" s="4"/>
      <c r="AB85" s="4"/>
      <c r="AC85" s="273">
        <f t="shared" si="0"/>
        <v>-4815.7903125000003</v>
      </c>
    </row>
    <row r="86" spans="3:29">
      <c r="C86" s="10">
        <v>20</v>
      </c>
      <c r="D86" s="67">
        <f t="shared" si="1"/>
        <v>9631.5806250000005</v>
      </c>
      <c r="E86" s="173">
        <v>0</v>
      </c>
      <c r="F86" s="10">
        <v>0</v>
      </c>
      <c r="G86" s="274">
        <f t="shared" si="3"/>
        <v>4815.7903125000003</v>
      </c>
      <c r="H86" s="10">
        <f>SUM(G86:$G$105)</f>
        <v>89670.015618749996</v>
      </c>
      <c r="I86" s="10">
        <f t="shared" si="4"/>
        <v>43631.060231249998</v>
      </c>
      <c r="J86" s="10">
        <f>SUM(I86:$I$110)</f>
        <v>417413.92270528123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173">
        <v>4614.6479326253102</v>
      </c>
      <c r="AA86" s="4"/>
      <c r="AB86" s="4"/>
      <c r="AC86" s="273">
        <f t="shared" si="0"/>
        <v>-4815.7903125000003</v>
      </c>
    </row>
    <row r="87" spans="3:29">
      <c r="C87" s="10">
        <v>20.5</v>
      </c>
      <c r="D87" s="67">
        <f t="shared" si="1"/>
        <v>9631.5806250000005</v>
      </c>
      <c r="E87" s="173">
        <v>0</v>
      </c>
      <c r="F87" s="10">
        <v>0</v>
      </c>
      <c r="G87" s="274">
        <f t="shared" si="3"/>
        <v>4815.7903125000003</v>
      </c>
      <c r="H87" s="10">
        <f>SUM(G87:$G$105)</f>
        <v>84854.225306249995</v>
      </c>
      <c r="I87" s="10">
        <f t="shared" si="4"/>
        <v>41223.165074999997</v>
      </c>
      <c r="J87" s="10">
        <f>SUM(I87:$I$110)</f>
        <v>373782.86247403122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173">
        <v>4506.5765513757697</v>
      </c>
      <c r="AA87" s="4"/>
      <c r="AB87" s="4"/>
      <c r="AC87" s="273">
        <f t="shared" si="0"/>
        <v>-4815.7903125000003</v>
      </c>
    </row>
    <row r="88" spans="3:29">
      <c r="C88" s="10">
        <v>21</v>
      </c>
      <c r="D88" s="67">
        <f t="shared" si="1"/>
        <v>9631.5806250000005</v>
      </c>
      <c r="E88" s="173">
        <v>0</v>
      </c>
      <c r="F88" s="10">
        <v>0</v>
      </c>
      <c r="G88" s="274">
        <f t="shared" si="3"/>
        <v>4815.7903125000003</v>
      </c>
      <c r="H88" s="10">
        <f>SUM(G88:$G$105)</f>
        <v>80038.434993749994</v>
      </c>
      <c r="I88" s="10">
        <f t="shared" si="4"/>
        <v>38815.269918749997</v>
      </c>
      <c r="J88" s="10">
        <f>SUM(I88:$I$110)</f>
        <v>332559.69739903125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173">
        <v>4398.50517012623</v>
      </c>
      <c r="AA88" s="4"/>
      <c r="AB88" s="4"/>
      <c r="AC88" s="273">
        <f t="shared" si="0"/>
        <v>-4815.7903125000003</v>
      </c>
    </row>
    <row r="89" spans="3:29">
      <c r="C89" s="10">
        <v>21.5</v>
      </c>
      <c r="D89" s="67">
        <f t="shared" si="1"/>
        <v>9631.5806250000005</v>
      </c>
      <c r="E89" s="173">
        <v>0</v>
      </c>
      <c r="F89" s="10">
        <v>0</v>
      </c>
      <c r="G89" s="274">
        <f t="shared" si="3"/>
        <v>4815.7903125000003</v>
      </c>
      <c r="H89" s="10">
        <f>SUM(G89:$G$105)</f>
        <v>75222.644681249993</v>
      </c>
      <c r="I89" s="10">
        <f t="shared" si="4"/>
        <v>36407.374762499996</v>
      </c>
      <c r="J89" s="10">
        <f>SUM(I89:$I$110)</f>
        <v>293744.42748028121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173">
        <v>4290.4337888766904</v>
      </c>
      <c r="AA89" s="4"/>
      <c r="AB89" s="4"/>
      <c r="AC89" s="273">
        <f t="shared" si="0"/>
        <v>-4815.7903125000003</v>
      </c>
    </row>
    <row r="90" spans="3:29">
      <c r="C90" s="10">
        <v>22</v>
      </c>
      <c r="D90" s="67">
        <f t="shared" si="1"/>
        <v>9631.5806250000005</v>
      </c>
      <c r="E90" s="173">
        <v>0</v>
      </c>
      <c r="F90" s="10">
        <v>0</v>
      </c>
      <c r="G90" s="274">
        <f t="shared" si="3"/>
        <v>4815.7903125000003</v>
      </c>
      <c r="H90" s="10">
        <f>SUM(G90:$G$105)</f>
        <v>70406.854368749991</v>
      </c>
      <c r="I90" s="10">
        <f t="shared" si="4"/>
        <v>33999.479606249995</v>
      </c>
      <c r="J90" s="10">
        <f>SUM(I90:$I$110)</f>
        <v>257337.05271778119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173">
        <v>4182.3624076271499</v>
      </c>
      <c r="AA90" s="4"/>
      <c r="AB90" s="4"/>
      <c r="AC90" s="273">
        <f t="shared" si="0"/>
        <v>-4815.7903125000003</v>
      </c>
    </row>
    <row r="91" spans="3:29">
      <c r="C91" s="10">
        <v>22.5</v>
      </c>
      <c r="D91" s="67">
        <f t="shared" si="1"/>
        <v>9631.5806250000005</v>
      </c>
      <c r="E91" s="173">
        <v>0</v>
      </c>
      <c r="F91" s="10">
        <v>0</v>
      </c>
      <c r="G91" s="274">
        <f t="shared" si="3"/>
        <v>4815.7903125000003</v>
      </c>
      <c r="H91" s="10">
        <f>SUM(G91:$G$105)</f>
        <v>65591.06405624999</v>
      </c>
      <c r="I91" s="10">
        <f t="shared" si="4"/>
        <v>31591.584449999995</v>
      </c>
      <c r="J91" s="10">
        <f>SUM(I91:$I$110)</f>
        <v>223337.57311153118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173">
        <v>4074.2910263776098</v>
      </c>
      <c r="AA91" s="4"/>
      <c r="AB91" s="4"/>
      <c r="AC91" s="273">
        <f t="shared" si="0"/>
        <v>-4815.7903125000003</v>
      </c>
    </row>
    <row r="92" spans="3:29">
      <c r="C92" s="10">
        <v>23</v>
      </c>
      <c r="D92" s="67">
        <f t="shared" si="1"/>
        <v>9631.5806250000005</v>
      </c>
      <c r="E92" s="173">
        <v>0</v>
      </c>
      <c r="F92" s="10">
        <v>0</v>
      </c>
      <c r="G92" s="274">
        <f t="shared" si="3"/>
        <v>4815.7903125000003</v>
      </c>
      <c r="H92" s="10">
        <f>SUM(G92:$G$105)</f>
        <v>60775.273743749996</v>
      </c>
      <c r="I92" s="10">
        <f t="shared" si="4"/>
        <v>29183.689293749998</v>
      </c>
      <c r="J92" s="10">
        <f>SUM(I92:$I$110)</f>
        <v>191745.98866153118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173">
        <v>3966.2196451280602</v>
      </c>
      <c r="AA92" s="4"/>
      <c r="AB92" s="4"/>
      <c r="AC92" s="273">
        <f t="shared" si="0"/>
        <v>-4815.7903125000003</v>
      </c>
    </row>
    <row r="93" spans="3:29">
      <c r="C93" s="10">
        <v>23.5</v>
      </c>
      <c r="D93" s="67">
        <f t="shared" si="1"/>
        <v>9631.5806250000005</v>
      </c>
      <c r="E93" s="173">
        <v>0</v>
      </c>
      <c r="F93" s="10">
        <v>0</v>
      </c>
      <c r="G93" s="274">
        <f t="shared" si="3"/>
        <v>4815.7903125000003</v>
      </c>
      <c r="H93" s="10">
        <f>SUM(G93:$G$105)</f>
        <v>55959.483431249995</v>
      </c>
      <c r="I93" s="10">
        <f t="shared" si="4"/>
        <v>26775.794137499997</v>
      </c>
      <c r="J93" s="10">
        <f>SUM(I93:$I$110)</f>
        <v>162562.29936778118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173">
        <v>3858.1482638785201</v>
      </c>
      <c r="AA93" s="4"/>
      <c r="AB93" s="4"/>
      <c r="AC93" s="273">
        <f t="shared" si="0"/>
        <v>-4815.7903125000003</v>
      </c>
    </row>
    <row r="94" spans="3:29">
      <c r="C94" s="10">
        <v>24</v>
      </c>
      <c r="D94" s="67">
        <f t="shared" si="1"/>
        <v>9631.5806250000005</v>
      </c>
      <c r="E94" s="173">
        <v>0</v>
      </c>
      <c r="F94" s="10">
        <v>0</v>
      </c>
      <c r="G94" s="274">
        <f t="shared" si="3"/>
        <v>4815.7903125000003</v>
      </c>
      <c r="H94" s="10">
        <f>SUM(G94:$G$105)</f>
        <v>51143.693118749994</v>
      </c>
      <c r="I94" s="10">
        <f t="shared" si="4"/>
        <v>24367.898981249997</v>
      </c>
      <c r="J94" s="10">
        <f>SUM(I94:$I$110)</f>
        <v>135786.50523028115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173">
        <v>3750.07688262898</v>
      </c>
      <c r="AA94" s="4"/>
      <c r="AB94" s="4"/>
      <c r="AC94" s="273">
        <f t="shared" si="0"/>
        <v>-4815.7903125000003</v>
      </c>
    </row>
    <row r="95" spans="3:29">
      <c r="C95" s="10">
        <v>24.5</v>
      </c>
      <c r="D95" s="67">
        <f t="shared" si="1"/>
        <v>9631.5806250000005</v>
      </c>
      <c r="E95" s="173">
        <v>0</v>
      </c>
      <c r="F95" s="10">
        <v>0</v>
      </c>
      <c r="G95" s="274">
        <f t="shared" si="3"/>
        <v>4815.7903125000003</v>
      </c>
      <c r="H95" s="10">
        <f>SUM(G95:$G$105)</f>
        <v>46327.902806249993</v>
      </c>
      <c r="I95" s="10">
        <f t="shared" si="4"/>
        <v>21960.003824999996</v>
      </c>
      <c r="J95" s="10">
        <f>SUM(I95:$I$110)</f>
        <v>111418.60624903117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173">
        <v>3642.0055013794399</v>
      </c>
      <c r="AA95" s="4"/>
      <c r="AB95" s="4"/>
      <c r="AC95" s="273">
        <f t="shared" si="0"/>
        <v>-4815.7903125000003</v>
      </c>
    </row>
    <row r="96" spans="3:29">
      <c r="C96" s="10">
        <v>25</v>
      </c>
      <c r="D96" s="67">
        <f t="shared" si="1"/>
        <v>9631.5806250000005</v>
      </c>
      <c r="E96" s="173">
        <v>0</v>
      </c>
      <c r="F96" s="10">
        <v>0</v>
      </c>
      <c r="G96" s="274">
        <f t="shared" si="3"/>
        <v>4815.7903125000003</v>
      </c>
      <c r="H96" s="10">
        <f>SUM(G96:$G$105)</f>
        <v>41512.112493749992</v>
      </c>
      <c r="I96" s="10">
        <f t="shared" si="4"/>
        <v>19552.108668749996</v>
      </c>
      <c r="J96" s="10">
        <f>SUM(I96:$I$110)</f>
        <v>89458.602424031182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173">
        <v>3533.9341201298998</v>
      </c>
      <c r="AA96" s="4"/>
      <c r="AB96" s="4"/>
      <c r="AC96" s="273">
        <f t="shared" si="0"/>
        <v>-4815.7903125000003</v>
      </c>
    </row>
    <row r="97" spans="3:29">
      <c r="C97" s="10">
        <v>25.5</v>
      </c>
      <c r="D97" s="67">
        <f t="shared" si="1"/>
        <v>9631.5806250000005</v>
      </c>
      <c r="E97" s="173">
        <v>0</v>
      </c>
      <c r="F97" s="10">
        <v>0</v>
      </c>
      <c r="G97" s="274">
        <f t="shared" si="3"/>
        <v>4815.7903125000003</v>
      </c>
      <c r="H97" s="10">
        <f>SUM(G97:$G$105)</f>
        <v>36696.322181249991</v>
      </c>
      <c r="I97" s="10">
        <f t="shared" si="4"/>
        <v>17144.213512499995</v>
      </c>
      <c r="J97" s="10">
        <f>SUM(I97:$I$110)</f>
        <v>69906.493755281204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173">
        <v>3425.8627388803602</v>
      </c>
      <c r="AA97" s="4"/>
      <c r="AB97" s="4"/>
      <c r="AC97" s="273">
        <f t="shared" si="0"/>
        <v>-4815.7903125000003</v>
      </c>
    </row>
    <row r="98" spans="3:29">
      <c r="C98" s="10">
        <v>26</v>
      </c>
      <c r="D98" s="67">
        <f t="shared" si="1"/>
        <v>9631.5806250000005</v>
      </c>
      <c r="E98" s="173">
        <v>0</v>
      </c>
      <c r="F98" s="10">
        <v>0</v>
      </c>
      <c r="G98" s="274">
        <f t="shared" si="3"/>
        <v>4815.7903125000003</v>
      </c>
      <c r="H98" s="10">
        <f>SUM(G98:$G$105)</f>
        <v>31880.531868749989</v>
      </c>
      <c r="I98" s="10">
        <f t="shared" si="4"/>
        <v>14736.318356249994</v>
      </c>
      <c r="J98" s="10">
        <f>SUM(I98:$I$110)</f>
        <v>52762.28024278122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173">
        <v>3317.7913576308201</v>
      </c>
      <c r="AA98" s="4"/>
      <c r="AB98" s="4"/>
      <c r="AC98" s="273">
        <f t="shared" si="0"/>
        <v>-4815.7903125000003</v>
      </c>
    </row>
    <row r="99" spans="3:29">
      <c r="C99" s="10">
        <v>26.5</v>
      </c>
      <c r="D99" s="67">
        <f t="shared" si="1"/>
        <v>9631.5806250000005</v>
      </c>
      <c r="E99" s="173">
        <v>0</v>
      </c>
      <c r="F99" s="10">
        <v>0</v>
      </c>
      <c r="G99" s="274">
        <f t="shared" si="3"/>
        <v>4815.7903125000003</v>
      </c>
      <c r="H99" s="10">
        <f>SUM(G99:$G$105)</f>
        <v>27064.741556249988</v>
      </c>
      <c r="I99" s="10">
        <f t="shared" si="4"/>
        <v>12328.423199999994</v>
      </c>
      <c r="J99" s="10">
        <f>SUM(I99:$I$110)</f>
        <v>38025.961886531215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173">
        <v>3209.71997638128</v>
      </c>
      <c r="AA99" s="4"/>
      <c r="AB99" s="4"/>
      <c r="AC99" s="273">
        <f t="shared" si="0"/>
        <v>-4815.7903125000003</v>
      </c>
    </row>
    <row r="100" spans="3:29">
      <c r="C100" s="10">
        <v>27</v>
      </c>
      <c r="D100" s="67">
        <f t="shared" si="1"/>
        <v>9631.5806250000005</v>
      </c>
      <c r="E100" s="173">
        <v>0</v>
      </c>
      <c r="F100" s="10">
        <v>0</v>
      </c>
      <c r="G100" s="274">
        <f t="shared" si="3"/>
        <v>4815.7903125000003</v>
      </c>
      <c r="H100" s="10">
        <f>SUM(G100:$G$105)</f>
        <v>22248.951243749987</v>
      </c>
      <c r="I100" s="10">
        <f t="shared" si="4"/>
        <v>9920.5280437499932</v>
      </c>
      <c r="J100" s="10">
        <f>SUM(I100:$I$110)</f>
        <v>25697.538686531221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173">
        <v>3101.64859513174</v>
      </c>
      <c r="AA100" s="4"/>
      <c r="AB100" s="4"/>
      <c r="AC100" s="273">
        <f t="shared" si="0"/>
        <v>-4815.7903125000003</v>
      </c>
    </row>
    <row r="101" spans="3:29">
      <c r="C101" s="10">
        <v>27.5</v>
      </c>
      <c r="D101" s="67">
        <f t="shared" si="1"/>
        <v>9631.5806250000005</v>
      </c>
      <c r="E101" s="173">
        <v>0</v>
      </c>
      <c r="F101" s="10">
        <v>0</v>
      </c>
      <c r="G101" s="274">
        <f t="shared" si="3"/>
        <v>4815.7903125000003</v>
      </c>
      <c r="H101" s="10">
        <f>SUM(G101:$G$105)</f>
        <v>17433.160931249986</v>
      </c>
      <c r="I101" s="10">
        <f t="shared" si="4"/>
        <v>7512.6328874999936</v>
      </c>
      <c r="J101" s="10">
        <f>SUM(I101:$I$110)</f>
        <v>15777.01064278123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10">
        <v>0</v>
      </c>
      <c r="AA101" s="4"/>
      <c r="AB101" s="4"/>
      <c r="AC101" s="273">
        <f t="shared" si="0"/>
        <v>-4815.7903125000003</v>
      </c>
    </row>
    <row r="102" spans="3:29">
      <c r="C102" s="10">
        <v>28</v>
      </c>
      <c r="D102" s="67">
        <f t="shared" si="1"/>
        <v>9631.5806250000005</v>
      </c>
      <c r="E102" s="173">
        <v>0</v>
      </c>
      <c r="F102" s="10">
        <v>0</v>
      </c>
      <c r="G102" s="274">
        <f t="shared" si="3"/>
        <v>4815.7903125000003</v>
      </c>
      <c r="H102" s="10">
        <f>SUM(G102:$G$105)</f>
        <v>12617.370618749988</v>
      </c>
      <c r="I102" s="10">
        <f t="shared" si="4"/>
        <v>5104.7377312499939</v>
      </c>
      <c r="J102" s="10">
        <f>SUM(I102:$I$110)</f>
        <v>8264.3777552812335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10">
        <v>0</v>
      </c>
      <c r="AA102" s="4"/>
      <c r="AB102" s="4"/>
      <c r="AC102" s="273">
        <f t="shared" si="0"/>
        <v>-4815.7903125000003</v>
      </c>
    </row>
    <row r="103" spans="3:29">
      <c r="C103" s="10">
        <v>28.5</v>
      </c>
      <c r="D103" s="67">
        <f t="shared" si="1"/>
        <v>9631.5806250000005</v>
      </c>
      <c r="E103" s="173">
        <v>0</v>
      </c>
      <c r="F103" s="10">
        <v>0</v>
      </c>
      <c r="G103" s="274">
        <f t="shared" si="3"/>
        <v>4815.7903125000003</v>
      </c>
      <c r="H103" s="10">
        <f>SUM(G103:$G$105)</f>
        <v>7801.5803062499881</v>
      </c>
      <c r="I103" s="10">
        <f t="shared" si="4"/>
        <v>2696.8425749999942</v>
      </c>
      <c r="J103" s="10">
        <f>SUM(I103:$I$110)</f>
        <v>3159.6400240312405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10">
        <v>0</v>
      </c>
      <c r="AA103" s="4"/>
      <c r="AB103" s="4"/>
      <c r="AC103" s="273">
        <f t="shared" si="0"/>
        <v>-2985.7899937499878</v>
      </c>
    </row>
    <row r="104" spans="3:29">
      <c r="C104" s="10">
        <v>29</v>
      </c>
      <c r="D104" s="67">
        <f t="shared" si="1"/>
        <v>9631.5806250000005</v>
      </c>
      <c r="E104" s="173">
        <v>0</v>
      </c>
      <c r="F104" s="10">
        <v>0</v>
      </c>
      <c r="G104" s="274">
        <f t="shared" si="3"/>
        <v>2985.7899937499878</v>
      </c>
      <c r="H104" s="10">
        <f>SUM(G104:$G$105)</f>
        <v>2985.7899937499878</v>
      </c>
      <c r="I104" s="10">
        <f t="shared" si="4"/>
        <v>462.79744903124623</v>
      </c>
      <c r="J104" s="10">
        <f>SUM(I104:$I$110)</f>
        <v>462.79744903124623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10">
        <v>0</v>
      </c>
      <c r="AA104" s="4"/>
      <c r="AB104" s="4"/>
      <c r="AC104" s="273">
        <f t="shared" si="0"/>
        <v>0</v>
      </c>
    </row>
    <row r="105" spans="3:29">
      <c r="C105" s="10">
        <v>29.31</v>
      </c>
      <c r="D105" s="67">
        <f t="shared" si="1"/>
        <v>9631.5806250000005</v>
      </c>
      <c r="E105" s="173">
        <v>0</v>
      </c>
      <c r="F105" s="10">
        <v>0</v>
      </c>
      <c r="G105" s="274">
        <v>0</v>
      </c>
      <c r="H105" s="10">
        <f>SUM(G105:$G$105)</f>
        <v>0</v>
      </c>
      <c r="I105" s="10">
        <f t="shared" si="4"/>
        <v>0</v>
      </c>
      <c r="J105" s="10">
        <f>SUM(I105:$I$110)</f>
        <v>0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7" spans="3:29">
      <c r="C107" s="4"/>
      <c r="D107" s="4"/>
      <c r="E107" s="4"/>
      <c r="F107" s="5" t="s">
        <v>144</v>
      </c>
      <c r="G107" s="35">
        <f>SUM(G46:G105)</f>
        <v>1105335.9031187494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10" spans="3:29">
      <c r="C110" s="4"/>
      <c r="D110" s="4"/>
      <c r="E110" s="4">
        <f>SUM(E46:E105)</f>
        <v>0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</sheetData>
  <mergeCells count="10">
    <mergeCell ref="A44:A53"/>
    <mergeCell ref="B1:E1"/>
    <mergeCell ref="F1:G1"/>
    <mergeCell ref="H1:Z1"/>
    <mergeCell ref="C43:J43"/>
    <mergeCell ref="I31:J31"/>
    <mergeCell ref="H27:J27"/>
    <mergeCell ref="C27:E27"/>
    <mergeCell ref="A4:A8"/>
    <mergeCell ref="A28:A35"/>
  </mergeCells>
  <phoneticPr fontId="3" type="noConversion"/>
  <dataValidations count="1">
    <dataValidation type="list" allowBlank="1" showInputMessage="1" showErrorMessage="1" sqref="I31:J31" xr:uid="{6D013B94-712B-1C41-866F-813209308E08}">
      <formula1>$C$35:$C$37</formula1>
    </dataValidation>
  </dataValidations>
  <hyperlinks>
    <hyperlink ref="F36" r:id="rId1" xr:uid="{2609B229-E2FC-4257-9D28-A102A88311E6}"/>
  </hyperlinks>
  <pageMargins left="0.7" right="0.7" top="0.75" bottom="0.75" header="0.3" footer="0.3"/>
  <pageSetup paperSize="9" scale="95"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8E109-AE2E-41C3-A85B-DC4B9BC2AAD4}">
  <dimension ref="A1:Z175"/>
  <sheetViews>
    <sheetView zoomScale="55" zoomScaleNormal="55" workbookViewId="0">
      <pane xSplit="1" ySplit="1" topLeftCell="B15" activePane="bottomRight" state="frozen"/>
      <selection pane="bottomRight" activeCell="D122" sqref="D122"/>
      <selection pane="bottomLeft" activeCell="E46" sqref="E46"/>
      <selection pane="topRight" activeCell="E46" sqref="E46"/>
    </sheetView>
  </sheetViews>
  <sheetFormatPr defaultColWidth="8.875" defaultRowHeight="18.600000000000001"/>
  <cols>
    <col min="1" max="1" width="25.625" style="29" customWidth="1"/>
    <col min="2" max="2" width="8.875" style="32"/>
    <col min="3" max="3" width="20.875" style="32" bestFit="1" customWidth="1"/>
    <col min="4" max="4" width="8.875" style="32"/>
    <col min="5" max="5" width="10.625" style="32" bestFit="1" customWidth="1"/>
    <col min="6" max="6" width="9.625" style="32" bestFit="1" customWidth="1"/>
    <col min="7" max="7" width="8.875" style="32"/>
    <col min="8" max="8" width="12.625" style="32" bestFit="1" customWidth="1"/>
    <col min="9" max="9" width="11.25" style="32" bestFit="1" customWidth="1"/>
    <col min="10" max="10" width="8.875" style="32"/>
    <col min="11" max="11" width="10.375" style="32" bestFit="1" customWidth="1"/>
    <col min="12" max="12" width="10.625" style="32" bestFit="1" customWidth="1"/>
    <col min="13" max="16" width="8.875" style="32"/>
    <col min="17" max="17" width="13.625" style="32" customWidth="1"/>
    <col min="18" max="19" width="8.875" style="32"/>
    <col min="20" max="20" width="10.125" style="32" customWidth="1"/>
    <col min="21" max="23" width="8.875" style="32"/>
    <col min="24" max="24" width="16.375" style="32" bestFit="1" customWidth="1"/>
    <col min="25" max="16384" width="8.875" style="32"/>
  </cols>
  <sheetData>
    <row r="1" spans="1:26" s="39" customFormat="1" ht="39" customHeight="1" thickBot="1">
      <c r="A1" s="163"/>
      <c r="B1" s="211" t="s">
        <v>10</v>
      </c>
      <c r="C1" s="219"/>
      <c r="D1" s="219"/>
      <c r="E1" s="220"/>
      <c r="F1" s="211" t="s">
        <v>1</v>
      </c>
      <c r="G1" s="211"/>
      <c r="H1" s="270" t="s">
        <v>145</v>
      </c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</row>
    <row r="3" spans="1:26" ht="18.75" customHeight="1">
      <c r="A3" s="121" t="s">
        <v>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8.75" customHeight="1">
      <c r="A4" s="207" t="s">
        <v>146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8.75" customHeight="1">
      <c r="A5" s="222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8.75" customHeight="1">
      <c r="A6" s="222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45">
      <c r="A7" s="222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45">
      <c r="A8" s="222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45">
      <c r="A9" s="22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45">
      <c r="A10" s="222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45">
      <c r="A11" s="222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45">
      <c r="A12" s="222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45">
      <c r="A13" s="22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45">
      <c r="A14" s="22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45">
      <c r="A15" s="222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45">
      <c r="A16" s="22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5"/>
      <c r="X16" s="4"/>
      <c r="Y16" s="4"/>
      <c r="Z16" s="4"/>
    </row>
    <row r="17" spans="1:23" ht="14.45">
      <c r="A17" s="222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5"/>
    </row>
    <row r="18" spans="1:23" ht="14.45">
      <c r="A18" s="22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5"/>
    </row>
    <row r="19" spans="1:23" ht="14.45">
      <c r="A19" s="22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5"/>
    </row>
    <row r="20" spans="1:23" ht="14.45">
      <c r="A20" s="222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5"/>
    </row>
    <row r="21" spans="1:23" ht="14.45">
      <c r="A21" s="222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5"/>
    </row>
    <row r="22" spans="1:23" ht="14.45">
      <c r="A22" s="222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5"/>
    </row>
    <row r="23" spans="1:23" ht="14.45">
      <c r="A23" s="22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5"/>
    </row>
    <row r="24" spans="1:23" ht="14.45">
      <c r="A24" s="22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5"/>
    </row>
    <row r="25" spans="1:23" s="34" customFormat="1" ht="15" thickBot="1">
      <c r="A25" s="223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75"/>
    </row>
    <row r="26" spans="1:23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5"/>
    </row>
    <row r="27" spans="1:23" ht="18.75" customHeight="1">
      <c r="A27" s="122" t="s">
        <v>32</v>
      </c>
      <c r="B27" s="4"/>
      <c r="C27" s="276" t="s">
        <v>147</v>
      </c>
      <c r="D27" s="276"/>
      <c r="E27" s="276"/>
      <c r="F27" s="4"/>
      <c r="G27" s="4"/>
      <c r="H27" s="276" t="s">
        <v>148</v>
      </c>
      <c r="I27" s="276"/>
      <c r="J27" s="276"/>
      <c r="K27" s="4"/>
      <c r="L27" s="4"/>
      <c r="M27" s="4"/>
      <c r="N27" s="206"/>
      <c r="O27" s="206"/>
      <c r="P27" s="206"/>
      <c r="Q27" s="206"/>
      <c r="R27" s="224" t="s">
        <v>149</v>
      </c>
      <c r="S27" s="224"/>
      <c r="T27" s="224"/>
      <c r="U27" s="4"/>
      <c r="V27" s="4"/>
      <c r="W27" s="45"/>
    </row>
    <row r="28" spans="1:23" ht="18.75" customHeight="1">
      <c r="A28" s="207" t="s">
        <v>150</v>
      </c>
      <c r="B28" s="4"/>
      <c r="C28" s="276"/>
      <c r="D28" s="276"/>
      <c r="E28" s="276"/>
      <c r="F28" s="4"/>
      <c r="G28" s="4"/>
      <c r="H28" s="276"/>
      <c r="I28" s="276"/>
      <c r="J28" s="276"/>
      <c r="K28" s="4"/>
      <c r="L28" s="4"/>
      <c r="M28" s="4"/>
      <c r="N28" s="206"/>
      <c r="O28" s="206"/>
      <c r="P28" s="206"/>
      <c r="Q28" s="206"/>
      <c r="R28" s="224"/>
      <c r="S28" s="224"/>
      <c r="T28" s="224"/>
      <c r="U28" s="4"/>
      <c r="V28" s="4"/>
      <c r="W28" s="45"/>
    </row>
    <row r="29" spans="1:23" ht="18.75" customHeight="1">
      <c r="A29" s="277"/>
      <c r="B29" s="4"/>
      <c r="C29" s="5" t="s">
        <v>115</v>
      </c>
      <c r="D29" s="5">
        <f>'Wing inertia load'!D28</f>
        <v>65</v>
      </c>
      <c r="E29" s="5" t="s">
        <v>23</v>
      </c>
      <c r="F29" s="4"/>
      <c r="G29" s="4"/>
      <c r="H29" s="5" t="s">
        <v>68</v>
      </c>
      <c r="I29" s="5">
        <f>' n-V diagram'!G8</f>
        <v>429900</v>
      </c>
      <c r="J29" s="5" t="s">
        <v>25</v>
      </c>
      <c r="K29" s="4"/>
      <c r="L29" s="4"/>
      <c r="M29" s="4"/>
      <c r="N29" s="206"/>
      <c r="O29" s="206"/>
      <c r="P29" s="206"/>
      <c r="Q29" s="206"/>
      <c r="R29" s="276" t="s">
        <v>151</v>
      </c>
      <c r="S29" s="276"/>
      <c r="T29" s="276"/>
      <c r="U29" s="4"/>
      <c r="V29" s="4"/>
      <c r="W29" s="45"/>
    </row>
    <row r="30" spans="1:23" ht="18.75" customHeight="1">
      <c r="A30" s="277"/>
      <c r="B30" s="4"/>
      <c r="C30" s="5" t="s">
        <v>116</v>
      </c>
      <c r="D30" s="5">
        <f>'Wing inertia load'!D29</f>
        <v>6.38</v>
      </c>
      <c r="E30" s="5" t="s">
        <v>23</v>
      </c>
      <c r="F30" s="4"/>
      <c r="G30" s="4"/>
      <c r="H30" s="5" t="s">
        <v>117</v>
      </c>
      <c r="I30" s="40">
        <f>'Wing inertia load'!I29</f>
        <v>3.75</v>
      </c>
      <c r="J30" s="5"/>
      <c r="K30" s="4"/>
      <c r="L30" s="4"/>
      <c r="M30" s="4"/>
      <c r="N30" s="206"/>
      <c r="O30" s="206"/>
      <c r="P30" s="206"/>
      <c r="Q30" s="206"/>
      <c r="R30" s="276"/>
      <c r="S30" s="276"/>
      <c r="T30" s="276"/>
      <c r="U30" s="4"/>
      <c r="V30" s="4"/>
      <c r="W30" s="45"/>
    </row>
    <row r="31" spans="1:23" ht="18.75" customHeight="1">
      <c r="A31" s="277"/>
      <c r="B31" s="4"/>
      <c r="C31" s="5" t="s">
        <v>22</v>
      </c>
      <c r="D31" s="22">
        <f>(D29-D30)/2</f>
        <v>29.31</v>
      </c>
      <c r="E31" s="5" t="s">
        <v>23</v>
      </c>
      <c r="F31" s="4"/>
      <c r="G31" s="4"/>
      <c r="H31" s="5" t="s">
        <v>118</v>
      </c>
      <c r="I31" s="278">
        <f>I29*I30*9.81</f>
        <v>15814946.25</v>
      </c>
      <c r="J31" s="5" t="s">
        <v>119</v>
      </c>
      <c r="K31" s="5" t="s">
        <v>152</v>
      </c>
      <c r="L31" s="22">
        <f>F106*2</f>
        <v>11805926.822017774</v>
      </c>
      <c r="M31" s="4"/>
      <c r="N31" s="206"/>
      <c r="O31" s="206"/>
      <c r="P31" s="206"/>
      <c r="Q31" s="206"/>
      <c r="R31" s="276"/>
      <c r="S31" s="276"/>
      <c r="T31" s="276"/>
      <c r="U31" s="4"/>
      <c r="V31" s="4"/>
      <c r="W31" s="45"/>
    </row>
    <row r="32" spans="1:23" ht="14.45">
      <c r="A32" s="277"/>
      <c r="B32" s="4"/>
      <c r="C32" s="5" t="s">
        <v>24</v>
      </c>
      <c r="D32" s="5">
        <f>'Wing inertia load'!D31</f>
        <v>15709</v>
      </c>
      <c r="E32" s="5" t="s">
        <v>25</v>
      </c>
      <c r="F32" s="4"/>
      <c r="G32" s="4"/>
      <c r="H32" s="5" t="s">
        <v>153</v>
      </c>
      <c r="I32" s="5">
        <f>2*I31/(PI()*I33)</f>
        <v>343504.17883591045</v>
      </c>
      <c r="J32" s="5" t="s">
        <v>143</v>
      </c>
      <c r="K32" s="5" t="s">
        <v>154</v>
      </c>
      <c r="L32" s="22">
        <f>F106</f>
        <v>5902963.411008887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5"/>
    </row>
    <row r="33" spans="1:26" ht="14.45">
      <c r="A33" s="277"/>
      <c r="B33" s="4"/>
      <c r="C33" s="5" t="s">
        <v>26</v>
      </c>
      <c r="D33" s="22">
        <f>'Wing inertia load'!D32</f>
        <v>27.5</v>
      </c>
      <c r="E33" s="5" t="s">
        <v>23</v>
      </c>
      <c r="F33" s="4"/>
      <c r="G33" s="4"/>
      <c r="H33" s="5" t="s">
        <v>155</v>
      </c>
      <c r="I33" s="22">
        <f>D31</f>
        <v>29.31</v>
      </c>
      <c r="J33" s="5" t="s">
        <v>23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5"/>
      <c r="X33" s="4"/>
      <c r="Y33" s="4"/>
      <c r="Z33" s="4"/>
    </row>
    <row r="34" spans="1:26" ht="14.45">
      <c r="A34" s="277"/>
      <c r="B34" s="4"/>
      <c r="C34" s="5" t="s">
        <v>27</v>
      </c>
      <c r="D34" s="5">
        <f>'Wing inertia load'!D33</f>
        <v>43100</v>
      </c>
      <c r="E34" s="5" t="s">
        <v>28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5"/>
      <c r="X34" s="4"/>
      <c r="Y34" s="4"/>
      <c r="Z34" s="4"/>
    </row>
    <row r="35" spans="1:26">
      <c r="B35" s="4"/>
      <c r="C35" s="5" t="s">
        <v>29</v>
      </c>
      <c r="D35" s="5">
        <f>'Wing inertia load'!D34</f>
        <v>5.59</v>
      </c>
      <c r="E35" s="5" t="s">
        <v>23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5"/>
      <c r="X35" s="4"/>
      <c r="Y35" s="4"/>
      <c r="Z35" s="4"/>
    </row>
    <row r="36" spans="1:26">
      <c r="B36" s="4"/>
      <c r="C36" s="5" t="s">
        <v>156</v>
      </c>
      <c r="D36" s="5">
        <f>'Wing inertia load'!D36</f>
        <v>6125</v>
      </c>
      <c r="E36" s="5" t="s">
        <v>25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5"/>
      <c r="X36" s="4"/>
      <c r="Y36" s="4"/>
      <c r="Z36" s="4"/>
    </row>
    <row r="37" spans="1:26">
      <c r="B37" s="4"/>
      <c r="C37" s="5" t="s">
        <v>157</v>
      </c>
      <c r="D37" s="5">
        <f>'Wing inertia load'!D37</f>
        <v>150</v>
      </c>
      <c r="E37" s="5" t="s">
        <v>28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5"/>
      <c r="X37" s="4"/>
      <c r="Y37" s="4"/>
      <c r="Z37" s="4"/>
    </row>
    <row r="38" spans="1:26">
      <c r="B38" s="4"/>
      <c r="C38" s="5" t="s">
        <v>158</v>
      </c>
      <c r="D38" s="5">
        <f>'Wing inertia load'!D38</f>
        <v>813</v>
      </c>
      <c r="E38" s="5" t="s">
        <v>132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5"/>
      <c r="X38" s="4"/>
      <c r="Y38" s="4"/>
      <c r="Z38" s="4"/>
    </row>
    <row r="39" spans="1:26" s="34" customFormat="1" ht="18.95" thickBot="1">
      <c r="A39" s="16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75"/>
      <c r="X39" s="21"/>
      <c r="Y39" s="21"/>
      <c r="Z39" s="21"/>
    </row>
    <row r="40" spans="1:26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5"/>
      <c r="X40" s="4"/>
      <c r="Y40" s="4"/>
      <c r="Z40" s="4"/>
    </row>
    <row r="41" spans="1:26" ht="18.75" customHeight="1">
      <c r="A41" s="121" t="s">
        <v>34</v>
      </c>
      <c r="B41" s="4"/>
      <c r="C41" s="206" t="s">
        <v>134</v>
      </c>
      <c r="D41" s="206"/>
      <c r="E41" s="206"/>
      <c r="F41" s="206"/>
      <c r="G41" s="206"/>
      <c r="H41" s="206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5"/>
      <c r="X41" s="4"/>
      <c r="Y41" s="4"/>
      <c r="Z41" s="4"/>
    </row>
    <row r="42" spans="1:26" ht="18.75" customHeight="1">
      <c r="A42" s="207" t="s">
        <v>159</v>
      </c>
      <c r="B42" s="4"/>
      <c r="C42" s="5" t="s">
        <v>136</v>
      </c>
      <c r="D42" s="5" t="s">
        <v>160</v>
      </c>
      <c r="E42" s="5" t="s">
        <v>161</v>
      </c>
      <c r="F42" s="5" t="s">
        <v>140</v>
      </c>
      <c r="G42" s="5" t="s">
        <v>141</v>
      </c>
      <c r="H42" s="5" t="s">
        <v>142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5"/>
      <c r="X42" s="4"/>
      <c r="Y42" s="4"/>
      <c r="Z42" s="4"/>
    </row>
    <row r="43" spans="1:26" ht="18.75" customHeight="1">
      <c r="A43" s="214"/>
      <c r="B43" s="4"/>
      <c r="C43" s="5" t="s">
        <v>23</v>
      </c>
      <c r="D43" s="5" t="s">
        <v>143</v>
      </c>
      <c r="E43" s="5" t="s">
        <v>119</v>
      </c>
      <c r="F43" s="5" t="s">
        <v>119</v>
      </c>
      <c r="G43" s="5" t="s">
        <v>107</v>
      </c>
      <c r="H43" s="5" t="s">
        <v>107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5"/>
      <c r="X43" s="4"/>
      <c r="Y43" s="4"/>
      <c r="Z43" s="4"/>
    </row>
    <row r="44" spans="1:26" ht="18.75" customHeight="1">
      <c r="A44" s="214"/>
      <c r="B44" s="4"/>
      <c r="C44" s="10">
        <v>0</v>
      </c>
      <c r="D44" s="10">
        <f>$I$32*SQRT(1-(C44/$I$33)^2)</f>
        <v>343504.17883591045</v>
      </c>
      <c r="E44" s="10">
        <f>(D45+D44)*(C45-C44)/2</f>
        <v>171739.59310166238</v>
      </c>
      <c r="F44" s="10">
        <f>SUM(E44:$E$103)</f>
        <v>7903013.50252333</v>
      </c>
      <c r="G44" s="10">
        <f>(F45+F44)*(C45-C44)/2</f>
        <v>3908571.8529862496</v>
      </c>
      <c r="H44" s="10">
        <f>SUM(G44:$G$103)</f>
        <v>98248187.015691921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5"/>
      <c r="X44" s="4"/>
      <c r="Y44" s="4"/>
      <c r="Z44" s="4"/>
    </row>
    <row r="45" spans="1:26" ht="18.75" customHeight="1">
      <c r="A45" s="214"/>
      <c r="B45" s="4"/>
      <c r="C45" s="10">
        <v>0.5</v>
      </c>
      <c r="D45" s="10">
        <f t="shared" ref="D45:D102" si="0">$I$32*SQRT(1-(C45/$I$33)^2)</f>
        <v>343454.19357073907</v>
      </c>
      <c r="E45" s="10">
        <f t="shared" ref="E45:E103" si="1">(D46+D45)*(C46-C45)/2</f>
        <v>171689.59691967169</v>
      </c>
      <c r="F45" s="10">
        <f>SUM(E45:$E$103)</f>
        <v>7731273.9094216684</v>
      </c>
      <c r="G45" s="10">
        <f t="shared" ref="G45:G103" si="2">(F46+F45)*(C46-C45)/2</f>
        <v>3822714.5554809161</v>
      </c>
      <c r="H45" s="10">
        <f>SUM(G45:$G$103)</f>
        <v>94339615.16270569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5"/>
      <c r="X45" s="279">
        <f>D44-'Wing inertia load'!G46</f>
        <v>285490.18852341035</v>
      </c>
      <c r="Y45" s="4"/>
      <c r="Z45" s="10">
        <f t="shared" ref="Z45:Z102" si="3">(Y46+Y45)*(X46-X45)/2</f>
        <v>0</v>
      </c>
    </row>
    <row r="46" spans="1:26" ht="18.75" customHeight="1">
      <c r="A46" s="214"/>
      <c r="B46" s="4"/>
      <c r="C46" s="10">
        <v>1</v>
      </c>
      <c r="D46" s="10">
        <f t="shared" si="0"/>
        <v>343304.1941079477</v>
      </c>
      <c r="E46" s="10">
        <f t="shared" si="1"/>
        <v>171589.56084067252</v>
      </c>
      <c r="F46" s="10">
        <f>SUM(E46:$E$103)</f>
        <v>7559584.3125019958</v>
      </c>
      <c r="G46" s="10">
        <f t="shared" si="2"/>
        <v>3736894.7660408299</v>
      </c>
      <c r="H46" s="10">
        <f>SUM(G46:$G$103)</f>
        <v>90516900.607224777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5"/>
      <c r="X46" s="279">
        <f>D45-'Wing inertia load'!G47</f>
        <v>285440.20325823897</v>
      </c>
      <c r="Y46" s="4"/>
      <c r="Z46" s="10">
        <f t="shared" si="3"/>
        <v>0</v>
      </c>
    </row>
    <row r="47" spans="1:26" ht="18.75" customHeight="1">
      <c r="A47" s="214"/>
      <c r="B47" s="4"/>
      <c r="C47" s="10">
        <v>1.5</v>
      </c>
      <c r="D47" s="10">
        <f t="shared" si="0"/>
        <v>343054.04925474239</v>
      </c>
      <c r="E47" s="10">
        <f t="shared" si="1"/>
        <v>171439.39724317956</v>
      </c>
      <c r="F47" s="10">
        <f>SUM(E47:$E$103)</f>
        <v>7387994.7516613239</v>
      </c>
      <c r="G47" s="10">
        <f t="shared" si="2"/>
        <v>3651137.5265198671</v>
      </c>
      <c r="H47" s="10">
        <f>SUM(G47:$G$103)</f>
        <v>86780005.84118396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5"/>
      <c r="X47" s="279">
        <f>D46-'Wing inertia load'!G48</f>
        <v>285290.2037954476</v>
      </c>
      <c r="Y47" s="4"/>
      <c r="Z47" s="10">
        <f t="shared" si="3"/>
        <v>0</v>
      </c>
    </row>
    <row r="48" spans="1:26" ht="14.45">
      <c r="A48" s="214"/>
      <c r="B48" s="4"/>
      <c r="C48" s="10">
        <v>2</v>
      </c>
      <c r="D48" s="10">
        <f t="shared" si="0"/>
        <v>342703.53971797583</v>
      </c>
      <c r="E48" s="10">
        <f t="shared" si="1"/>
        <v>171238.97421437936</v>
      </c>
      <c r="F48" s="10">
        <f>SUM(E48:$E$103)</f>
        <v>7216555.3544181446</v>
      </c>
      <c r="G48" s="10">
        <f t="shared" si="2"/>
        <v>3565467.9336554776</v>
      </c>
      <c r="H48" s="10">
        <f>SUM(G48:$G$103)</f>
        <v>83128868.314664111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5"/>
      <c r="X48" s="279">
        <f>D47-'Wing inertia load'!G49</f>
        <v>285040.05894224229</v>
      </c>
      <c r="Y48" s="4"/>
      <c r="Z48" s="10">
        <f t="shared" si="3"/>
        <v>0</v>
      </c>
    </row>
    <row r="49" spans="1:26" ht="14.45">
      <c r="A49" s="214"/>
      <c r="B49" s="4"/>
      <c r="C49" s="10">
        <v>2.5</v>
      </c>
      <c r="D49" s="10">
        <f t="shared" si="0"/>
        <v>342252.35713954159</v>
      </c>
      <c r="E49" s="10">
        <f t="shared" si="1"/>
        <v>170988.11496790082</v>
      </c>
      <c r="F49" s="10">
        <f>SUM(E49:$E$103)</f>
        <v>7045316.3802037658</v>
      </c>
      <c r="G49" s="10">
        <f t="shared" si="2"/>
        <v>3479911.1613599076</v>
      </c>
      <c r="H49" s="10">
        <f>SUM(G49:$G$103)</f>
        <v>79563400.38100864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5"/>
      <c r="X49" s="279">
        <f>D48-'Wing inertia load'!G50</f>
        <v>284689.54940547573</v>
      </c>
      <c r="Y49" s="4"/>
      <c r="Z49" s="10">
        <f t="shared" si="3"/>
        <v>0</v>
      </c>
    </row>
    <row r="50" spans="1:26">
      <c r="B50" s="4"/>
      <c r="C50" s="10">
        <v>3</v>
      </c>
      <c r="D50" s="10">
        <f t="shared" si="0"/>
        <v>341700.1027320617</v>
      </c>
      <c r="E50" s="10">
        <f t="shared" si="1"/>
        <v>170686.59705818782</v>
      </c>
      <c r="F50" s="10">
        <f>SUM(E50:$E$103)</f>
        <v>6874328.2652358646</v>
      </c>
      <c r="G50" s="10">
        <f t="shared" si="2"/>
        <v>3394492.4833533857</v>
      </c>
      <c r="H50" s="10">
        <f>SUM(G50:$G$103)</f>
        <v>76083489.219648734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5"/>
      <c r="X50" s="279">
        <f>D49-'Wing inertia load'!G51</f>
        <v>284238.36682704149</v>
      </c>
      <c r="Y50" s="4"/>
      <c r="Z50" s="10">
        <f t="shared" si="3"/>
        <v>0</v>
      </c>
    </row>
    <row r="51" spans="1:26">
      <c r="B51" s="4"/>
      <c r="C51" s="10">
        <v>3.5</v>
      </c>
      <c r="D51" s="10">
        <f t="shared" si="0"/>
        <v>341046.28550068964</v>
      </c>
      <c r="E51" s="10">
        <f t="shared" si="1"/>
        <v>170334.15138326073</v>
      </c>
      <c r="F51" s="10">
        <f>SUM(E51:$E$103)</f>
        <v>6703641.6681776773</v>
      </c>
      <c r="G51" s="10">
        <f t="shared" si="2"/>
        <v>3309237.2962430231</v>
      </c>
      <c r="H51" s="10">
        <f>SUM(G51:$G$103)</f>
        <v>72688996.736295357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5"/>
      <c r="X51" s="279">
        <f>D50-'Wing inertia load'!G52</f>
        <v>283686.1124195616</v>
      </c>
      <c r="Y51" s="4"/>
      <c r="Z51" s="10">
        <f t="shared" si="3"/>
        <v>0</v>
      </c>
    </row>
    <row r="52" spans="1:26">
      <c r="B52" s="4"/>
      <c r="C52" s="10">
        <v>4</v>
      </c>
      <c r="D52" s="10">
        <f t="shared" si="0"/>
        <v>340290.32003235322</v>
      </c>
      <c r="E52" s="10">
        <f t="shared" si="1"/>
        <v>169930.46096531436</v>
      </c>
      <c r="F52" s="10">
        <f>SUM(E52:$E$103)</f>
        <v>6533307.5167944161</v>
      </c>
      <c r="G52" s="10">
        <f t="shared" si="2"/>
        <v>3224171.1431558793</v>
      </c>
      <c r="H52" s="10">
        <f>SUM(G52:$G$103)</f>
        <v>69379759.440052345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5"/>
      <c r="X52" s="279">
        <f>D51-'Wing inertia load'!G53</f>
        <v>336230.49518818967</v>
      </c>
      <c r="Y52" s="4"/>
      <c r="Z52" s="10">
        <f t="shared" si="3"/>
        <v>0</v>
      </c>
    </row>
    <row r="53" spans="1:26">
      <c r="B53" s="4"/>
      <c r="C53" s="10">
        <v>4.5</v>
      </c>
      <c r="D53" s="10">
        <f t="shared" si="0"/>
        <v>339431.52382890426</v>
      </c>
      <c r="E53" s="10">
        <f t="shared" si="1"/>
        <v>169475.15949605708</v>
      </c>
      <c r="F53" s="10">
        <f>SUM(E53:$E$103)</f>
        <v>6363377.0558291012</v>
      </c>
      <c r="G53" s="10">
        <f t="shared" si="2"/>
        <v>3139319.7380405366</v>
      </c>
      <c r="H53" s="10">
        <f>SUM(G53:$G$103)</f>
        <v>66155588.296896473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5"/>
      <c r="X53" s="279">
        <f>D52-'Wing inertia load'!G54</f>
        <v>335474.52971985325</v>
      </c>
      <c r="Y53" s="4"/>
      <c r="Z53" s="10">
        <f t="shared" si="3"/>
        <v>0</v>
      </c>
    </row>
    <row r="54" spans="1:26">
      <c r="B54" s="4"/>
      <c r="C54" s="10">
        <v>5</v>
      </c>
      <c r="D54" s="10">
        <f t="shared" si="0"/>
        <v>338469.114155324</v>
      </c>
      <c r="E54" s="10">
        <f t="shared" si="1"/>
        <v>168967.8296308936</v>
      </c>
      <c r="F54" s="10">
        <f>SUM(E54:$E$103)</f>
        <v>6193901.8963330453</v>
      </c>
      <c r="G54" s="10">
        <f t="shared" si="2"/>
        <v>3054708.990758799</v>
      </c>
      <c r="H54" s="10">
        <f>SUM(G54:$G$103)</f>
        <v>63016268.558855928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5"/>
      <c r="X54" s="279">
        <f>D53-'Wing inertia load'!G55</f>
        <v>334615.73351640429</v>
      </c>
      <c r="Y54" s="4"/>
      <c r="Z54" s="10">
        <f t="shared" si="3"/>
        <v>0</v>
      </c>
    </row>
    <row r="55" spans="1:26">
      <c r="B55" s="4"/>
      <c r="C55" s="10">
        <v>5.5</v>
      </c>
      <c r="D55" s="10">
        <f t="shared" si="0"/>
        <v>337402.20436825044</v>
      </c>
      <c r="E55" s="10">
        <f t="shared" si="1"/>
        <v>168408.00101293766</v>
      </c>
      <c r="F55" s="10">
        <f>SUM(E55:$E$103)</f>
        <v>6024934.0667021507</v>
      </c>
      <c r="G55" s="10">
        <f t="shared" si="2"/>
        <v>2970365.0330978408</v>
      </c>
      <c r="H55" s="10">
        <f>SUM(G55:$G$103)</f>
        <v>59961559.568097129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5"/>
      <c r="X55" s="279">
        <f>D54-'Wing inertia load'!G56</f>
        <v>333653.32384282403</v>
      </c>
      <c r="Y55" s="4"/>
      <c r="Z55" s="10">
        <f t="shared" si="3"/>
        <v>0</v>
      </c>
    </row>
    <row r="56" spans="1:26">
      <c r="B56" s="4"/>
      <c r="C56" s="10">
        <v>6</v>
      </c>
      <c r="D56" s="10">
        <f t="shared" si="0"/>
        <v>336229.7996835002</v>
      </c>
      <c r="E56" s="10">
        <f t="shared" si="1"/>
        <v>167795.14800432709</v>
      </c>
      <c r="F56" s="10">
        <f>SUM(E56:$E$103)</f>
        <v>5856526.0656892136</v>
      </c>
      <c r="G56" s="10">
        <f t="shared" si="2"/>
        <v>2886314.245843525</v>
      </c>
      <c r="H56" s="10">
        <f>SUM(G56:$G$103)</f>
        <v>56991194.534999289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5"/>
      <c r="X56" s="279">
        <f>D55-'Wing inertia load'!G57</f>
        <v>107262.97655575044</v>
      </c>
      <c r="Y56" s="4"/>
      <c r="Z56" s="10">
        <f t="shared" si="3"/>
        <v>0</v>
      </c>
    </row>
    <row r="57" spans="1:26">
      <c r="B57" s="4"/>
      <c r="C57" s="10">
        <v>6.5</v>
      </c>
      <c r="D57" s="10">
        <f t="shared" si="0"/>
        <v>334950.79233380809</v>
      </c>
      <c r="E57" s="10">
        <f t="shared" si="1"/>
        <v>167128.68709833006</v>
      </c>
      <c r="F57" s="10">
        <f>SUM(E57:$E$103)</f>
        <v>5688730.9176848857</v>
      </c>
      <c r="G57" s="10">
        <f t="shared" si="2"/>
        <v>2802583.2870678604</v>
      </c>
      <c r="H57" s="10">
        <f>SUM(G57:$G$103)</f>
        <v>54104880.289155766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5"/>
      <c r="X57" s="279">
        <f>D56-'Wing inertia load'!G58</f>
        <v>331414.00937100023</v>
      </c>
      <c r="Y57" s="4"/>
      <c r="Z57" s="10">
        <f t="shared" si="3"/>
        <v>0</v>
      </c>
    </row>
    <row r="58" spans="1:26">
      <c r="B58" s="4"/>
      <c r="C58" s="10">
        <v>7</v>
      </c>
      <c r="D58" s="10">
        <f t="shared" si="0"/>
        <v>333563.9560595121</v>
      </c>
      <c r="E58" s="10">
        <f t="shared" si="1"/>
        <v>166407.97398116576</v>
      </c>
      <c r="F58" s="10">
        <f>SUM(E58:$E$103)</f>
        <v>5521602.2305865558</v>
      </c>
      <c r="G58" s="10">
        <f t="shared" si="2"/>
        <v>2719199.1217979863</v>
      </c>
      <c r="H58" s="10">
        <f>SUM(G58:$G$103)</f>
        <v>51302297.002087906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5"/>
      <c r="X58" s="279">
        <f>D57-'Wing inertia load'!G59</f>
        <v>330135.00202130812</v>
      </c>
      <c r="Y58" s="4"/>
      <c r="Z58" s="10">
        <f t="shared" si="3"/>
        <v>0</v>
      </c>
    </row>
    <row r="59" spans="1:26">
      <c r="B59" s="4"/>
      <c r="C59" s="10">
        <v>7.5</v>
      </c>
      <c r="D59" s="10">
        <f t="shared" si="0"/>
        <v>332067.93986515095</v>
      </c>
      <c r="E59" s="10">
        <f t="shared" si="1"/>
        <v>165632.3002072004</v>
      </c>
      <c r="F59" s="10">
        <f>SUM(E59:$E$103)</f>
        <v>5355194.2566053895</v>
      </c>
      <c r="G59" s="10">
        <f t="shared" si="2"/>
        <v>2636189.0532508949</v>
      </c>
      <c r="H59" s="10">
        <f>SUM(G59:$G$103)</f>
        <v>48583097.88028992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279">
        <f>D58-'Wing inertia load'!G60</f>
        <v>328748.16574701213</v>
      </c>
      <c r="Y59" s="4"/>
      <c r="Z59" s="10">
        <f t="shared" si="3"/>
        <v>0</v>
      </c>
    </row>
    <row r="60" spans="1:26">
      <c r="B60" s="4"/>
      <c r="C60" s="10">
        <v>8</v>
      </c>
      <c r="D60" s="10">
        <f t="shared" si="0"/>
        <v>330461.26096365071</v>
      </c>
      <c r="E60" s="10">
        <f t="shared" si="1"/>
        <v>164800.88944507035</v>
      </c>
      <c r="F60" s="10">
        <f>SUM(E60:$E$103)</f>
        <v>5189561.9563981891</v>
      </c>
      <c r="G60" s="10">
        <f t="shared" si="2"/>
        <v>2553580.755837827</v>
      </c>
      <c r="H60" s="10">
        <f>SUM(G60:$G$103)</f>
        <v>45946908.827039026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279">
        <f>D59-'Wing inertia load'!G61</f>
        <v>327252.14955265098</v>
      </c>
      <c r="Y60" s="4"/>
      <c r="Z60" s="10">
        <f t="shared" si="3"/>
        <v>0</v>
      </c>
    </row>
    <row r="61" spans="1:26">
      <c r="B61" s="4"/>
      <c r="C61" s="10">
        <v>8.5</v>
      </c>
      <c r="D61" s="10">
        <f t="shared" si="0"/>
        <v>328742.2968166307</v>
      </c>
      <c r="E61" s="10">
        <f t="shared" si="1"/>
        <v>163912.89324514932</v>
      </c>
      <c r="F61" s="10">
        <f>SUM(E61:$E$103)</f>
        <v>5024761.0669531189</v>
      </c>
      <c r="G61" s="10">
        <f t="shared" si="2"/>
        <v>2471402.3101652721</v>
      </c>
      <c r="H61" s="10">
        <f>SUM(G61:$G$103)</f>
        <v>43393328.071201198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279">
        <f>D60-'Wing inertia load'!G62</f>
        <v>325645.47065115074</v>
      </c>
      <c r="Y61" s="4"/>
      <c r="Z61" s="10">
        <f t="shared" si="3"/>
        <v>0</v>
      </c>
    </row>
    <row r="62" spans="1:26">
      <c r="B62" s="4"/>
      <c r="C62" s="10">
        <v>9</v>
      </c>
      <c r="D62" s="10">
        <f t="shared" si="0"/>
        <v>326909.27616396657</v>
      </c>
      <c r="E62" s="10">
        <f t="shared" si="1"/>
        <v>162967.38627039612</v>
      </c>
      <c r="F62" s="10">
        <f>SUM(E62:$E$103)</f>
        <v>4860848.1737079704</v>
      </c>
      <c r="G62" s="10">
        <f t="shared" si="2"/>
        <v>2389682.2402863861</v>
      </c>
      <c r="H62" s="10">
        <f>SUM(G62:$G$103)</f>
        <v>40921925.761035927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279">
        <f>D61-'Wing inertia load'!G63</f>
        <v>323926.50650413072</v>
      </c>
      <c r="Y62" s="4"/>
      <c r="Z62" s="10">
        <f t="shared" si="3"/>
        <v>0</v>
      </c>
    </row>
    <row r="63" spans="1:26">
      <c r="B63" s="4"/>
      <c r="C63" s="10">
        <v>9.5</v>
      </c>
      <c r="D63" s="10">
        <f t="shared" si="0"/>
        <v>324960.26891761785</v>
      </c>
      <c r="E63" s="10">
        <f t="shared" si="1"/>
        <v>161963.36092272121</v>
      </c>
      <c r="F63" s="10">
        <f>SUM(E63:$E$103)</f>
        <v>4697880.787437574</v>
      </c>
      <c r="G63" s="10">
        <f t="shared" si="2"/>
        <v>2308449.5534881065</v>
      </c>
      <c r="H63" s="10">
        <f>SUM(G63:$G$103)</f>
        <v>38532243.520749547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279">
        <f>D62-'Wing inertia load'!G64</f>
        <v>322093.4858514666</v>
      </c>
      <c r="Y63" s="4"/>
      <c r="Z63" s="10">
        <f t="shared" si="3"/>
        <v>0</v>
      </c>
    </row>
    <row r="64" spans="1:26">
      <c r="B64" s="4"/>
      <c r="C64" s="10">
        <v>10</v>
      </c>
      <c r="D64" s="10">
        <f t="shared" si="0"/>
        <v>322893.17477326706</v>
      </c>
      <c r="E64" s="10">
        <f t="shared" si="1"/>
        <v>160899.72128525918</v>
      </c>
      <c r="F64" s="10">
        <f>SUM(E64:$E$103)</f>
        <v>4535917.4265148519</v>
      </c>
      <c r="G64" s="10">
        <f t="shared" si="2"/>
        <v>2227733.7829361116</v>
      </c>
      <c r="H64" s="10">
        <f>SUM(G64:$G$103)</f>
        <v>36223793.967261434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279">
        <f>D63-'Wing inertia load'!G65</f>
        <v>320144.47860511788</v>
      </c>
      <c r="Y64" s="4"/>
      <c r="Z64" s="10">
        <f t="shared" si="3"/>
        <v>0</v>
      </c>
    </row>
    <row r="65" spans="3:26">
      <c r="C65" s="10">
        <v>10.5</v>
      </c>
      <c r="D65" s="10">
        <f t="shared" si="0"/>
        <v>320705.7103677697</v>
      </c>
      <c r="E65" s="10">
        <f t="shared" si="1"/>
        <v>159775.27628690592</v>
      </c>
      <c r="F65" s="10">
        <f>SUM(E65:$E$103)</f>
        <v>4375017.7052295944</v>
      </c>
      <c r="G65" s="10">
        <f t="shared" si="2"/>
        <v>2147565.0335430708</v>
      </c>
      <c r="H65" s="10">
        <f>SUM(G65:$G$103)</f>
        <v>33996060.184325315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279">
        <f>D64-'Wing inertia load'!G66</f>
        <v>318077.38446076709</v>
      </c>
      <c r="Y65" s="4"/>
      <c r="Z65" s="10">
        <f t="shared" si="3"/>
        <v>0</v>
      </c>
    </row>
    <row r="66" spans="3:26">
      <c r="C66" s="10">
        <v>11</v>
      </c>
      <c r="D66" s="10">
        <f t="shared" si="0"/>
        <v>318395.39477985405</v>
      </c>
      <c r="E66" s="10">
        <f t="shared" si="1"/>
        <v>158588.73197865117</v>
      </c>
      <c r="F66" s="10">
        <f>SUM(E66:$E$103)</f>
        <v>4215242.4289426878</v>
      </c>
      <c r="G66" s="10">
        <f t="shared" si="2"/>
        <v>2067974.0314766814</v>
      </c>
      <c r="H66" s="10">
        <f>SUM(G66:$G$103)</f>
        <v>31848495.150782254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279">
        <f>D65-'Wing inertia load'!G67</f>
        <v>315889.92005526973</v>
      </c>
      <c r="Y66" s="4"/>
      <c r="Z66" s="10">
        <f t="shared" si="3"/>
        <v>0</v>
      </c>
    </row>
    <row r="67" spans="3:26">
      <c r="C67" s="10">
        <v>11.5</v>
      </c>
      <c r="D67" s="10">
        <f t="shared" si="0"/>
        <v>315959.53313475061</v>
      </c>
      <c r="E67" s="10">
        <f t="shared" si="1"/>
        <v>157338.68279093411</v>
      </c>
      <c r="F67" s="10">
        <f>SUM(E67:$E$103)</f>
        <v>4056653.6969640376</v>
      </c>
      <c r="G67" s="10">
        <f t="shared" si="2"/>
        <v>1988992.1777842853</v>
      </c>
      <c r="H67" s="10">
        <f>SUM(G67:$G$103)</f>
        <v>29780521.11930557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279">
        <f>D66-'Wing inertia load'!G68</f>
        <v>313579.60446735407</v>
      </c>
      <c r="Y67" s="4"/>
      <c r="Z67" s="10">
        <f t="shared" si="3"/>
        <v>0</v>
      </c>
    </row>
    <row r="68" spans="3:26">
      <c r="C68" s="10">
        <v>12</v>
      </c>
      <c r="D68" s="10">
        <f t="shared" si="0"/>
        <v>313395.19802898576</v>
      </c>
      <c r="E68" s="10">
        <f t="shared" si="1"/>
        <v>156023.60161663062</v>
      </c>
      <c r="F68" s="10">
        <f>SUM(E68:$E$103)</f>
        <v>3899315.0141731035</v>
      </c>
      <c r="G68" s="10">
        <f t="shared" si="2"/>
        <v>1910651.6066823942</v>
      </c>
      <c r="H68" s="10">
        <f>SUM(G68:$G$103)</f>
        <v>27791528.941521283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279">
        <f>D67-'Wing inertia load'!G69</f>
        <v>311143.74282225064</v>
      </c>
      <c r="Y68" s="4"/>
      <c r="Z68" s="10">
        <f t="shared" si="3"/>
        <v>0</v>
      </c>
    </row>
    <row r="69" spans="3:26">
      <c r="C69" s="10">
        <v>12.5</v>
      </c>
      <c r="D69" s="10">
        <f t="shared" si="0"/>
        <v>310699.20843753678</v>
      </c>
      <c r="E69" s="10">
        <f t="shared" si="1"/>
        <v>154641.82853425323</v>
      </c>
      <c r="F69" s="10">
        <f>SUM(E69:$E$103)</f>
        <v>3743291.4125564732</v>
      </c>
      <c r="G69" s="10">
        <f t="shared" si="2"/>
        <v>1832985.2491446731</v>
      </c>
      <c r="H69" s="10">
        <f>SUM(G69:$G$103)</f>
        <v>25880877.33483889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279">
        <f>D68-'Wing inertia load'!G70</f>
        <v>308579.40771648579</v>
      </c>
      <c r="Y69" s="4"/>
      <c r="Z69" s="10">
        <f t="shared" si="3"/>
        <v>0</v>
      </c>
    </row>
    <row r="70" spans="3:26">
      <c r="C70" s="10">
        <v>13</v>
      </c>
      <c r="D70" s="10">
        <f t="shared" si="0"/>
        <v>307868.10569947615</v>
      </c>
      <c r="E70" s="10">
        <f t="shared" si="1"/>
        <v>153191.55794911113</v>
      </c>
      <c r="F70" s="10">
        <f>SUM(E70:$E$103)</f>
        <v>3588649.5840222193</v>
      </c>
      <c r="G70" s="10">
        <f t="shared" si="2"/>
        <v>1756026.9025238319</v>
      </c>
      <c r="H70" s="10">
        <f>SUM(G70:$G$103)</f>
        <v>24047892.085694216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279">
        <f>D69-'Wing inertia load'!G71</f>
        <v>305883.41812503681</v>
      </c>
      <c r="Y70" s="4"/>
      <c r="Z70" s="10">
        <f t="shared" si="3"/>
        <v>0</v>
      </c>
    </row>
    <row r="71" spans="3:26">
      <c r="C71" s="10">
        <v>13.5</v>
      </c>
      <c r="D71" s="10">
        <f t="shared" si="0"/>
        <v>304898.12609696836</v>
      </c>
      <c r="E71" s="10">
        <f t="shared" si="1"/>
        <v>151670.82388472231</v>
      </c>
      <c r="F71" s="10">
        <f>SUM(E71:$E$103)</f>
        <v>3435458.0260731084</v>
      </c>
      <c r="G71" s="10">
        <f t="shared" si="2"/>
        <v>1679811.3070653735</v>
      </c>
      <c r="H71" s="10">
        <f>SUM(G71:$G$103)</f>
        <v>22291865.183170389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279">
        <f>D70-'Wing inertia load'!G72</f>
        <v>303052.31538697617</v>
      </c>
      <c r="Y71" s="4"/>
      <c r="Z71" s="10">
        <f t="shared" si="3"/>
        <v>0</v>
      </c>
    </row>
    <row r="72" spans="3:26">
      <c r="C72" s="10">
        <v>14</v>
      </c>
      <c r="D72" s="10">
        <f t="shared" si="0"/>
        <v>301785.16944192094</v>
      </c>
      <c r="E72" s="10">
        <f t="shared" si="1"/>
        <v>150077.48310031189</v>
      </c>
      <c r="F72" s="10">
        <f>SUM(E72:$E$103)</f>
        <v>3283787.2021883857</v>
      </c>
      <c r="G72" s="10">
        <f t="shared" si="2"/>
        <v>1604374.2303191149</v>
      </c>
      <c r="H72" s="10">
        <f>SUM(G72:$G$103)</f>
        <v>20612053.876105014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279">
        <f>D71-'Wing inertia load'!G73</f>
        <v>300082.33578446839</v>
      </c>
      <c r="Y72" s="4"/>
      <c r="Z72" s="10">
        <f t="shared" si="3"/>
        <v>0</v>
      </c>
    </row>
    <row r="73" spans="3:26">
      <c r="C73" s="10">
        <v>14.5</v>
      </c>
      <c r="D73" s="10">
        <f t="shared" si="0"/>
        <v>298524.76295932668</v>
      </c>
      <c r="E73" s="10">
        <f t="shared" si="1"/>
        <v>148409.19563964184</v>
      </c>
      <c r="F73" s="10">
        <f>SUM(E73:$E$103)</f>
        <v>3133709.7190880738</v>
      </c>
      <c r="G73" s="10">
        <f t="shared" si="2"/>
        <v>1529752.5606341264</v>
      </c>
      <c r="H73" s="10">
        <f>SUM(G73:$G$103)</f>
        <v>19007679.645785898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279">
        <f>D72-'Wing inertia load'!G74</f>
        <v>296969.37912942097</v>
      </c>
      <c r="Y73" s="4"/>
      <c r="Z73" s="10">
        <f t="shared" si="3"/>
        <v>0</v>
      </c>
    </row>
    <row r="74" spans="3:26">
      <c r="C74" s="10">
        <v>15</v>
      </c>
      <c r="D74" s="10">
        <f t="shared" si="0"/>
        <v>295112.01959924068</v>
      </c>
      <c r="E74" s="10">
        <f t="shared" si="1"/>
        <v>146663.40232753148</v>
      </c>
      <c r="F74" s="10">
        <f>SUM(E74:$E$103)</f>
        <v>2985300.5234484319</v>
      </c>
      <c r="G74" s="10">
        <f t="shared" si="2"/>
        <v>1455984.4111423329</v>
      </c>
      <c r="H74" s="10">
        <f>SUM(G74:$G$103)</f>
        <v>17477927.085151777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279">
        <f>D73-'Wing inertia load'!G75</f>
        <v>293708.9726468267</v>
      </c>
      <c r="Y74" s="4"/>
      <c r="Z74" s="10">
        <f t="shared" si="3"/>
        <v>0</v>
      </c>
    </row>
    <row r="75" spans="3:26">
      <c r="C75" s="10">
        <v>15.5</v>
      </c>
      <c r="D75" s="10">
        <f t="shared" si="0"/>
        <v>291541.58971088519</v>
      </c>
      <c r="E75" s="10">
        <f t="shared" si="1"/>
        <v>144837.29861765893</v>
      </c>
      <c r="F75" s="10">
        <f>SUM(E75:$E$103)</f>
        <v>2838637.1211208999</v>
      </c>
      <c r="G75" s="10">
        <f t="shared" si="2"/>
        <v>1383109.2359060352</v>
      </c>
      <c r="H75" s="10">
        <f>SUM(G75:$G$103)</f>
        <v>16021942.674009444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279">
        <f>D74-'Wing inertia load'!G76</f>
        <v>290296.22928674071</v>
      </c>
      <c r="Y75" s="4"/>
      <c r="Z75" s="10">
        <f t="shared" si="3"/>
        <v>0</v>
      </c>
    </row>
    <row r="76" spans="3:26">
      <c r="C76" s="10">
        <v>16</v>
      </c>
      <c r="D76" s="10">
        <f t="shared" si="0"/>
        <v>287807.60475975054</v>
      </c>
      <c r="E76" s="10">
        <f t="shared" si="1"/>
        <v>142927.80405101727</v>
      </c>
      <c r="F76" s="10">
        <f>SUM(E76:$E$103)</f>
        <v>2693799.8225032408</v>
      </c>
      <c r="G76" s="10">
        <f t="shared" si="2"/>
        <v>1311167.960238866</v>
      </c>
      <c r="H76" s="10">
        <f>SUM(G76:$G$103)</f>
        <v>14638833.438103406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279">
        <f>D75-'Wing inertia load'!G77</f>
        <v>286725.79939838522</v>
      </c>
      <c r="Y76" s="4"/>
      <c r="Z76" s="10">
        <f t="shared" si="3"/>
        <v>0</v>
      </c>
    </row>
    <row r="77" spans="3:26">
      <c r="C77" s="10">
        <v>16.5</v>
      </c>
      <c r="D77" s="10">
        <f t="shared" si="0"/>
        <v>283903.61144431855</v>
      </c>
      <c r="E77" s="10">
        <f t="shared" si="1"/>
        <v>140931.52639838698</v>
      </c>
      <c r="F77" s="10">
        <f>SUM(E77:$E$103)</f>
        <v>2550872.0184522234</v>
      </c>
      <c r="G77" s="10">
        <f t="shared" si="2"/>
        <v>1240203.127626515</v>
      </c>
      <c r="H77" s="10">
        <f>SUM(G77:$G$103)</f>
        <v>13327665.477864543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279">
        <f>D76-'Wing inertia load'!G78</f>
        <v>282991.81444725057</v>
      </c>
      <c r="Y77" s="4"/>
      <c r="Z77" s="10">
        <f t="shared" si="3"/>
        <v>0</v>
      </c>
    </row>
    <row r="78" spans="3:26">
      <c r="C78" s="10">
        <v>17</v>
      </c>
      <c r="D78" s="10">
        <f t="shared" si="0"/>
        <v>279822.49414922937</v>
      </c>
      <c r="E78" s="10">
        <f t="shared" si="1"/>
        <v>138844.71931806731</v>
      </c>
      <c r="F78" s="10">
        <f>SUM(E78:$E$103)</f>
        <v>2409940.4920538366</v>
      </c>
      <c r="G78" s="10">
        <f t="shared" si="2"/>
        <v>1170259.0661974016</v>
      </c>
      <c r="H78" s="10">
        <f>SUM(G78:$G$103)</f>
        <v>12087462.350238027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279">
        <f>D77-'Wing inertia load'!G79</f>
        <v>279087.82113181858</v>
      </c>
      <c r="Y78" s="4"/>
      <c r="Z78" s="10">
        <f t="shared" si="3"/>
        <v>0</v>
      </c>
    </row>
    <row r="79" spans="3:26">
      <c r="C79" s="10">
        <v>17.5</v>
      </c>
      <c r="D79" s="10">
        <f t="shared" si="0"/>
        <v>275556.38312303991</v>
      </c>
      <c r="E79" s="10">
        <f t="shared" si="1"/>
        <v>136663.23204185278</v>
      </c>
      <c r="F79" s="10">
        <f>SUM(E79:$E$103)</f>
        <v>2271095.7727357699</v>
      </c>
      <c r="G79" s="10">
        <f t="shared" si="2"/>
        <v>1101382.0783574218</v>
      </c>
      <c r="H79" s="10">
        <f>SUM(G79:$G$103)</f>
        <v>10917203.284040626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279">
        <f>D78-'Wing inertia load'!G80</f>
        <v>49683.266336729372</v>
      </c>
      <c r="Y79" s="4"/>
      <c r="Z79" s="10">
        <f t="shared" si="3"/>
        <v>0</v>
      </c>
    </row>
    <row r="80" spans="3:26">
      <c r="C80" s="10">
        <v>18</v>
      </c>
      <c r="D80" s="10">
        <f t="shared" si="0"/>
        <v>271096.54504437116</v>
      </c>
      <c r="E80" s="10">
        <f t="shared" si="1"/>
        <v>134382.44917947272</v>
      </c>
      <c r="F80" s="10">
        <f>SUM(E80:$E$103)</f>
        <v>2134432.5406939168</v>
      </c>
      <c r="G80" s="10">
        <f t="shared" si="2"/>
        <v>1033620.6580520902</v>
      </c>
      <c r="H80" s="10">
        <f>SUM(G80:$G$103)</f>
        <v>9815821.2056832016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279">
        <f>D79-'Wing inertia load'!G81</f>
        <v>270740.59281053994</v>
      </c>
      <c r="Y80" s="4"/>
      <c r="Z80" s="10">
        <f t="shared" si="3"/>
        <v>0</v>
      </c>
    </row>
    <row r="81" spans="1:26">
      <c r="B81" s="4"/>
      <c r="C81" s="10">
        <v>18.5</v>
      </c>
      <c r="D81" s="10">
        <f t="shared" si="0"/>
        <v>266433.25167351973</v>
      </c>
      <c r="E81" s="10">
        <f t="shared" si="1"/>
        <v>131997.21816367103</v>
      </c>
      <c r="F81" s="10">
        <f>SUM(E81:$E$103)</f>
        <v>2000050.091514444</v>
      </c>
      <c r="G81" s="10">
        <f t="shared" si="2"/>
        <v>967025.74121630425</v>
      </c>
      <c r="H81" s="10">
        <f>SUM(G81:$G$103)</f>
        <v>8782200.5476311091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279">
        <f>D80-'Wing inertia load'!G82</f>
        <v>266280.75473187119</v>
      </c>
      <c r="Y81" s="4"/>
      <c r="Z81" s="10">
        <f t="shared" si="3"/>
        <v>0</v>
      </c>
    </row>
    <row r="82" spans="1:26">
      <c r="B82" s="4"/>
      <c r="C82" s="10">
        <v>19</v>
      </c>
      <c r="D82" s="10">
        <f t="shared" si="0"/>
        <v>261555.62098116439</v>
      </c>
      <c r="E82" s="10">
        <f t="shared" si="1"/>
        <v>129501.76108537745</v>
      </c>
      <c r="F82" s="10">
        <f>SUM(E82:$E$103)</f>
        <v>1868052.873350773</v>
      </c>
      <c r="G82" s="10">
        <f t="shared" si="2"/>
        <v>901650.99640404212</v>
      </c>
      <c r="H82" s="10">
        <f>SUM(G82:$G$103)</f>
        <v>7815174.8064148063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279">
        <f>D81-'Wing inertia load'!G83</f>
        <v>261617.46136101973</v>
      </c>
      <c r="Y82" s="4"/>
      <c r="Z82" s="10">
        <f t="shared" si="3"/>
        <v>0</v>
      </c>
    </row>
    <row r="83" spans="1:26">
      <c r="B83" s="4"/>
      <c r="C83" s="10">
        <v>19.5</v>
      </c>
      <c r="D83" s="10">
        <f t="shared" si="0"/>
        <v>256451.42336034539</v>
      </c>
      <c r="E83" s="10">
        <f t="shared" si="1"/>
        <v>126889.56660303511</v>
      </c>
      <c r="F83" s="10">
        <f>SUM(E83:$E$103)</f>
        <v>1738551.1122653955</v>
      </c>
      <c r="G83" s="10">
        <f t="shared" si="2"/>
        <v>837553.16448193905</v>
      </c>
      <c r="H83" s="10">
        <f>SUM(G83:$G$103)</f>
        <v>6913523.8100107638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279">
        <f>D82-'Wing inertia load'!G84</f>
        <v>256739.83066866439</v>
      </c>
      <c r="Y83" s="4"/>
      <c r="Z83" s="10">
        <f t="shared" si="3"/>
        <v>0</v>
      </c>
    </row>
    <row r="84" spans="1:26">
      <c r="B84" s="4"/>
      <c r="C84" s="10">
        <v>20</v>
      </c>
      <c r="D84" s="10">
        <f t="shared" si="0"/>
        <v>251106.84305179506</v>
      </c>
      <c r="E84" s="10">
        <f t="shared" si="1"/>
        <v>124153.25611952088</v>
      </c>
      <c r="F84" s="10">
        <f>SUM(E84:$E$103)</f>
        <v>1611661.5456623607</v>
      </c>
      <c r="G84" s="10">
        <f t="shared" si="2"/>
        <v>774792.45880130015</v>
      </c>
      <c r="H84" s="10">
        <f>SUM(G84:$G$103)</f>
        <v>6075970.6455288259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279">
        <f>D83-'Wing inertia load'!G85</f>
        <v>251635.63304784539</v>
      </c>
      <c r="Y84" s="4"/>
      <c r="Z84" s="10">
        <f t="shared" si="3"/>
        <v>0</v>
      </c>
    </row>
    <row r="85" spans="1:26">
      <c r="B85" s="4"/>
      <c r="C85" s="10">
        <v>20.5</v>
      </c>
      <c r="D85" s="10">
        <f t="shared" si="0"/>
        <v>245506.18142628847</v>
      </c>
      <c r="E85" s="10">
        <f t="shared" si="1"/>
        <v>121284.41630062237</v>
      </c>
      <c r="F85" s="10">
        <f>SUM(E85:$E$103)</f>
        <v>1487508.2895428399</v>
      </c>
      <c r="G85" s="10">
        <f t="shared" si="2"/>
        <v>713433.04069626424</v>
      </c>
      <c r="H85" s="10">
        <f>SUM(G85:$G$103)</f>
        <v>5301178.1867275257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279">
        <f>D84-'Wing inertia load'!G86</f>
        <v>246291.05273929506</v>
      </c>
      <c r="Y85" s="4"/>
      <c r="Z85" s="10">
        <f t="shared" si="3"/>
        <v>0</v>
      </c>
    </row>
    <row r="86" spans="1:26">
      <c r="B86" s="4"/>
      <c r="C86" s="10">
        <v>21</v>
      </c>
      <c r="D86" s="10">
        <f t="shared" si="0"/>
        <v>239631.483776201</v>
      </c>
      <c r="E86" s="10">
        <f t="shared" si="1"/>
        <v>118273.38694142492</v>
      </c>
      <c r="F86" s="10">
        <f>SUM(E86:$E$103)</f>
        <v>1366223.8732422171</v>
      </c>
      <c r="G86" s="10">
        <f t="shared" si="2"/>
        <v>653543.5898857523</v>
      </c>
      <c r="H86" s="10">
        <f>SUM(G86:$G$103)</f>
        <v>4587745.1460312605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279">
        <f>D85-'Wing inertia load'!G87</f>
        <v>240690.39111378847</v>
      </c>
      <c r="Y86" s="4"/>
      <c r="Z86" s="10">
        <f t="shared" si="3"/>
        <v>0</v>
      </c>
    </row>
    <row r="87" spans="1:26">
      <c r="B87" s="4"/>
      <c r="C87" s="10">
        <v>21.5</v>
      </c>
      <c r="D87" s="10">
        <f t="shared" si="0"/>
        <v>233462.06398949871</v>
      </c>
      <c r="E87" s="10">
        <f t="shared" si="1"/>
        <v>115108.98865881667</v>
      </c>
      <c r="F87" s="10">
        <f>SUM(E87:$E$103)</f>
        <v>1247950.4863007921</v>
      </c>
      <c r="G87" s="10">
        <f t="shared" si="2"/>
        <v>595197.9959856919</v>
      </c>
      <c r="H87" s="10">
        <f>SUM(G87:$G$103)</f>
        <v>3934201.5561455083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279">
        <f>D86-'Wing inertia load'!G88</f>
        <v>234815.693463701</v>
      </c>
      <c r="Y87" s="4"/>
      <c r="Z87" s="10">
        <f t="shared" si="3"/>
        <v>0</v>
      </c>
    </row>
    <row r="88" spans="1:26">
      <c r="B88" s="4"/>
      <c r="C88" s="10">
        <v>22</v>
      </c>
      <c r="D88" s="10">
        <f t="shared" si="0"/>
        <v>226973.89064576794</v>
      </c>
      <c r="E88" s="10">
        <f t="shared" si="1"/>
        <v>111778.16805597494</v>
      </c>
      <c r="F88" s="10">
        <f>SUM(E88:$E$103)</f>
        <v>1132841.4976419753</v>
      </c>
      <c r="G88" s="10">
        <f t="shared" si="2"/>
        <v>538476.20680699404</v>
      </c>
      <c r="H88" s="10">
        <f>SUM(G88:$G$103)</f>
        <v>3339003.5601598169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279">
        <f>D87-'Wing inertia load'!G89</f>
        <v>228646.27367699871</v>
      </c>
      <c r="Y88" s="4"/>
      <c r="Z88" s="10">
        <f t="shared" si="3"/>
        <v>0</v>
      </c>
    </row>
    <row r="89" spans="1:26" s="34" customFormat="1" ht="18.95" thickBot="1">
      <c r="A89" s="29"/>
      <c r="B89" s="21"/>
      <c r="C89" s="10">
        <v>22.5</v>
      </c>
      <c r="D89" s="10">
        <f t="shared" si="0"/>
        <v>220138.78157813181</v>
      </c>
      <c r="E89" s="10">
        <f t="shared" si="1"/>
        <v>108265.52743863528</v>
      </c>
      <c r="F89" s="10">
        <f>SUM(E89:$E$103)</f>
        <v>1021063.3295860006</v>
      </c>
      <c r="G89" s="10">
        <f t="shared" si="2"/>
        <v>483465.28293334151</v>
      </c>
      <c r="H89" s="10">
        <f>SUM(G89:$G$103)</f>
        <v>2800527.3533528224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79">
        <f>D88-'Wing inertia load'!G90</f>
        <v>222158.10033326794</v>
      </c>
      <c r="Y89" s="21"/>
      <c r="Z89" s="10">
        <f t="shared" si="3"/>
        <v>0</v>
      </c>
    </row>
    <row r="90" spans="1:26">
      <c r="B90" s="4"/>
      <c r="C90" s="10">
        <v>23</v>
      </c>
      <c r="D90" s="10">
        <f t="shared" si="0"/>
        <v>212923.32817640933</v>
      </c>
      <c r="E90" s="10">
        <f t="shared" si="1"/>
        <v>104552.68936138028</v>
      </c>
      <c r="F90" s="10">
        <f>SUM(E90:$E$103)</f>
        <v>912797.80214736541</v>
      </c>
      <c r="G90" s="10">
        <f t="shared" si="2"/>
        <v>430260.7287333376</v>
      </c>
      <c r="H90" s="10">
        <f>SUM(G90:$G$103)</f>
        <v>2317062.0704194815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279">
        <f>D89-'Wing inertia load'!G91</f>
        <v>215322.9912656318</v>
      </c>
      <c r="Y90" s="4"/>
      <c r="Z90" s="10">
        <f t="shared" si="3"/>
        <v>0</v>
      </c>
    </row>
    <row r="91" spans="1:26" ht="18.75" customHeight="1">
      <c r="B91" s="4"/>
      <c r="C91" s="10">
        <v>23.5</v>
      </c>
      <c r="D91" s="10">
        <f t="shared" si="0"/>
        <v>205287.4292691118</v>
      </c>
      <c r="E91" s="10">
        <f t="shared" si="1"/>
        <v>100617.41870298318</v>
      </c>
      <c r="F91" s="10">
        <f>SUM(E91:$E$103)</f>
        <v>808245.11278598511</v>
      </c>
      <c r="G91" s="10">
        <f t="shared" si="2"/>
        <v>378968.20171724679</v>
      </c>
      <c r="H91" s="10">
        <f>SUM(G91:$G$103)</f>
        <v>1886801.3416861435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279">
        <f>D90-'Wing inertia load'!G92</f>
        <v>208107.53786390933</v>
      </c>
      <c r="Y91" s="4"/>
      <c r="Z91" s="10">
        <f t="shared" si="3"/>
        <v>0</v>
      </c>
    </row>
    <row r="92" spans="1:26" ht="18.75" customHeight="1">
      <c r="B92" s="4"/>
      <c r="C92" s="10">
        <v>24</v>
      </c>
      <c r="D92" s="10">
        <f t="shared" si="0"/>
        <v>197182.24554282092</v>
      </c>
      <c r="E92" s="10">
        <f t="shared" si="1"/>
        <v>96432.378011542707</v>
      </c>
      <c r="F92" s="10">
        <f>SUM(E92:$E$103)</f>
        <v>707627.69408300193</v>
      </c>
      <c r="G92" s="10">
        <f t="shared" si="2"/>
        <v>329705.75253861526</v>
      </c>
      <c r="H92" s="10">
        <f>SUM(G92:$G$103)</f>
        <v>1507833.1399688968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279">
        <f>D91-'Wing inertia load'!G93</f>
        <v>200471.6389566118</v>
      </c>
      <c r="Y92" s="4"/>
      <c r="Z92" s="10">
        <f t="shared" si="3"/>
        <v>0</v>
      </c>
    </row>
    <row r="93" spans="1:26" ht="18.75" customHeight="1">
      <c r="B93" s="4"/>
      <c r="C93" s="10">
        <v>24.5</v>
      </c>
      <c r="D93" s="10">
        <f t="shared" si="0"/>
        <v>188547.26650334991</v>
      </c>
      <c r="E93" s="10">
        <f t="shared" si="1"/>
        <v>91963.308417556109</v>
      </c>
      <c r="F93" s="10">
        <f>SUM(E93:$E$103)</f>
        <v>611195.31607145921</v>
      </c>
      <c r="G93" s="10">
        <f t="shared" si="2"/>
        <v>282606.83093134058</v>
      </c>
      <c r="H93" s="10">
        <f>SUM(G93:$G$103)</f>
        <v>1178127.3874302814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279">
        <f>D92-'Wing inertia load'!G94</f>
        <v>192366.45523032092</v>
      </c>
      <c r="Y93" s="4"/>
      <c r="Z93" s="10">
        <f t="shared" si="3"/>
        <v>0</v>
      </c>
    </row>
    <row r="94" spans="1:26" ht="18.75" customHeight="1">
      <c r="B94" s="4"/>
      <c r="C94" s="10">
        <v>25</v>
      </c>
      <c r="D94" s="10">
        <f t="shared" si="0"/>
        <v>179305.9671668745</v>
      </c>
      <c r="E94" s="10">
        <f t="shared" si="1"/>
        <v>87166.272454086284</v>
      </c>
      <c r="F94" s="10">
        <f>SUM(E94:$E$103)</f>
        <v>519232.00765390322</v>
      </c>
      <c r="G94" s="10">
        <f t="shared" si="2"/>
        <v>237824.43571343005</v>
      </c>
      <c r="H94" s="10">
        <f>SUM(G94:$G$103)</f>
        <v>895520.5564989408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279">
        <f>D93-'Wing inertia load'!G95</f>
        <v>183731.47619084991</v>
      </c>
      <c r="Y94" s="4"/>
      <c r="Z94" s="10">
        <f t="shared" si="3"/>
        <v>0</v>
      </c>
    </row>
    <row r="95" spans="1:26" ht="18.75" customHeight="1">
      <c r="B95" s="4"/>
      <c r="C95" s="10">
        <v>25.5</v>
      </c>
      <c r="D95" s="10">
        <f t="shared" si="0"/>
        <v>169359.12264947066</v>
      </c>
      <c r="E95" s="10">
        <f t="shared" si="1"/>
        <v>81983.285327961814</v>
      </c>
      <c r="F95" s="10">
        <f>SUM(E95:$E$103)</f>
        <v>432065.73519981693</v>
      </c>
      <c r="G95" s="10">
        <f t="shared" si="2"/>
        <v>195537.04626791802</v>
      </c>
      <c r="H95" s="10">
        <f>SUM(G95:$G$103)</f>
        <v>657696.12078551075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279">
        <f>D94-'Wing inertia load'!G96</f>
        <v>174490.1768543745</v>
      </c>
      <c r="Y95" s="4"/>
      <c r="Z95" s="10">
        <f t="shared" si="3"/>
        <v>0</v>
      </c>
    </row>
    <row r="96" spans="1:26" ht="18.75" customHeight="1">
      <c r="B96" s="4"/>
      <c r="C96" s="10">
        <v>26</v>
      </c>
      <c r="D96" s="10">
        <f t="shared" si="0"/>
        <v>158574.01866237659</v>
      </c>
      <c r="E96" s="10">
        <f t="shared" si="1"/>
        <v>76334.997865704732</v>
      </c>
      <c r="F96" s="10">
        <f>SUM(E96:$E$103)</f>
        <v>350082.44987185509</v>
      </c>
      <c r="G96" s="10">
        <f t="shared" si="2"/>
        <v>155957.47546950137</v>
      </c>
      <c r="H96" s="10">
        <f>SUM(G96:$G$103)</f>
        <v>462159.07451759285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279">
        <f>D95-'Wing inertia load'!G97</f>
        <v>164543.33233697066</v>
      </c>
      <c r="Y96" s="4"/>
      <c r="Z96" s="10">
        <f t="shared" si="3"/>
        <v>0</v>
      </c>
    </row>
    <row r="97" spans="3:26" ht="18.75" customHeight="1">
      <c r="C97" s="10">
        <v>26.5</v>
      </c>
      <c r="D97" s="10">
        <f t="shared" si="0"/>
        <v>146765.97280044237</v>
      </c>
      <c r="E97" s="10">
        <f t="shared" si="1"/>
        <v>70107.532160252711</v>
      </c>
      <c r="F97" s="10">
        <f>SUM(E97:$E$103)</f>
        <v>273747.45200615039</v>
      </c>
      <c r="G97" s="10">
        <f t="shared" si="2"/>
        <v>119346.84296301201</v>
      </c>
      <c r="H97" s="10">
        <f>SUM(G97:$G$103)</f>
        <v>306201.59904809151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279">
        <f>D96-'Wing inertia load'!G98</f>
        <v>153758.22834987659</v>
      </c>
      <c r="Y97" s="4"/>
      <c r="Z97" s="10">
        <f t="shared" si="3"/>
        <v>0</v>
      </c>
    </row>
    <row r="98" spans="3:26" ht="18.75" customHeight="1">
      <c r="C98" s="10">
        <v>27</v>
      </c>
      <c r="D98" s="10">
        <f t="shared" si="0"/>
        <v>133664.15584056845</v>
      </c>
      <c r="E98" s="10">
        <f t="shared" si="1"/>
        <v>63126.397789461284</v>
      </c>
      <c r="F98" s="10">
        <f>SUM(E98:$E$103)</f>
        <v>203639.91984589765</v>
      </c>
      <c r="G98" s="10">
        <f t="shared" si="2"/>
        <v>86038.360475583497</v>
      </c>
      <c r="H98" s="10">
        <f>SUM(G98:$G$103)</f>
        <v>186854.75608507948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279">
        <f>D97-'Wing inertia load'!G99</f>
        <v>141950.18248794237</v>
      </c>
      <c r="Y98" s="4"/>
      <c r="Z98" s="10">
        <f t="shared" si="3"/>
        <v>0</v>
      </c>
    </row>
    <row r="99" spans="3:26">
      <c r="C99" s="10">
        <v>27.5</v>
      </c>
      <c r="D99" s="10">
        <f t="shared" si="0"/>
        <v>118841.43531727669</v>
      </c>
      <c r="E99" s="10">
        <f t="shared" si="1"/>
        <v>55097.106537469357</v>
      </c>
      <c r="F99" s="10">
        <f>SUM(E99:$E$103)</f>
        <v>140513.52205643634</v>
      </c>
      <c r="G99" s="10">
        <f t="shared" si="2"/>
        <v>56482.484393850827</v>
      </c>
      <c r="H99" s="10">
        <f>SUM(G99:$G$103)</f>
        <v>100816.39560949599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279">
        <f>D98-'Wing inertia load'!G100</f>
        <v>128848.36552806845</v>
      </c>
      <c r="Y99" s="4"/>
      <c r="Z99" s="10">
        <f t="shared" si="3"/>
        <v>0</v>
      </c>
    </row>
    <row r="100" spans="3:26">
      <c r="C100" s="10">
        <v>28</v>
      </c>
      <c r="D100" s="10">
        <f t="shared" si="0"/>
        <v>101546.99083260076</v>
      </c>
      <c r="E100" s="10">
        <f t="shared" si="1"/>
        <v>45436.093634559584</v>
      </c>
      <c r="F100" s="10">
        <f>SUM(E100:$E$103)</f>
        <v>85416.415518966984</v>
      </c>
      <c r="G100" s="10">
        <f t="shared" si="2"/>
        <v>31349.184350843596</v>
      </c>
      <c r="H100" s="10">
        <f>SUM(G100:$G$103)</f>
        <v>44333.911215645152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279">
        <f>D99-'Wing inertia load'!G101</f>
        <v>114025.64500477668</v>
      </c>
      <c r="Y100" s="4"/>
      <c r="Z100" s="10">
        <f t="shared" si="3"/>
        <v>0</v>
      </c>
    </row>
    <row r="101" spans="3:26">
      <c r="C101" s="10">
        <v>28.5</v>
      </c>
      <c r="D101" s="10">
        <f t="shared" si="0"/>
        <v>80197.383705637563</v>
      </c>
      <c r="E101" s="10">
        <f t="shared" si="1"/>
        <v>32506.205900158137</v>
      </c>
      <c r="F101" s="10">
        <f>SUM(E101:$E$103)</f>
        <v>39980.3218844074</v>
      </c>
      <c r="G101" s="10">
        <f t="shared" si="2"/>
        <v>11863.609467164166</v>
      </c>
      <c r="H101" s="10">
        <f>SUM(G101:$G$103)</f>
        <v>12984.726864801558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279">
        <f>D100-'Wing inertia load'!G102</f>
        <v>96731.200520100756</v>
      </c>
      <c r="Y101" s="4"/>
      <c r="Z101" s="10">
        <f t="shared" si="3"/>
        <v>0</v>
      </c>
    </row>
    <row r="102" spans="3:26">
      <c r="C102" s="10">
        <v>29</v>
      </c>
      <c r="D102" s="10">
        <f t="shared" si="0"/>
        <v>49827.439894994983</v>
      </c>
      <c r="E102" s="10">
        <f t="shared" si="1"/>
        <v>7474.1159842492652</v>
      </c>
      <c r="F102" s="10">
        <f>SUM(E102:$E$103)</f>
        <v>7474.1159842492652</v>
      </c>
      <c r="G102" s="10">
        <f t="shared" si="2"/>
        <v>1121.1173976373925</v>
      </c>
      <c r="H102" s="10">
        <f>SUM(G102:$G$103)</f>
        <v>1121.1173976373925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279">
        <f>D101-'Wing inertia load'!G103</f>
        <v>75381.593393137562</v>
      </c>
      <c r="Y102" s="4"/>
      <c r="Z102" s="10">
        <f t="shared" si="3"/>
        <v>0</v>
      </c>
    </row>
    <row r="103" spans="3:26">
      <c r="C103" s="10">
        <v>29.3</v>
      </c>
      <c r="D103" s="4">
        <v>0</v>
      </c>
      <c r="E103" s="10">
        <f t="shared" si="1"/>
        <v>0</v>
      </c>
      <c r="F103" s="10">
        <f>SUM(E103:$E$103)</f>
        <v>0</v>
      </c>
      <c r="G103" s="10">
        <f t="shared" si="2"/>
        <v>0</v>
      </c>
      <c r="H103" s="10">
        <f>SUM(G103:$G$103)</f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279">
        <f>D102-'Wing inertia load'!G104</f>
        <v>46841.649901244993</v>
      </c>
      <c r="Y103" s="4"/>
      <c r="Z103" s="4"/>
    </row>
    <row r="104" spans="3:26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279">
        <f>D103-'Wing inertia load'!G105</f>
        <v>0</v>
      </c>
      <c r="Y104" s="4"/>
      <c r="Z104" s="4"/>
    </row>
    <row r="106" spans="3:26">
      <c r="C106" s="4"/>
      <c r="D106" s="4"/>
      <c r="E106" s="5" t="s">
        <v>144</v>
      </c>
      <c r="F106" s="35">
        <f>SUM(E44:E80)</f>
        <v>5902963.411008887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13" spans="1:5">
      <c r="A113" s="121" t="s">
        <v>162</v>
      </c>
      <c r="B113" s="4"/>
      <c r="C113" s="206" t="s">
        <v>163</v>
      </c>
      <c r="D113" s="206"/>
      <c r="E113" s="206"/>
    </row>
    <row r="114" spans="1:5" ht="14.45">
      <c r="A114" s="207" t="s">
        <v>164</v>
      </c>
      <c r="B114" s="4"/>
      <c r="C114" s="5" t="s">
        <v>136</v>
      </c>
      <c r="D114" s="5" t="s">
        <v>140</v>
      </c>
      <c r="E114" s="5" t="s">
        <v>142</v>
      </c>
    </row>
    <row r="115" spans="1:5" ht="14.45">
      <c r="A115" s="218"/>
      <c r="B115" s="4"/>
      <c r="C115" s="5" t="s">
        <v>23</v>
      </c>
      <c r="D115" s="5" t="s">
        <v>119</v>
      </c>
      <c r="E115" s="5" t="s">
        <v>107</v>
      </c>
    </row>
    <row r="116" spans="1:5" ht="14.45">
      <c r="A116" s="218"/>
      <c r="B116" s="4"/>
      <c r="C116" s="10">
        <v>0</v>
      </c>
      <c r="D116" s="10">
        <f>'Wing aero load'!F44-'Wing inertia load'!H46</f>
        <v>6797677.5994045809</v>
      </c>
      <c r="E116" s="10">
        <f>H44-'Wing inertia load'!J46</f>
        <v>88276939.643111646</v>
      </c>
    </row>
    <row r="117" spans="1:5" ht="14.45">
      <c r="A117" s="218"/>
      <c r="B117" s="4"/>
      <c r="C117" s="10">
        <v>0.5</v>
      </c>
      <c r="D117" s="10">
        <f>'Wing aero load'!F45-'Wing inertia load'!H47</f>
        <v>6683951.9966154192</v>
      </c>
      <c r="E117" s="10">
        <f>H45-'Wing inertia load'!J47</f>
        <v>84906532.244106665</v>
      </c>
    </row>
    <row r="118" spans="1:5" ht="14.45">
      <c r="A118" s="218"/>
      <c r="B118" s="4"/>
      <c r="C118" s="10">
        <v>1</v>
      </c>
      <c r="D118" s="10">
        <f>'Wing aero load'!F46-'Wing inertia load'!H48</f>
        <v>6570276.3900082465</v>
      </c>
      <c r="E118" s="10">
        <f>H46-'Wing inertia load'!J48</f>
        <v>81592975.14745076</v>
      </c>
    </row>
    <row r="119" spans="1:5" ht="14.45">
      <c r="A119" s="218"/>
      <c r="B119" s="4"/>
      <c r="C119" s="10">
        <v>1.5</v>
      </c>
      <c r="D119" s="10">
        <f>'Wing aero load'!F47-'Wing inertia load'!H49</f>
        <v>6456700.8194800746</v>
      </c>
      <c r="E119" s="10">
        <f>H47-'Wing inertia load'!J49</f>
        <v>78336230.845078692</v>
      </c>
    </row>
    <row r="120" spans="1:5" ht="14.45">
      <c r="A120" s="218"/>
      <c r="B120" s="4"/>
      <c r="C120" s="10">
        <v>2</v>
      </c>
      <c r="D120" s="10">
        <f>'Wing aero load'!F48-'Wing inertia load'!H50</f>
        <v>6343275.4125493951</v>
      </c>
      <c r="E120" s="10">
        <f>H48-'Wing inertia load'!J50</f>
        <v>75136236.787071347</v>
      </c>
    </row>
    <row r="121" spans="1:5" ht="14.45">
      <c r="A121" s="218"/>
      <c r="B121" s="4"/>
      <c r="C121" s="10">
        <v>2.5</v>
      </c>
      <c r="D121" s="10">
        <f>'Wing aero load'!F49-'Wing inertia load'!H51</f>
        <v>6230050.4286475172</v>
      </c>
      <c r="E121" s="10">
        <f>H49-'Wing inertia load'!J51</f>
        <v>71992905.326772124</v>
      </c>
    </row>
    <row r="122" spans="1:5">
      <c r="B122" s="4"/>
      <c r="C122" s="10">
        <v>3</v>
      </c>
      <c r="D122" s="10">
        <f>'Wing aero load'!F50-'Wing inertia load'!H52</f>
        <v>6117076.3039921159</v>
      </c>
      <c r="E122" s="10">
        <f>H50-'Wing inertia load'!J52</f>
        <v>68906123.643612221</v>
      </c>
    </row>
    <row r="123" spans="1:5">
      <c r="B123" s="4"/>
      <c r="C123" s="10">
        <v>3.5</v>
      </c>
      <c r="D123" s="10">
        <f>'Wing aero load'!F51-'Wing inertia load'!H53</f>
        <v>6004403.6972464286</v>
      </c>
      <c r="E123" s="10">
        <f>H51-'Wing inertia load'!J53</f>
        <v>65875753.64330259</v>
      </c>
    </row>
    <row r="124" spans="1:5">
      <c r="B124" s="4"/>
      <c r="C124" s="10">
        <v>4</v>
      </c>
      <c r="D124" s="10">
        <f>'Wing aero load'!F52-'Wing inertia load'!H54</f>
        <v>5838885.3361756671</v>
      </c>
      <c r="E124" s="10">
        <f>H52-'Wing inertia load'!J54</f>
        <v>62914931.384947076</v>
      </c>
    </row>
    <row r="125" spans="1:5">
      <c r="B125" s="4"/>
      <c r="C125" s="10">
        <v>4.5</v>
      </c>
      <c r="D125" s="10">
        <f>'Wing aero load'!F53-'Wing inertia load'!H55</f>
        <v>5673770.6655228529</v>
      </c>
      <c r="E125" s="10">
        <f>H53-'Wing inertia load'!J55</f>
        <v>60036767.384522453</v>
      </c>
    </row>
    <row r="126" spans="1:5">
      <c r="B126" s="4"/>
      <c r="C126" s="10">
        <v>5</v>
      </c>
      <c r="D126" s="10">
        <f>'Wing aero load'!F54-'Wing inertia load'!H56</f>
        <v>5509111.2963392967</v>
      </c>
      <c r="E126" s="10">
        <f>H54-'Wing inertia load'!J56</f>
        <v>57241046.894056909</v>
      </c>
    </row>
    <row r="127" spans="1:5">
      <c r="B127" s="4"/>
      <c r="C127" s="10">
        <v>5.5</v>
      </c>
      <c r="D127" s="10">
        <f>'Wing aero load'!F55-'Wing inertia load'!H57</f>
        <v>5344959.2570209019</v>
      </c>
      <c r="E127" s="10">
        <f>H55-'Wing inertia load'!J57</f>
        <v>54527529.25571686</v>
      </c>
    </row>
    <row r="128" spans="1:5">
      <c r="B128" s="4"/>
      <c r="C128" s="10">
        <v>6</v>
      </c>
      <c r="D128" s="10">
        <f>'Wing aero load'!F56-'Wing inertia load'!H58</f>
        <v>5406690.4838204645</v>
      </c>
      <c r="E128" s="10">
        <f>H56-'Wing inertia load'!J58</f>
        <v>51839616.820506513</v>
      </c>
    </row>
    <row r="129" spans="3:5">
      <c r="C129" s="10">
        <v>6.5</v>
      </c>
      <c r="D129" s="10">
        <f>'Wing aero load'!F57-'Wing inertia load'!H59</f>
        <v>5243711.1261286363</v>
      </c>
      <c r="E129" s="10">
        <f>H57-'Wing inertia load'!J59</f>
        <v>49177016.418019243</v>
      </c>
    </row>
    <row r="130" spans="3:5">
      <c r="C130" s="10">
        <v>7</v>
      </c>
      <c r="D130" s="10">
        <f>'Wing aero load'!F58-'Wing inertia load'!H60</f>
        <v>5081398.2293428062</v>
      </c>
      <c r="E130" s="10">
        <f>H58-'Wing inertia load'!J60</f>
        <v>46595739.079151377</v>
      </c>
    </row>
    <row r="131" spans="3:5">
      <c r="C131" s="10">
        <v>7.5</v>
      </c>
      <c r="D131" s="10">
        <f>'Wing aero load'!F59-'Wing inertia load'!H61</f>
        <v>4919806.0456741406</v>
      </c>
      <c r="E131" s="10">
        <f>H59-'Wing inertia load'!J61</f>
        <v>44095438.010397144</v>
      </c>
    </row>
    <row r="132" spans="3:5">
      <c r="C132" s="10">
        <v>8</v>
      </c>
      <c r="D132" s="10">
        <f>'Wing aero load'!F60-'Wing inertia load'!H62</f>
        <v>4758989.5357794398</v>
      </c>
      <c r="E132" s="10">
        <f>H60-'Wing inertia load'!J62</f>
        <v>41675739.115033753</v>
      </c>
    </row>
    <row r="133" spans="3:5">
      <c r="C133" s="10">
        <v>8.5</v>
      </c>
      <c r="D133" s="10">
        <f>'Wing aero load'!F61-'Wing inertia load'!H63</f>
        <v>4599004.4366468694</v>
      </c>
      <c r="E133" s="10">
        <f>H61-'Wing inertia load'!J63</f>
        <v>39336240.621927172</v>
      </c>
    </row>
    <row r="134" spans="3:5">
      <c r="C134" s="10">
        <v>9</v>
      </c>
      <c r="D134" s="10">
        <f>'Wing aero load'!F62-'Wing inertia load'!H64</f>
        <v>4439907.3337142207</v>
      </c>
      <c r="E134" s="10">
        <f>H62-'Wing inertia load'!J64</f>
        <v>37076512.679336898</v>
      </c>
    </row>
    <row r="135" spans="3:5">
      <c r="C135" s="10">
        <v>9.5</v>
      </c>
      <c r="D135" s="10">
        <f>'Wing aero load'!F63-'Wing inertia load'!H65</f>
        <v>4281755.7377563249</v>
      </c>
      <c r="E135" s="10">
        <f>H63-'Wing inertia load'!J65</f>
        <v>34896096.911469273</v>
      </c>
    </row>
    <row r="136" spans="3:5">
      <c r="C136" s="10">
        <v>10</v>
      </c>
      <c r="D136" s="10">
        <f>'Wing aero load'!F64-'Wing inertia load'!H66</f>
        <v>4124608.1671461025</v>
      </c>
      <c r="E136" s="10">
        <f>H64-'Wing inertia load'!J66</f>
        <v>32794505.935243655</v>
      </c>
    </row>
    <row r="137" spans="3:5">
      <c r="C137" s="10">
        <v>10.5</v>
      </c>
      <c r="D137" s="10">
        <f>'Wing aero load'!F65-'Wing inertia load'!H67</f>
        <v>3968524.2361733448</v>
      </c>
      <c r="E137" s="10">
        <f>H65-'Wing inertia load'!J67</f>
        <v>30771222.834413789</v>
      </c>
    </row>
    <row r="138" spans="3:5">
      <c r="C138" s="10">
        <v>11</v>
      </c>
      <c r="D138" s="10">
        <f>'Wing aero load'!F66-'Wing inertia load'!H68</f>
        <v>3813564.7501989384</v>
      </c>
      <c r="E138" s="10">
        <f>H66-'Wing inertia load'!J68</f>
        <v>28825700.587820727</v>
      </c>
    </row>
    <row r="139" spans="3:5">
      <c r="C139" s="10">
        <v>11.5</v>
      </c>
      <c r="D139" s="10">
        <f>'Wing aero load'!F67-'Wing inertia load'!H69</f>
        <v>3659791.8085327884</v>
      </c>
      <c r="E139" s="10">
        <f>H67-'Wing inertia load'!J69</f>
        <v>26957361.44813779</v>
      </c>
    </row>
    <row r="140" spans="3:5">
      <c r="C140" s="10">
        <v>12</v>
      </c>
      <c r="D140" s="10">
        <f>'Wing aero load'!F68-'Wing inertia load'!H70</f>
        <v>3507268.916054354</v>
      </c>
      <c r="E140" s="10">
        <f>H68-'Wing inertia load'!J70</f>
        <v>25165596.266991004</v>
      </c>
    </row>
    <row r="141" spans="3:5">
      <c r="C141" s="10">
        <v>12.5</v>
      </c>
      <c r="D141" s="10">
        <f>'Wing aero load'!F69-'Wing inertia load'!H71</f>
        <v>3356061.1047502239</v>
      </c>
      <c r="E141" s="10">
        <f>H69-'Wing inertia load'!J71</f>
        <v>23449763.761789858</v>
      </c>
    </row>
    <row r="142" spans="3:5">
      <c r="C142" s="10">
        <v>13</v>
      </c>
      <c r="D142" s="10">
        <f>'Wing aero load'!F70-'Wing inertia load'!H72</f>
        <v>3206235.0665284698</v>
      </c>
      <c r="E142" s="10">
        <f>H70-'Wing inertia load'!J72</f>
        <v>21809189.718970187</v>
      </c>
    </row>
    <row r="143" spans="3:5">
      <c r="C143" s="10">
        <v>13.5</v>
      </c>
      <c r="D143" s="10">
        <f>'Wing aero load'!F71-'Wing inertia load'!H73</f>
        <v>3057859.2988918591</v>
      </c>
      <c r="E143" s="10">
        <f>H71-'Wing inertia load'!J73</f>
        <v>20243166.127615109</v>
      </c>
    </row>
    <row r="144" spans="3:5">
      <c r="C144" s="10">
        <v>14</v>
      </c>
      <c r="D144" s="10">
        <f>'Wing aero load'!F72-'Wing inertia load'!H74</f>
        <v>2911004.2653196361</v>
      </c>
      <c r="E144" s="10">
        <f>H72-'Wing inertia load'!J74</f>
        <v>18750950.236562233</v>
      </c>
    </row>
    <row r="145" spans="3:5">
      <c r="C145" s="10">
        <v>14.5</v>
      </c>
      <c r="D145" s="10">
        <f>'Wing aero load'!F73-'Wing inertia load'!H75</f>
        <v>2765742.5725318245</v>
      </c>
      <c r="E145" s="10">
        <f>H73-'Wing inertia load'!J75</f>
        <v>17331763.527099367</v>
      </c>
    </row>
    <row r="146" spans="3:5">
      <c r="C146" s="10">
        <v>15</v>
      </c>
      <c r="D146" s="10">
        <f>'Wing aero load'!F74-'Wing inertia load'!H76</f>
        <v>2622149.1672046822</v>
      </c>
      <c r="E146" s="10">
        <f>H74-'Wing inertia load'!J76</f>
        <v>15984790.592165247</v>
      </c>
    </row>
    <row r="147" spans="3:5">
      <c r="C147" s="10">
        <v>15.5</v>
      </c>
      <c r="D147" s="10">
        <f>'Wing aero load'!F75-'Wing inertia load'!H77</f>
        <v>2480301.5551896505</v>
      </c>
      <c r="E147" s="10">
        <f>H75-'Wing inertia load'!J77</f>
        <v>14709177.911566664</v>
      </c>
    </row>
    <row r="148" spans="3:5">
      <c r="C148" s="10">
        <v>16</v>
      </c>
      <c r="D148" s="10">
        <f>'Wing aero load'!F76-'Wing inertia load'!H78</f>
        <v>2340280.0468844911</v>
      </c>
      <c r="E148" s="10">
        <f>H76-'Wing inertia load'!J78</f>
        <v>13504032.511048125</v>
      </c>
    </row>
    <row r="149" spans="3:5">
      <c r="C149" s="10">
        <v>16.5</v>
      </c>
      <c r="D149" s="10">
        <f>'Wing aero load'!F77-'Wing inertia load'!H79</f>
        <v>2202168.0331459739</v>
      </c>
      <c r="E149" s="10">
        <f>H77-'Wing inertia load'!J79</f>
        <v>12368420.491040513</v>
      </c>
    </row>
    <row r="150" spans="3:5">
      <c r="C150" s="10">
        <v>17</v>
      </c>
      <c r="D150" s="10">
        <f>'Wing aero load'!F78-'Wing inertia load'!H80</f>
        <v>2066052.2970600871</v>
      </c>
      <c r="E150" s="10">
        <f>H78-'Wing inertia load'!J80</f>
        <v>11301365.408488996</v>
      </c>
    </row>
    <row r="151" spans="3:5">
      <c r="C151" s="10">
        <v>17.5</v>
      </c>
      <c r="D151" s="10">
        <f>'Wing aero load'!F79-'Wing inertia load'!H81</f>
        <v>2157346.8055545199</v>
      </c>
      <c r="E151" s="10">
        <f>H79-'Wing inertia load'!J81</f>
        <v>10245515.632835345</v>
      </c>
    </row>
    <row r="152" spans="3:5">
      <c r="C152" s="10">
        <v>18</v>
      </c>
      <c r="D152" s="10">
        <f>'Wing aero load'!F80-'Wing inertia load'!H82</f>
        <v>2025499.3638251668</v>
      </c>
      <c r="E152" s="10">
        <f>H80-'Wing inertia load'!J82</f>
        <v>9199804.0904904194</v>
      </c>
    </row>
    <row r="153" spans="3:5">
      <c r="C153" s="10">
        <v>18.5</v>
      </c>
      <c r="D153" s="10">
        <f>'Wing aero load'!F81-'Wing inertia load'!H83</f>
        <v>1895932.7049581939</v>
      </c>
      <c r="E153" s="10">
        <f>H81-'Wing inertia load'!J83</f>
        <v>8219446.0732945781</v>
      </c>
    </row>
    <row r="154" spans="3:5">
      <c r="C154" s="10">
        <v>19</v>
      </c>
      <c r="D154" s="10">
        <f>'Wing aero load'!F82-'Wing inertia load'!H84</f>
        <v>1768751.2771070229</v>
      </c>
      <c r="E154" s="10">
        <f>H82-'Wing inertia load'!J84</f>
        <v>7303275.0777782751</v>
      </c>
    </row>
    <row r="155" spans="3:5">
      <c r="C155" s="10">
        <v>19.5</v>
      </c>
      <c r="D155" s="10">
        <f>'Wing aero load'!F83-'Wing inertia load'!H85</f>
        <v>1644065.3063341454</v>
      </c>
      <c r="E155" s="10">
        <f>H83-'Wing inertia load'!J85</f>
        <v>6450070.9319179822</v>
      </c>
    </row>
    <row r="156" spans="3:5">
      <c r="C156" s="10">
        <v>20</v>
      </c>
      <c r="D156" s="10">
        <f>'Wing aero load'!F84-'Wing inertia load'!H86</f>
        <v>1521991.5300436108</v>
      </c>
      <c r="E156" s="10">
        <f>H84-'Wing inertia load'!J86</f>
        <v>5658556.7228235444</v>
      </c>
    </row>
    <row r="157" spans="3:5">
      <c r="C157" s="10">
        <v>20.5</v>
      </c>
      <c r="D157" s="10">
        <f>'Wing aero load'!F85-'Wing inertia load'!H87</f>
        <v>1402654.0642365899</v>
      </c>
      <c r="E157" s="10">
        <f>H85-'Wing inertia load'!J87</f>
        <v>4927395.3242534949</v>
      </c>
    </row>
    <row r="158" spans="3:5">
      <c r="C158" s="10">
        <v>21</v>
      </c>
      <c r="D158" s="10">
        <f>'Wing aero load'!F86-'Wing inertia load'!H88</f>
        <v>1286185.4382484672</v>
      </c>
      <c r="E158" s="10">
        <f>H86-'Wing inertia load'!J88</f>
        <v>4255185.4486322291</v>
      </c>
    </row>
    <row r="159" spans="3:5">
      <c r="C159" s="10">
        <v>21.5</v>
      </c>
      <c r="D159" s="10">
        <f>'Wing aero load'!F87-'Wing inertia load'!H89</f>
        <v>1172727.8416195421</v>
      </c>
      <c r="E159" s="10">
        <f>H87-'Wing inertia load'!J89</f>
        <v>3640457.128665227</v>
      </c>
    </row>
    <row r="160" spans="3:5">
      <c r="C160" s="10">
        <v>22</v>
      </c>
      <c r="D160" s="10">
        <f>'Wing aero load'!F88-'Wing inertia load'!H90</f>
        <v>1062434.6432732253</v>
      </c>
      <c r="E160" s="10">
        <f>H88-'Wing inertia load'!J90</f>
        <v>3081666.5074420357</v>
      </c>
    </row>
    <row r="161" spans="3:5">
      <c r="C161" s="10">
        <v>22.5</v>
      </c>
      <c r="D161" s="10">
        <f>'Wing aero load'!F89-'Wing inertia load'!H91</f>
        <v>955472.26552975061</v>
      </c>
      <c r="E161" s="10">
        <f>H89-'Wing inertia load'!J91</f>
        <v>2577189.780241291</v>
      </c>
    </row>
    <row r="162" spans="3:5">
      <c r="C162" s="10">
        <v>23</v>
      </c>
      <c r="D162" s="10">
        <f>'Wing aero load'!F90-'Wing inertia load'!H92</f>
        <v>852022.52840361546</v>
      </c>
      <c r="E162" s="10">
        <f>H90-'Wing inertia load'!J92</f>
        <v>2125316.0817579501</v>
      </c>
    </row>
    <row r="163" spans="3:5">
      <c r="C163" s="10">
        <v>23.5</v>
      </c>
      <c r="D163" s="10">
        <f>'Wing aero load'!F91-'Wing inertia load'!H93</f>
        <v>752285.62935473514</v>
      </c>
      <c r="E163" s="10">
        <f>H91-'Wing inertia load'!J93</f>
        <v>1724239.0423183623</v>
      </c>
    </row>
    <row r="164" spans="3:5">
      <c r="C164" s="10">
        <v>24</v>
      </c>
      <c r="D164" s="10">
        <f>'Wing aero load'!F92-'Wing inertia load'!H94</f>
        <v>656484.00096425193</v>
      </c>
      <c r="E164" s="10">
        <f>H92-'Wing inertia load'!J94</f>
        <v>1372046.6347386157</v>
      </c>
    </row>
    <row r="165" spans="3:5">
      <c r="C165" s="10">
        <v>24.5</v>
      </c>
      <c r="D165" s="10">
        <f>'Wing aero load'!F93-'Wing inertia load'!H95</f>
        <v>564867.41326520918</v>
      </c>
      <c r="E165" s="10">
        <f>H93-'Wing inertia load'!J95</f>
        <v>1066708.7811812502</v>
      </c>
    </row>
    <row r="166" spans="3:5">
      <c r="C166" s="10">
        <v>25</v>
      </c>
      <c r="D166" s="10">
        <f>'Wing aero load'!F94-'Wing inertia load'!H96</f>
        <v>477719.89516015322</v>
      </c>
      <c r="E166" s="10">
        <f>H94-'Wing inertia load'!J96</f>
        <v>806061.95407490968</v>
      </c>
    </row>
    <row r="167" spans="3:5">
      <c r="C167" s="10">
        <v>25.5</v>
      </c>
      <c r="D167" s="10">
        <f>'Wing aero load'!F95-'Wing inertia load'!H97</f>
        <v>395369.41301856696</v>
      </c>
      <c r="E167" s="10">
        <f>H95-'Wing inertia load'!J97</f>
        <v>587789.62703022955</v>
      </c>
    </row>
    <row r="168" spans="3:5">
      <c r="C168" s="10">
        <v>26</v>
      </c>
      <c r="D168" s="10">
        <f>'Wing aero load'!F96-'Wing inertia load'!H98</f>
        <v>318201.91800310509</v>
      </c>
      <c r="E168" s="10">
        <f>H96-'Wing inertia load'!J98</f>
        <v>409396.79427481163</v>
      </c>
    </row>
    <row r="169" spans="3:5">
      <c r="C169" s="10">
        <v>26.5</v>
      </c>
      <c r="D169" s="10">
        <f>'Wing aero load'!F97-'Wing inertia load'!H99</f>
        <v>246682.71044990039</v>
      </c>
      <c r="E169" s="10">
        <f>H97-'Wing inertia load'!J99</f>
        <v>268175.6371615603</v>
      </c>
    </row>
    <row r="170" spans="3:5">
      <c r="C170" s="10">
        <v>27</v>
      </c>
      <c r="D170" s="10">
        <f>'Wing aero load'!F98-'Wing inertia load'!H100</f>
        <v>181390.96860214765</v>
      </c>
      <c r="E170" s="10">
        <f>H98-'Wing inertia load'!J100</f>
        <v>161157.21739854827</v>
      </c>
    </row>
    <row r="171" spans="3:5">
      <c r="C171" s="10">
        <v>27.5</v>
      </c>
      <c r="D171" s="10">
        <f>'Wing aero load'!F99-'Wing inertia load'!H101</f>
        <v>123080.36112518635</v>
      </c>
      <c r="E171" s="10">
        <f>H99-'Wing inertia load'!J101</f>
        <v>85039.384966714759</v>
      </c>
    </row>
    <row r="172" spans="3:5">
      <c r="C172" s="10">
        <v>28</v>
      </c>
      <c r="D172" s="10">
        <f>'Wing aero load'!F100-'Wing inertia load'!H102</f>
        <v>72799.044900216992</v>
      </c>
      <c r="E172" s="10">
        <f>H100-'Wing inertia load'!J102</f>
        <v>36069.53346036392</v>
      </c>
    </row>
    <row r="173" spans="3:5">
      <c r="C173" s="10">
        <v>28.5</v>
      </c>
      <c r="D173" s="10">
        <f>'Wing aero load'!F101-'Wing inertia load'!H103</f>
        <v>32178.741578157413</v>
      </c>
      <c r="E173" s="10">
        <f>H101-'Wing inertia load'!J103</f>
        <v>9825.0868407703165</v>
      </c>
    </row>
    <row r="174" spans="3:5">
      <c r="C174" s="10">
        <v>29</v>
      </c>
      <c r="D174" s="10">
        <f>'Wing aero load'!F102-'Wing inertia load'!H104</f>
        <v>4488.3259904992774</v>
      </c>
      <c r="E174" s="10">
        <f>H102-'Wing inertia load'!J104</f>
        <v>658.31994860614623</v>
      </c>
    </row>
    <row r="175" spans="3:5">
      <c r="C175" s="10">
        <v>29.3</v>
      </c>
      <c r="D175" s="10">
        <f>'Wing aero load'!F103-'Wing inertia load'!H105</f>
        <v>0</v>
      </c>
      <c r="E175" s="10">
        <f>H103-'Wing inertia load'!J105</f>
        <v>0</v>
      </c>
    </row>
  </sheetData>
  <mergeCells count="14">
    <mergeCell ref="C41:H41"/>
    <mergeCell ref="A42:A49"/>
    <mergeCell ref="C113:E113"/>
    <mergeCell ref="A114:A121"/>
    <mergeCell ref="B1:E1"/>
    <mergeCell ref="F1:G1"/>
    <mergeCell ref="H1:Z1"/>
    <mergeCell ref="A4:A25"/>
    <mergeCell ref="C27:E28"/>
    <mergeCell ref="H27:J28"/>
    <mergeCell ref="N27:Q31"/>
    <mergeCell ref="R27:T28"/>
    <mergeCell ref="A28:A34"/>
    <mergeCell ref="R29:T31"/>
  </mergeCells>
  <phoneticPr fontId="3" type="noConversion"/>
  <pageMargins left="0.7" right="0.7" top="0.75" bottom="0.75" header="0.3" footer="0.3"/>
  <pageSetup paperSize="9" scale="9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9B639-675D-4937-8F99-9D36CDB0906B}">
  <dimension ref="A1:AA110"/>
  <sheetViews>
    <sheetView zoomScale="70" zoomScaleNormal="70" workbookViewId="0">
      <pane xSplit="1" ySplit="1" topLeftCell="B68" activePane="bottomRight" state="frozen"/>
      <selection pane="bottomRight" activeCell="Y104" sqref="Y104"/>
      <selection pane="bottomLeft" activeCell="F46" sqref="F46"/>
      <selection pane="topRight" activeCell="F46" sqref="F46"/>
    </sheetView>
  </sheetViews>
  <sheetFormatPr defaultColWidth="8.875" defaultRowHeight="14.45"/>
  <cols>
    <col min="1" max="1" width="25.625" style="24" customWidth="1"/>
    <col min="2" max="2" width="8.875" style="32"/>
    <col min="3" max="3" width="20.875" style="32" bestFit="1" customWidth="1"/>
    <col min="4" max="5" width="8.875" style="32"/>
    <col min="6" max="6" width="9.625" style="32" bestFit="1" customWidth="1"/>
    <col min="7" max="7" width="10.625" style="32" bestFit="1" customWidth="1"/>
    <col min="8" max="8" width="14.375" style="32" bestFit="1" customWidth="1"/>
    <col min="9" max="10" width="9.625" style="32" bestFit="1" customWidth="1"/>
    <col min="11" max="16" width="8.875" style="32"/>
    <col min="17" max="17" width="15.125" style="32" bestFit="1" customWidth="1"/>
    <col min="18" max="18" width="10.625" style="32" customWidth="1"/>
    <col min="19" max="19" width="8.875" style="32"/>
    <col min="20" max="20" width="10.125" style="32" customWidth="1"/>
    <col min="21" max="21" width="10" style="32" bestFit="1" customWidth="1"/>
    <col min="22" max="23" width="8.875" style="32"/>
    <col min="24" max="24" width="10.625" style="32" customWidth="1"/>
    <col min="25" max="25" width="11" style="32" customWidth="1"/>
    <col min="26" max="16384" width="8.875" style="32"/>
  </cols>
  <sheetData>
    <row r="1" spans="1:27" s="31" customFormat="1" ht="39" customHeight="1" thickBot="1">
      <c r="A1" s="51"/>
      <c r="B1" s="208" t="s">
        <v>9</v>
      </c>
      <c r="C1" s="215"/>
      <c r="D1" s="215"/>
      <c r="E1" s="216"/>
      <c r="F1" s="211" t="s">
        <v>1</v>
      </c>
      <c r="G1" s="211"/>
      <c r="H1" s="270" t="s">
        <v>110</v>
      </c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/>
      <c r="AA1" s="271"/>
    </row>
    <row r="3" spans="1:27" ht="18.600000000000001">
      <c r="A3" s="122" t="s">
        <v>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>
      <c r="A4" s="207" t="s">
        <v>111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15" customHeight="1">
      <c r="A5" s="21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33"/>
      <c r="Z5" s="33"/>
      <c r="AA5" s="33"/>
    </row>
    <row r="6" spans="1:27" ht="15" customHeight="1">
      <c r="A6" s="21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33"/>
      <c r="Z6" s="33"/>
      <c r="AA6" s="33"/>
    </row>
    <row r="7" spans="1:27">
      <c r="A7" s="21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>
      <c r="A8" s="21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25" spans="1:10" s="34" customFormat="1" ht="15" thickBot="1">
      <c r="A25" s="52"/>
      <c r="B25" s="21"/>
      <c r="C25" s="21"/>
      <c r="D25" s="21"/>
      <c r="E25" s="21"/>
      <c r="F25" s="21"/>
      <c r="G25" s="21"/>
      <c r="H25" s="21"/>
      <c r="I25" s="21"/>
      <c r="J25" s="21"/>
    </row>
    <row r="27" spans="1:10" ht="18.600000000000001">
      <c r="A27" s="122" t="s">
        <v>32</v>
      </c>
      <c r="B27" s="4"/>
      <c r="C27" s="206" t="s">
        <v>112</v>
      </c>
      <c r="D27" s="206"/>
      <c r="E27" s="206"/>
      <c r="F27" s="4"/>
      <c r="G27" s="4"/>
      <c r="H27" s="206" t="s">
        <v>113</v>
      </c>
      <c r="I27" s="206"/>
      <c r="J27" s="206"/>
    </row>
    <row r="28" spans="1:10">
      <c r="A28" s="207" t="s">
        <v>114</v>
      </c>
      <c r="B28" s="4"/>
      <c r="C28" s="5" t="s">
        <v>115</v>
      </c>
      <c r="D28" s="5">
        <f>' n-V diagram'!G6</f>
        <v>65</v>
      </c>
      <c r="E28" s="5" t="s">
        <v>23</v>
      </c>
      <c r="F28" s="4"/>
      <c r="G28" s="4"/>
      <c r="H28" s="5" t="s">
        <v>68</v>
      </c>
      <c r="I28" s="5">
        <v>429900</v>
      </c>
      <c r="J28" s="5" t="s">
        <v>25</v>
      </c>
    </row>
    <row r="29" spans="1:10">
      <c r="A29" s="214"/>
      <c r="B29" s="4"/>
      <c r="C29" s="5" t="s">
        <v>116</v>
      </c>
      <c r="D29" s="5">
        <v>6.38</v>
      </c>
      <c r="E29" s="5" t="s">
        <v>23</v>
      </c>
      <c r="F29" s="4"/>
      <c r="G29" s="4"/>
      <c r="H29" s="5" t="s">
        <v>117</v>
      </c>
      <c r="I29" s="175">
        <v>2.8199000000000001</v>
      </c>
      <c r="J29" s="5"/>
    </row>
    <row r="30" spans="1:10">
      <c r="A30" s="214"/>
      <c r="B30" s="4"/>
      <c r="C30" s="5" t="s">
        <v>22</v>
      </c>
      <c r="D30" s="22">
        <f>(D28-D29)/2</f>
        <v>29.31</v>
      </c>
      <c r="E30" s="5" t="s">
        <v>23</v>
      </c>
      <c r="F30" s="4"/>
      <c r="G30" s="4"/>
      <c r="H30" s="5" t="s">
        <v>118</v>
      </c>
      <c r="I30" s="5">
        <f>I28*I29*9.81</f>
        <v>11892417.848100001</v>
      </c>
      <c r="J30" s="5" t="s">
        <v>119</v>
      </c>
    </row>
    <row r="31" spans="1:10">
      <c r="A31" s="214"/>
      <c r="B31" s="4"/>
      <c r="C31" s="5" t="s">
        <v>24</v>
      </c>
      <c r="D31" s="5">
        <v>15709</v>
      </c>
      <c r="E31" s="5" t="s">
        <v>25</v>
      </c>
      <c r="F31" s="4" t="s">
        <v>120</v>
      </c>
      <c r="G31" s="4"/>
      <c r="H31" s="5" t="s">
        <v>121</v>
      </c>
      <c r="I31" s="217" t="s">
        <v>122</v>
      </c>
      <c r="J31" s="272"/>
    </row>
    <row r="32" spans="1:10">
      <c r="A32" s="214"/>
      <c r="B32" s="4"/>
      <c r="C32" s="5" t="s">
        <v>26</v>
      </c>
      <c r="D32" s="22">
        <v>27.5</v>
      </c>
      <c r="E32" s="5" t="s">
        <v>23</v>
      </c>
      <c r="F32" s="4"/>
      <c r="G32" s="4"/>
      <c r="H32" s="5" t="s">
        <v>123</v>
      </c>
      <c r="I32" s="22">
        <f>VLOOKUP(I31,C35:D37,2,FALSE)*9.81</f>
        <v>60086.25</v>
      </c>
      <c r="J32" s="5" t="s">
        <v>119</v>
      </c>
    </row>
    <row r="33" spans="1:26">
      <c r="A33" s="214"/>
      <c r="B33" s="4"/>
      <c r="C33" s="5" t="s">
        <v>27</v>
      </c>
      <c r="D33" s="5">
        <v>43100</v>
      </c>
      <c r="E33" s="5" t="s">
        <v>28</v>
      </c>
      <c r="F33" s="4"/>
      <c r="G33" s="4"/>
      <c r="H33" s="5" t="s">
        <v>124</v>
      </c>
      <c r="I33" s="22">
        <f>D33*(D38/1000)*9.81</f>
        <v>343745.34299999999</v>
      </c>
      <c r="J33" s="5" t="s">
        <v>125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214"/>
      <c r="B34" s="4"/>
      <c r="C34" s="5" t="s">
        <v>29</v>
      </c>
      <c r="D34" s="5">
        <v>5.59</v>
      </c>
      <c r="E34" s="5" t="s">
        <v>23</v>
      </c>
      <c r="F34" s="4"/>
      <c r="G34" s="4"/>
      <c r="H34" s="5" t="s">
        <v>126</v>
      </c>
      <c r="I34" s="5">
        <f>D31*9.81</f>
        <v>154105.29</v>
      </c>
      <c r="J34" s="5" t="s">
        <v>125</v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214"/>
      <c r="B35" s="4"/>
      <c r="C35" s="5" t="s">
        <v>127</v>
      </c>
      <c r="D35" s="5">
        <v>0</v>
      </c>
      <c r="E35" s="7"/>
      <c r="F35" s="4"/>
      <c r="G35" s="4"/>
      <c r="H35" s="5" t="s">
        <v>128</v>
      </c>
      <c r="I35" s="67">
        <f>SUM(I32:I34)</f>
        <v>557936.88300000003</v>
      </c>
      <c r="J35" s="5" t="s">
        <v>125</v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B36" s="4"/>
      <c r="C36" s="5" t="s">
        <v>122</v>
      </c>
      <c r="D36" s="5">
        <v>6125</v>
      </c>
      <c r="E36" s="5" t="s">
        <v>25</v>
      </c>
      <c r="F36" s="1" t="s">
        <v>129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B37" s="4"/>
      <c r="C37" s="5" t="s">
        <v>130</v>
      </c>
      <c r="D37" s="5">
        <v>150</v>
      </c>
      <c r="E37" s="5" t="s">
        <v>28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B38" s="4"/>
      <c r="C38" s="5" t="s">
        <v>131</v>
      </c>
      <c r="D38" s="5">
        <v>813</v>
      </c>
      <c r="E38" s="5" t="s">
        <v>132</v>
      </c>
      <c r="F38" s="53" t="s">
        <v>133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B39" s="4"/>
      <c r="C39" s="5" t="s">
        <v>130</v>
      </c>
      <c r="D39" s="5">
        <f>D37*D38/1000</f>
        <v>121.95</v>
      </c>
      <c r="E39" s="5" t="s">
        <v>25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1" spans="1:26" s="34" customFormat="1" ht="15" thickBot="1">
      <c r="A41" s="5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3" spans="1:26" ht="18.600000000000001">
      <c r="A43" s="121" t="s">
        <v>34</v>
      </c>
      <c r="B43" s="4"/>
      <c r="C43" s="206" t="s">
        <v>134</v>
      </c>
      <c r="D43" s="206"/>
      <c r="E43" s="206"/>
      <c r="F43" s="206"/>
      <c r="G43" s="206"/>
      <c r="H43" s="206"/>
      <c r="I43" s="206"/>
      <c r="J43" s="206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207" t="s">
        <v>135</v>
      </c>
      <c r="B44" s="4"/>
      <c r="C44" s="5" t="s">
        <v>136</v>
      </c>
      <c r="D44" s="5" t="s">
        <v>137</v>
      </c>
      <c r="E44" s="5" t="s">
        <v>138</v>
      </c>
      <c r="F44" s="5" t="s">
        <v>121</v>
      </c>
      <c r="G44" s="5" t="s">
        <v>139</v>
      </c>
      <c r="H44" s="5" t="s">
        <v>140</v>
      </c>
      <c r="I44" s="5" t="s">
        <v>141</v>
      </c>
      <c r="J44" s="5" t="s">
        <v>142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8.75" customHeight="1">
      <c r="A45" s="214"/>
      <c r="B45" s="4"/>
      <c r="C45" s="5" t="s">
        <v>23</v>
      </c>
      <c r="D45" s="5" t="s">
        <v>143</v>
      </c>
      <c r="E45" s="5" t="s">
        <v>143</v>
      </c>
      <c r="F45" s="5" t="s">
        <v>119</v>
      </c>
      <c r="G45" s="5" t="s">
        <v>125</v>
      </c>
      <c r="H45" s="5" t="s">
        <v>125</v>
      </c>
      <c r="I45" s="5" t="s">
        <v>107</v>
      </c>
      <c r="J45" s="5" t="s">
        <v>107</v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5">
        <f>-F46</f>
        <v>0</v>
      </c>
      <c r="Y45" s="273">
        <f>-G46</f>
        <v>-3621.3458939250004</v>
      </c>
      <c r="Z45" s="173">
        <v>9805.9767415753104</v>
      </c>
    </row>
    <row r="46" spans="1:26" ht="15" customHeight="1">
      <c r="A46" s="214"/>
      <c r="B46" s="4"/>
      <c r="C46" s="10">
        <v>0</v>
      </c>
      <c r="D46" s="67">
        <f>$D$31/60*$I$29*9.81</f>
        <v>7242.6917878500008</v>
      </c>
      <c r="E46" s="173">
        <v>0</v>
      </c>
      <c r="F46" s="10">
        <v>0</v>
      </c>
      <c r="G46" s="274">
        <f>(D47+D46)*(C47-C46)/2+(E47+E46)*(C47-C46)/2+F46</f>
        <v>3621.3458939250004</v>
      </c>
      <c r="H46" s="10">
        <f>SUM(G46:$G$105)</f>
        <v>6497366.6531018866</v>
      </c>
      <c r="I46" s="10">
        <f>(H47+H46)*(C47-C46)/2</f>
        <v>3247777.990077462</v>
      </c>
      <c r="J46" s="10">
        <f>SUM(I46:$I$110)</f>
        <v>26333246.687091615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5">
        <f t="shared" ref="X46:X105" si="0">-F47</f>
        <v>0</v>
      </c>
      <c r="Y46" s="273">
        <f t="shared" ref="Y46:Y105" si="1">-G47</f>
        <v>-3621.3458939250004</v>
      </c>
      <c r="Z46" s="173">
        <v>9608.4462793990006</v>
      </c>
    </row>
    <row r="47" spans="1:26" ht="15" customHeight="1">
      <c r="A47" s="214"/>
      <c r="B47" s="4"/>
      <c r="C47" s="10">
        <v>0.5</v>
      </c>
      <c r="D47" s="67">
        <f t="shared" ref="D46:D105" si="2">$D$31/60*$I$29*9.81</f>
        <v>7242.6917878500008</v>
      </c>
      <c r="E47" s="173">
        <v>0</v>
      </c>
      <c r="F47" s="10">
        <v>0</v>
      </c>
      <c r="G47" s="274">
        <f>(D48+D47)*(C48-C47)/2+(E48+E47)*(C48-C47)/2+F47</f>
        <v>3621.3458939250004</v>
      </c>
      <c r="H47" s="10">
        <f>SUM(G47:$G$105)</f>
        <v>6493745.3072079616</v>
      </c>
      <c r="I47" s="10">
        <f t="shared" ref="I47:I105" si="3">(H48+H47)*(C48-C47)/2</f>
        <v>3245967.3171304995</v>
      </c>
      <c r="J47" s="10">
        <f>SUM(I47:$I$110)</f>
        <v>23085468.697014149</v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5">
        <f t="shared" si="0"/>
        <v>0</v>
      </c>
      <c r="Y47" s="273">
        <f t="shared" si="1"/>
        <v>-3621.3458939250004</v>
      </c>
      <c r="Z47" s="173">
        <v>9410.9157969052703</v>
      </c>
    </row>
    <row r="48" spans="1:26" ht="15" customHeight="1">
      <c r="A48" s="214"/>
      <c r="B48" s="4"/>
      <c r="C48" s="10">
        <v>1</v>
      </c>
      <c r="D48" s="67">
        <f t="shared" si="2"/>
        <v>7242.6917878500008</v>
      </c>
      <c r="E48" s="173">
        <v>0</v>
      </c>
      <c r="F48" s="10">
        <v>0</v>
      </c>
      <c r="G48" s="274">
        <f t="shared" ref="G48:G104" si="4">(D49+D48)*(C49-C48)/2+(E49+E48)*(C49-C48)/2+F48</f>
        <v>3621.3458939250004</v>
      </c>
      <c r="H48" s="10">
        <f>SUM(G48:$G$105)</f>
        <v>6490123.9613140365</v>
      </c>
      <c r="I48" s="10">
        <f t="shared" si="3"/>
        <v>3244156.644183537</v>
      </c>
      <c r="J48" s="10">
        <f>SUM(I48:$I$110)</f>
        <v>19839501.379883651</v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5">
        <f t="shared" si="0"/>
        <v>0</v>
      </c>
      <c r="Y48" s="273">
        <f t="shared" si="1"/>
        <v>-3621.3458939250004</v>
      </c>
      <c r="Z48" s="173">
        <v>9213.3853347289496</v>
      </c>
    </row>
    <row r="49" spans="1:26" ht="15" customHeight="1">
      <c r="A49" s="214"/>
      <c r="B49" s="4"/>
      <c r="C49" s="10">
        <v>1.5</v>
      </c>
      <c r="D49" s="67">
        <f t="shared" si="2"/>
        <v>7242.6917878500008</v>
      </c>
      <c r="E49" s="173">
        <v>0</v>
      </c>
      <c r="F49" s="10">
        <v>0</v>
      </c>
      <c r="G49" s="274">
        <f t="shared" si="4"/>
        <v>3621.3458939250004</v>
      </c>
      <c r="H49" s="10">
        <f>SUM(G49:$G$105)</f>
        <v>6486502.6154201115</v>
      </c>
      <c r="I49" s="10">
        <f t="shared" si="3"/>
        <v>3242345.9712365745</v>
      </c>
      <c r="J49" s="10">
        <f>SUM(I49:$I$110)</f>
        <v>16595344.735700117</v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5">
        <f t="shared" si="0"/>
        <v>0</v>
      </c>
      <c r="Y49" s="273">
        <f t="shared" si="1"/>
        <v>-3621.3458939250004</v>
      </c>
      <c r="Z49" s="173">
        <v>9015.8548725526398</v>
      </c>
    </row>
    <row r="50" spans="1:26" ht="15" customHeight="1">
      <c r="A50" s="214"/>
      <c r="B50" s="4"/>
      <c r="C50" s="10">
        <v>2</v>
      </c>
      <c r="D50" s="67">
        <f t="shared" si="2"/>
        <v>7242.6917878500008</v>
      </c>
      <c r="E50" s="173">
        <v>0</v>
      </c>
      <c r="F50" s="10">
        <v>0</v>
      </c>
      <c r="G50" s="274">
        <f t="shared" si="4"/>
        <v>3621.3458939250004</v>
      </c>
      <c r="H50" s="10">
        <f>SUM(G50:$G$105)</f>
        <v>6482881.2695261864</v>
      </c>
      <c r="I50" s="10">
        <f t="shared" si="3"/>
        <v>3240535.2982896119</v>
      </c>
      <c r="J50" s="10">
        <f>SUM(I50:$I$110)</f>
        <v>13352998.764463542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5">
        <f t="shared" si="0"/>
        <v>0</v>
      </c>
      <c r="Y50" s="273">
        <f t="shared" si="1"/>
        <v>-3621.3458939250004</v>
      </c>
      <c r="Z50" s="173">
        <v>8818.32441037633</v>
      </c>
    </row>
    <row r="51" spans="1:26" ht="15" customHeight="1">
      <c r="A51" s="214"/>
      <c r="B51" s="4"/>
      <c r="C51" s="10">
        <v>2.5</v>
      </c>
      <c r="D51" s="67">
        <f t="shared" si="2"/>
        <v>7242.6917878500008</v>
      </c>
      <c r="E51" s="173">
        <v>0</v>
      </c>
      <c r="F51" s="10">
        <v>0</v>
      </c>
      <c r="G51" s="274">
        <f t="shared" si="4"/>
        <v>3621.3458939250004</v>
      </c>
      <c r="H51" s="10">
        <f>SUM(G51:$G$105)</f>
        <v>6479259.9236322613</v>
      </c>
      <c r="I51" s="10">
        <f t="shared" si="3"/>
        <v>3238724.6253426494</v>
      </c>
      <c r="J51" s="10">
        <f>SUM(I51:$I$110)</f>
        <v>10112463.466173928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5">
        <f>-F52</f>
        <v>-5946208.9240500005</v>
      </c>
      <c r="Y51" s="273">
        <f t="shared" si="1"/>
        <v>-5949830.2699439256</v>
      </c>
      <c r="Z51" s="173">
        <v>8620.7939482000202</v>
      </c>
    </row>
    <row r="52" spans="1:26">
      <c r="A52" s="214"/>
      <c r="B52" s="4"/>
      <c r="C52" s="10">
        <v>3</v>
      </c>
      <c r="D52" s="67">
        <f>$D$31/60*$I$29*9.81</f>
        <v>7242.6917878500008</v>
      </c>
      <c r="E52" s="173">
        <v>0</v>
      </c>
      <c r="F52" s="10">
        <f>'Wing Ground load'!B4</f>
        <v>5946208.9240500005</v>
      </c>
      <c r="G52" s="274">
        <f t="shared" si="4"/>
        <v>5949830.2699439256</v>
      </c>
      <c r="H52" s="10">
        <f>SUM(G52:$G$105)</f>
        <v>6475638.5777383363</v>
      </c>
      <c r="I52" s="10">
        <f t="shared" si="3"/>
        <v>1750361.7213831861</v>
      </c>
      <c r="J52" s="10">
        <f>SUM(I52:$I$110)</f>
        <v>6873738.8408312714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5">
        <f t="shared" si="0"/>
        <v>0</v>
      </c>
      <c r="Y52" s="273">
        <f t="shared" si="1"/>
        <v>-3621.3458939250004</v>
      </c>
      <c r="Z52" s="173">
        <v>8423.2634657062899</v>
      </c>
    </row>
    <row r="53" spans="1:26">
      <c r="A53" s="214"/>
      <c r="B53" s="4"/>
      <c r="C53" s="10">
        <v>3.5</v>
      </c>
      <c r="D53" s="67">
        <f t="shared" si="2"/>
        <v>7242.6917878500008</v>
      </c>
      <c r="E53" s="173">
        <v>0</v>
      </c>
      <c r="F53" s="10">
        <v>0</v>
      </c>
      <c r="G53" s="274">
        <f t="shared" si="4"/>
        <v>3621.3458939250004</v>
      </c>
      <c r="H53" s="10">
        <f>SUM(G53:$G$105)</f>
        <v>525808.30779440841</v>
      </c>
      <c r="I53" s="10">
        <f t="shared" si="3"/>
        <v>261998.81742372294</v>
      </c>
      <c r="J53" s="10">
        <f>SUM(I53:$I$110)</f>
        <v>5123377.1194480881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5">
        <f t="shared" si="0"/>
        <v>0</v>
      </c>
      <c r="Y53" s="273">
        <f t="shared" si="1"/>
        <v>-3621.3458939250004</v>
      </c>
      <c r="Z53" s="173">
        <v>8225.7330035299801</v>
      </c>
    </row>
    <row r="54" spans="1:26">
      <c r="B54" s="4"/>
      <c r="C54" s="10">
        <v>4</v>
      </c>
      <c r="D54" s="67">
        <f t="shared" si="2"/>
        <v>7242.6917878500008</v>
      </c>
      <c r="E54" s="173">
        <v>0</v>
      </c>
      <c r="F54" s="10">
        <v>0</v>
      </c>
      <c r="G54" s="274">
        <f t="shared" si="4"/>
        <v>3621.3458939250004</v>
      </c>
      <c r="H54" s="10">
        <f>SUM(G54:$G$105)</f>
        <v>522186.96190048341</v>
      </c>
      <c r="I54" s="10">
        <f t="shared" si="3"/>
        <v>260188.14447676047</v>
      </c>
      <c r="J54" s="10">
        <f>SUM(I54:$I$110)</f>
        <v>4861378.3020243663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5">
        <f t="shared" si="0"/>
        <v>0</v>
      </c>
      <c r="Y54" s="273">
        <f t="shared" si="1"/>
        <v>-3621.3458939250004</v>
      </c>
      <c r="Z54" s="173">
        <v>8072.9320919757602</v>
      </c>
    </row>
    <row r="55" spans="1:26">
      <c r="B55" s="4"/>
      <c r="C55" s="10">
        <v>4.5</v>
      </c>
      <c r="D55" s="67">
        <f t="shared" si="2"/>
        <v>7242.6917878500008</v>
      </c>
      <c r="E55" s="173">
        <v>0</v>
      </c>
      <c r="F55" s="10">
        <v>0</v>
      </c>
      <c r="G55" s="274">
        <f t="shared" si="4"/>
        <v>3621.3458939250004</v>
      </c>
      <c r="H55" s="10">
        <f>SUM(G55:$G$105)</f>
        <v>518565.61600655841</v>
      </c>
      <c r="I55" s="10">
        <f t="shared" si="3"/>
        <v>258377.47152979794</v>
      </c>
      <c r="J55" s="10">
        <f>SUM(I55:$I$110)</f>
        <v>4601190.1575476052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5">
        <f t="shared" si="0"/>
        <v>0</v>
      </c>
      <c r="Y55" s="273">
        <f t="shared" si="1"/>
        <v>-3621.3458939250004</v>
      </c>
      <c r="Z55" s="173">
        <v>7964.8607107262196</v>
      </c>
    </row>
    <row r="56" spans="1:26">
      <c r="B56" s="4"/>
      <c r="C56" s="10">
        <v>5</v>
      </c>
      <c r="D56" s="67">
        <f t="shared" si="2"/>
        <v>7242.6917878500008</v>
      </c>
      <c r="E56" s="173">
        <v>0</v>
      </c>
      <c r="F56" s="10">
        <v>0</v>
      </c>
      <c r="G56" s="274">
        <f t="shared" si="4"/>
        <v>3621.3458939250004</v>
      </c>
      <c r="H56" s="10">
        <f>SUM(G56:$G$105)</f>
        <v>514944.27011263341</v>
      </c>
      <c r="I56" s="10">
        <f t="shared" si="3"/>
        <v>256566.79858283547</v>
      </c>
      <c r="J56" s="10">
        <f>SUM(I56:$I$110)</f>
        <v>4342812.6860178076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5">
        <f t="shared" si="0"/>
        <v>-169437.21637500002</v>
      </c>
      <c r="Y56" s="273">
        <f t="shared" si="1"/>
        <v>-173058.56226892502</v>
      </c>
      <c r="Z56" s="173">
        <v>7856.78932947668</v>
      </c>
    </row>
    <row r="57" spans="1:26">
      <c r="B57" s="4"/>
      <c r="C57" s="10">
        <v>5.5</v>
      </c>
      <c r="D57" s="67">
        <f t="shared" si="2"/>
        <v>7242.6917878500008</v>
      </c>
      <c r="E57" s="173">
        <v>0</v>
      </c>
      <c r="F57" s="10">
        <f>I32*I29</f>
        <v>169437.21637500002</v>
      </c>
      <c r="G57" s="274">
        <f t="shared" si="4"/>
        <v>173058.56226892502</v>
      </c>
      <c r="H57" s="10">
        <f>SUM(G57:$G$105)</f>
        <v>511322.92421870842</v>
      </c>
      <c r="I57" s="10">
        <f t="shared" si="3"/>
        <v>212396.82154212298</v>
      </c>
      <c r="J57" s="10">
        <f>SUM(I57:$I$110)</f>
        <v>4086245.8874349743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5">
        <f t="shared" si="0"/>
        <v>0</v>
      </c>
      <c r="Y57" s="273">
        <f t="shared" si="1"/>
        <v>-3621.3458939250004</v>
      </c>
      <c r="Z57" s="173">
        <v>7748.7179482271404</v>
      </c>
    </row>
    <row r="58" spans="1:26">
      <c r="B58" s="4"/>
      <c r="C58" s="10">
        <v>6</v>
      </c>
      <c r="D58" s="67">
        <f t="shared" si="2"/>
        <v>7242.6917878500008</v>
      </c>
      <c r="E58" s="173">
        <v>0</v>
      </c>
      <c r="F58" s="10">
        <v>0</v>
      </c>
      <c r="G58" s="274">
        <f t="shared" si="4"/>
        <v>3621.3458939250004</v>
      </c>
      <c r="H58" s="10">
        <f>SUM(G58:$G$105)</f>
        <v>338264.36194978346</v>
      </c>
      <c r="I58" s="10">
        <f t="shared" si="3"/>
        <v>168226.84450141049</v>
      </c>
      <c r="J58" s="10">
        <f>SUM(I58:$I$110)</f>
        <v>3873849.0658928519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5">
        <f t="shared" si="0"/>
        <v>0</v>
      </c>
      <c r="Y58" s="273">
        <f t="shared" si="1"/>
        <v>-3621.3458939250004</v>
      </c>
      <c r="Z58" s="173">
        <v>7640.6465669775998</v>
      </c>
    </row>
    <row r="59" spans="1:26">
      <c r="B59" s="4"/>
      <c r="C59" s="10">
        <v>6.5</v>
      </c>
      <c r="D59" s="67">
        <f t="shared" si="2"/>
        <v>7242.6917878500008</v>
      </c>
      <c r="E59" s="173">
        <v>0</v>
      </c>
      <c r="F59" s="10">
        <v>0</v>
      </c>
      <c r="G59" s="274">
        <f t="shared" si="4"/>
        <v>3621.3458939250004</v>
      </c>
      <c r="H59" s="10">
        <f>SUM(G59:$G$105)</f>
        <v>334643.01605585846</v>
      </c>
      <c r="I59" s="10">
        <f t="shared" si="3"/>
        <v>166416.17155444797</v>
      </c>
      <c r="J59" s="10">
        <f>SUM(I59:$I$110)</f>
        <v>3705622.2213914413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5">
        <f t="shared" si="0"/>
        <v>0</v>
      </c>
      <c r="Y59" s="273">
        <f t="shared" si="1"/>
        <v>-3621.3458939250004</v>
      </c>
      <c r="Z59" s="173">
        <v>7532.5751857280602</v>
      </c>
    </row>
    <row r="60" spans="1:26">
      <c r="B60" s="4"/>
      <c r="C60" s="10">
        <v>7</v>
      </c>
      <c r="D60" s="67">
        <f t="shared" si="2"/>
        <v>7242.6917878500008</v>
      </c>
      <c r="E60" s="173">
        <v>0</v>
      </c>
      <c r="F60" s="10">
        <v>0</v>
      </c>
      <c r="G60" s="274">
        <f t="shared" si="4"/>
        <v>3621.3458939250004</v>
      </c>
      <c r="H60" s="10">
        <f>SUM(G60:$G$105)</f>
        <v>331021.67016193346</v>
      </c>
      <c r="I60" s="10">
        <f t="shared" si="3"/>
        <v>164605.4986074855</v>
      </c>
      <c r="J60" s="10">
        <f>SUM(I60:$I$110)</f>
        <v>3539206.0498369923</v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5">
        <f t="shared" si="0"/>
        <v>0</v>
      </c>
      <c r="Y60" s="273">
        <f t="shared" si="1"/>
        <v>-3621.3458939250004</v>
      </c>
      <c r="Z60" s="173">
        <v>7424.5038044785197</v>
      </c>
    </row>
    <row r="61" spans="1:26">
      <c r="B61" s="4"/>
      <c r="C61" s="10">
        <v>7.5</v>
      </c>
      <c r="D61" s="67">
        <f t="shared" si="2"/>
        <v>7242.6917878500008</v>
      </c>
      <c r="E61" s="173">
        <v>0</v>
      </c>
      <c r="F61" s="10">
        <v>0</v>
      </c>
      <c r="G61" s="274">
        <f t="shared" si="4"/>
        <v>3621.3458939250004</v>
      </c>
      <c r="H61" s="10">
        <f>SUM(G61:$G$105)</f>
        <v>327400.32426800847</v>
      </c>
      <c r="I61" s="10">
        <f t="shared" si="3"/>
        <v>162794.82566052297</v>
      </c>
      <c r="J61" s="10">
        <f>SUM(I61:$I$110)</f>
        <v>3374600.5512295067</v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5">
        <f t="shared" si="0"/>
        <v>0</v>
      </c>
      <c r="Y61" s="273">
        <f t="shared" si="1"/>
        <v>-3621.3458939250004</v>
      </c>
      <c r="Z61" s="173">
        <v>7316.43242322898</v>
      </c>
    </row>
    <row r="62" spans="1:26">
      <c r="B62" s="4"/>
      <c r="C62" s="10">
        <v>8</v>
      </c>
      <c r="D62" s="67">
        <f t="shared" si="2"/>
        <v>7242.6917878500008</v>
      </c>
      <c r="E62" s="173">
        <v>0</v>
      </c>
      <c r="F62" s="10">
        <v>0</v>
      </c>
      <c r="G62" s="274">
        <f t="shared" si="4"/>
        <v>3621.3458939250004</v>
      </c>
      <c r="H62" s="10">
        <f>SUM(G62:$G$105)</f>
        <v>323778.97837408347</v>
      </c>
      <c r="I62" s="10">
        <f t="shared" si="3"/>
        <v>160984.1527135605</v>
      </c>
      <c r="J62" s="10">
        <f>SUM(I62:$I$110)</f>
        <v>3211805.7255689837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5">
        <f t="shared" si="0"/>
        <v>0</v>
      </c>
      <c r="Y62" s="273">
        <f t="shared" si="1"/>
        <v>-3621.3458939250004</v>
      </c>
      <c r="Z62" s="173">
        <v>7208.3610419794404</v>
      </c>
    </row>
    <row r="63" spans="1:26">
      <c r="B63" s="4"/>
      <c r="C63" s="10">
        <v>8.5</v>
      </c>
      <c r="D63" s="67">
        <f t="shared" si="2"/>
        <v>7242.6917878500008</v>
      </c>
      <c r="E63" s="173">
        <v>0</v>
      </c>
      <c r="F63" s="10">
        <v>0</v>
      </c>
      <c r="G63" s="274">
        <f t="shared" si="4"/>
        <v>3621.3458939250004</v>
      </c>
      <c r="H63" s="10">
        <f>SUM(G63:$G$105)</f>
        <v>320157.63248015847</v>
      </c>
      <c r="I63" s="10">
        <f t="shared" si="3"/>
        <v>159173.47976659797</v>
      </c>
      <c r="J63" s="10">
        <f>SUM(I63:$I$110)</f>
        <v>3050821.5728554232</v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5">
        <f t="shared" si="0"/>
        <v>0</v>
      </c>
      <c r="Y63" s="273">
        <f t="shared" si="1"/>
        <v>-3621.3458939250004</v>
      </c>
      <c r="Z63" s="173">
        <v>7100.2896607298999</v>
      </c>
    </row>
    <row r="64" spans="1:26">
      <c r="B64" s="4"/>
      <c r="C64" s="10">
        <v>9</v>
      </c>
      <c r="D64" s="67">
        <f t="shared" si="2"/>
        <v>7242.6917878500008</v>
      </c>
      <c r="E64" s="173">
        <v>0</v>
      </c>
      <c r="F64" s="10">
        <v>0</v>
      </c>
      <c r="G64" s="274">
        <f t="shared" si="4"/>
        <v>3621.3458939250004</v>
      </c>
      <c r="H64" s="10">
        <f>SUM(G64:$G$105)</f>
        <v>316536.28658623347</v>
      </c>
      <c r="I64" s="10">
        <f t="shared" si="3"/>
        <v>157362.8068196355</v>
      </c>
      <c r="J64" s="10">
        <f>SUM(I64:$I$110)</f>
        <v>2891648.0930888252</v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5">
        <f t="shared" si="0"/>
        <v>0</v>
      </c>
      <c r="Y64" s="273">
        <f t="shared" si="1"/>
        <v>-3621.3458939250004</v>
      </c>
      <c r="Z64" s="173">
        <v>6992.2182794803603</v>
      </c>
    </row>
    <row r="65" spans="3:26">
      <c r="C65" s="10">
        <v>9.5</v>
      </c>
      <c r="D65" s="67">
        <f t="shared" si="2"/>
        <v>7242.6917878500008</v>
      </c>
      <c r="E65" s="173">
        <v>0</v>
      </c>
      <c r="F65" s="10">
        <v>0</v>
      </c>
      <c r="G65" s="274">
        <f t="shared" si="4"/>
        <v>3621.3458939250004</v>
      </c>
      <c r="H65" s="10">
        <f>SUM(G65:$G$105)</f>
        <v>312914.94069230848</v>
      </c>
      <c r="I65" s="10">
        <f t="shared" si="3"/>
        <v>155552.13387267297</v>
      </c>
      <c r="J65" s="10">
        <f>SUM(I65:$I$110)</f>
        <v>2734285.2862691898</v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5">
        <f t="shared" si="0"/>
        <v>0</v>
      </c>
      <c r="Y65" s="273">
        <f t="shared" si="1"/>
        <v>-3621.3458939250004</v>
      </c>
      <c r="Z65" s="173">
        <v>6884.1468982308197</v>
      </c>
    </row>
    <row r="66" spans="3:26">
      <c r="C66" s="10">
        <v>10</v>
      </c>
      <c r="D66" s="67">
        <f t="shared" si="2"/>
        <v>7242.6917878500008</v>
      </c>
      <c r="E66" s="173">
        <v>0</v>
      </c>
      <c r="F66" s="10">
        <v>0</v>
      </c>
      <c r="G66" s="274">
        <f t="shared" si="4"/>
        <v>3621.3458939250004</v>
      </c>
      <c r="H66" s="10">
        <f>SUM(G66:$G$105)</f>
        <v>309293.59479838348</v>
      </c>
      <c r="I66" s="10">
        <f t="shared" si="3"/>
        <v>153741.4609257105</v>
      </c>
      <c r="J66" s="10">
        <f>SUM(I66:$I$110)</f>
        <v>2578733.1523965169</v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5">
        <f t="shared" si="0"/>
        <v>0</v>
      </c>
      <c r="Y66" s="273">
        <f t="shared" si="1"/>
        <v>-3621.3458939250004</v>
      </c>
      <c r="Z66" s="173">
        <v>6776.0755169812701</v>
      </c>
    </row>
    <row r="67" spans="3:26">
      <c r="C67" s="10">
        <v>10.5</v>
      </c>
      <c r="D67" s="67">
        <f t="shared" si="2"/>
        <v>7242.6917878500008</v>
      </c>
      <c r="E67" s="173">
        <v>0</v>
      </c>
      <c r="F67" s="10">
        <v>0</v>
      </c>
      <c r="G67" s="274">
        <f t="shared" si="4"/>
        <v>3621.3458939250004</v>
      </c>
      <c r="H67" s="10">
        <f>SUM(G67:$G$105)</f>
        <v>305672.24890445848</v>
      </c>
      <c r="I67" s="10">
        <f t="shared" si="3"/>
        <v>151930.78797874798</v>
      </c>
      <c r="J67" s="10">
        <f>SUM(I67:$I$110)</f>
        <v>2424991.6914708065</v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5">
        <f t="shared" si="0"/>
        <v>0</v>
      </c>
      <c r="Y67" s="273">
        <f t="shared" si="1"/>
        <v>-3621.3458939250004</v>
      </c>
      <c r="Z67" s="173">
        <v>6668.0041357317295</v>
      </c>
    </row>
    <row r="68" spans="3:26">
      <c r="C68" s="10">
        <v>11</v>
      </c>
      <c r="D68" s="67">
        <f t="shared" si="2"/>
        <v>7242.6917878500008</v>
      </c>
      <c r="E68" s="173">
        <v>0</v>
      </c>
      <c r="F68" s="10">
        <v>0</v>
      </c>
      <c r="G68" s="274">
        <f t="shared" si="4"/>
        <v>3621.3458939250004</v>
      </c>
      <c r="H68" s="10">
        <f>SUM(G68:$G$105)</f>
        <v>302050.90301053348</v>
      </c>
      <c r="I68" s="10">
        <f t="shared" si="3"/>
        <v>150120.11503178551</v>
      </c>
      <c r="J68" s="10">
        <f>SUM(I68:$I$110)</f>
        <v>2273060.9034920596</v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5">
        <f t="shared" si="0"/>
        <v>0</v>
      </c>
      <c r="Y68" s="273">
        <f t="shared" si="1"/>
        <v>-3621.3458939250004</v>
      </c>
      <c r="Z68" s="173">
        <v>6559.9327544821899</v>
      </c>
    </row>
    <row r="69" spans="3:26">
      <c r="C69" s="10">
        <v>11.5</v>
      </c>
      <c r="D69" s="67">
        <f t="shared" si="2"/>
        <v>7242.6917878500008</v>
      </c>
      <c r="E69" s="173">
        <v>0</v>
      </c>
      <c r="F69" s="10">
        <v>0</v>
      </c>
      <c r="G69" s="274">
        <f t="shared" si="4"/>
        <v>3621.3458939250004</v>
      </c>
      <c r="H69" s="10">
        <f>SUM(G69:$G$105)</f>
        <v>298429.55711660848</v>
      </c>
      <c r="I69" s="10">
        <f t="shared" si="3"/>
        <v>148309.44208482298</v>
      </c>
      <c r="J69" s="10">
        <f>SUM(I69:$I$110)</f>
        <v>2122940.7884602733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5">
        <f t="shared" si="0"/>
        <v>0</v>
      </c>
      <c r="Y69" s="273">
        <f t="shared" si="1"/>
        <v>-3621.3458939250004</v>
      </c>
      <c r="Z69" s="173">
        <v>6451.8613732326503</v>
      </c>
    </row>
    <row r="70" spans="3:26">
      <c r="C70" s="10">
        <v>12</v>
      </c>
      <c r="D70" s="67">
        <f t="shared" si="2"/>
        <v>7242.6917878500008</v>
      </c>
      <c r="E70" s="173">
        <v>0</v>
      </c>
      <c r="F70" s="10">
        <v>0</v>
      </c>
      <c r="G70" s="274">
        <f t="shared" si="4"/>
        <v>3621.3458939250004</v>
      </c>
      <c r="H70" s="10">
        <f>SUM(G70:$G$105)</f>
        <v>294808.21122268349</v>
      </c>
      <c r="I70" s="10">
        <f t="shared" si="3"/>
        <v>146498.76913786051</v>
      </c>
      <c r="J70" s="10">
        <f>SUM(I70:$I$110)</f>
        <v>1974631.3463754503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5">
        <f t="shared" si="0"/>
        <v>0</v>
      </c>
      <c r="Y70" s="273">
        <f t="shared" si="1"/>
        <v>-3621.3458939250004</v>
      </c>
      <c r="Z70" s="173">
        <v>6343.7900123005302</v>
      </c>
    </row>
    <row r="71" spans="3:26">
      <c r="C71" s="10">
        <v>12.5</v>
      </c>
      <c r="D71" s="67">
        <f t="shared" si="2"/>
        <v>7242.6917878500008</v>
      </c>
      <c r="E71" s="173">
        <v>0</v>
      </c>
      <c r="F71" s="10">
        <v>0</v>
      </c>
      <c r="G71" s="274">
        <f t="shared" si="4"/>
        <v>3621.3458939250004</v>
      </c>
      <c r="H71" s="10">
        <f>SUM(G71:$G$105)</f>
        <v>291186.86532875849</v>
      </c>
      <c r="I71" s="10">
        <f t="shared" si="3"/>
        <v>144688.09619089798</v>
      </c>
      <c r="J71" s="10">
        <f>SUM(I71:$I$110)</f>
        <v>1828132.57723759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5">
        <f t="shared" si="0"/>
        <v>0</v>
      </c>
      <c r="Y71" s="273">
        <f t="shared" si="1"/>
        <v>-3621.3458939250004</v>
      </c>
      <c r="Z71" s="173">
        <v>6235.7186310509896</v>
      </c>
    </row>
    <row r="72" spans="3:26">
      <c r="C72" s="10">
        <v>13</v>
      </c>
      <c r="D72" s="67">
        <f t="shared" si="2"/>
        <v>7242.6917878500008</v>
      </c>
      <c r="E72" s="173">
        <v>0</v>
      </c>
      <c r="F72" s="10">
        <v>0</v>
      </c>
      <c r="G72" s="274">
        <f t="shared" si="4"/>
        <v>3621.3458939250004</v>
      </c>
      <c r="H72" s="10">
        <f>SUM(G72:$G$105)</f>
        <v>287565.51943483349</v>
      </c>
      <c r="I72" s="10">
        <f t="shared" si="3"/>
        <v>142877.42324393551</v>
      </c>
      <c r="J72" s="10">
        <f>SUM(I72:$I$110)</f>
        <v>1683444.4810466918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5">
        <f t="shared" si="0"/>
        <v>0</v>
      </c>
      <c r="Y72" s="273">
        <f t="shared" si="1"/>
        <v>-3621.3458939250004</v>
      </c>
      <c r="Z72" s="173">
        <v>6127.64724980145</v>
      </c>
    </row>
    <row r="73" spans="3:26">
      <c r="C73" s="10">
        <v>13.5</v>
      </c>
      <c r="D73" s="67">
        <f t="shared" si="2"/>
        <v>7242.6917878500008</v>
      </c>
      <c r="E73" s="173">
        <v>0</v>
      </c>
      <c r="F73" s="10">
        <v>0</v>
      </c>
      <c r="G73" s="274">
        <f t="shared" si="4"/>
        <v>3621.3458939250004</v>
      </c>
      <c r="H73" s="10">
        <f>SUM(G73:$G$105)</f>
        <v>283944.17354090849</v>
      </c>
      <c r="I73" s="10">
        <f t="shared" si="3"/>
        <v>141066.75029697298</v>
      </c>
      <c r="J73" s="10">
        <f>SUM(I73:$I$110)</f>
        <v>1540567.0578027561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5">
        <f t="shared" si="0"/>
        <v>0</v>
      </c>
      <c r="Y73" s="273">
        <f t="shared" si="1"/>
        <v>-3621.3458939250004</v>
      </c>
      <c r="Z73" s="173">
        <v>6019.5758685519104</v>
      </c>
    </row>
    <row r="74" spans="3:26">
      <c r="C74" s="10">
        <v>14</v>
      </c>
      <c r="D74" s="67">
        <f t="shared" si="2"/>
        <v>7242.6917878500008</v>
      </c>
      <c r="E74" s="173">
        <v>0</v>
      </c>
      <c r="F74" s="10">
        <v>0</v>
      </c>
      <c r="G74" s="274">
        <f t="shared" si="4"/>
        <v>3621.3458939250004</v>
      </c>
      <c r="H74" s="10">
        <f>SUM(G74:$G$105)</f>
        <v>280322.8276469835</v>
      </c>
      <c r="I74" s="10">
        <f t="shared" si="3"/>
        <v>139256.07735001048</v>
      </c>
      <c r="J74" s="10">
        <f>SUM(I74:$I$110)</f>
        <v>1399500.3075057834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5">
        <f t="shared" si="0"/>
        <v>0</v>
      </c>
      <c r="Y74" s="273">
        <f t="shared" si="1"/>
        <v>-3621.3458939250004</v>
      </c>
      <c r="Z74" s="173">
        <v>5911.5044873023699</v>
      </c>
    </row>
    <row r="75" spans="3:26">
      <c r="C75" s="10">
        <v>14.5</v>
      </c>
      <c r="D75" s="67">
        <f t="shared" si="2"/>
        <v>7242.6917878500008</v>
      </c>
      <c r="E75" s="173">
        <v>0</v>
      </c>
      <c r="F75" s="10">
        <v>0</v>
      </c>
      <c r="G75" s="274">
        <f t="shared" si="4"/>
        <v>3621.3458939250004</v>
      </c>
      <c r="H75" s="10">
        <f>SUM(G75:$G$105)</f>
        <v>276701.48175305844</v>
      </c>
      <c r="I75" s="10">
        <f t="shared" si="3"/>
        <v>137445.40440304799</v>
      </c>
      <c r="J75" s="10">
        <f>SUM(I75:$I$110)</f>
        <v>1260244.2301557728</v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5">
        <f t="shared" si="0"/>
        <v>0</v>
      </c>
      <c r="Y75" s="273">
        <f t="shared" si="1"/>
        <v>-3621.3458939250004</v>
      </c>
      <c r="Z75" s="173">
        <v>5803.4331060528302</v>
      </c>
    </row>
    <row r="76" spans="3:26">
      <c r="C76" s="10">
        <v>15</v>
      </c>
      <c r="D76" s="67">
        <f t="shared" si="2"/>
        <v>7242.6917878500008</v>
      </c>
      <c r="E76" s="173">
        <v>0</v>
      </c>
      <c r="F76" s="10">
        <v>0</v>
      </c>
      <c r="G76" s="274">
        <f t="shared" si="4"/>
        <v>3621.3458939250004</v>
      </c>
      <c r="H76" s="10">
        <f>SUM(G76:$G$105)</f>
        <v>273080.13585913344</v>
      </c>
      <c r="I76" s="10">
        <f t="shared" si="3"/>
        <v>135634.73145608546</v>
      </c>
      <c r="J76" s="10">
        <f>SUM(I76:$I$110)</f>
        <v>1122798.8257527249</v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5">
        <f t="shared" si="0"/>
        <v>0</v>
      </c>
      <c r="Y76" s="273">
        <f t="shared" si="1"/>
        <v>-3621.3458939250004</v>
      </c>
      <c r="Z76" s="173">
        <v>5695.3617248032897</v>
      </c>
    </row>
    <row r="77" spans="3:26">
      <c r="C77" s="10">
        <v>15.5</v>
      </c>
      <c r="D77" s="67">
        <f t="shared" si="2"/>
        <v>7242.6917878500008</v>
      </c>
      <c r="E77" s="173">
        <v>0</v>
      </c>
      <c r="F77" s="10">
        <v>0</v>
      </c>
      <c r="G77" s="274">
        <f t="shared" si="4"/>
        <v>3621.3458939250004</v>
      </c>
      <c r="H77" s="10">
        <f>SUM(G77:$G$105)</f>
        <v>269458.78996520845</v>
      </c>
      <c r="I77" s="10">
        <f t="shared" si="3"/>
        <v>133824.05850912299</v>
      </c>
      <c r="J77" s="10">
        <f>SUM(I77:$I$110)</f>
        <v>987164.09429663932</v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5">
        <f t="shared" si="0"/>
        <v>0</v>
      </c>
      <c r="Y77" s="273">
        <f t="shared" si="1"/>
        <v>-3621.3458939250004</v>
      </c>
      <c r="Z77" s="173">
        <v>5587.2903435537501</v>
      </c>
    </row>
    <row r="78" spans="3:26">
      <c r="C78" s="10">
        <v>16</v>
      </c>
      <c r="D78" s="67">
        <f t="shared" si="2"/>
        <v>7242.6917878500008</v>
      </c>
      <c r="E78" s="173">
        <v>0</v>
      </c>
      <c r="F78" s="10">
        <v>0</v>
      </c>
      <c r="G78" s="274">
        <f t="shared" si="4"/>
        <v>3621.3458939250004</v>
      </c>
      <c r="H78" s="10">
        <f>SUM(G78:$G$105)</f>
        <v>265837.44407128345</v>
      </c>
      <c r="I78" s="10">
        <f t="shared" si="3"/>
        <v>132013.38556216046</v>
      </c>
      <c r="J78" s="10">
        <f>SUM(I78:$I$110)</f>
        <v>853340.03578751627</v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5">
        <f t="shared" si="0"/>
        <v>0</v>
      </c>
      <c r="Y78" s="273">
        <f t="shared" si="1"/>
        <v>-3621.3458939250004</v>
      </c>
      <c r="Z78" s="173">
        <v>5479.2189623042104</v>
      </c>
    </row>
    <row r="79" spans="3:26">
      <c r="C79" s="10">
        <v>16.5</v>
      </c>
      <c r="D79" s="67">
        <f t="shared" si="2"/>
        <v>7242.6917878500008</v>
      </c>
      <c r="E79" s="173">
        <v>0</v>
      </c>
      <c r="F79" s="10">
        <v>0</v>
      </c>
      <c r="G79" s="274">
        <f t="shared" si="4"/>
        <v>3621.3458939250004</v>
      </c>
      <c r="H79" s="10">
        <f>SUM(G79:$G$105)</f>
        <v>262216.09817735845</v>
      </c>
      <c r="I79" s="10">
        <f t="shared" si="3"/>
        <v>130202.71261519798</v>
      </c>
      <c r="J79" s="10">
        <f>SUM(I79:$I$110)</f>
        <v>721326.65022535576</v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5">
        <f t="shared" si="0"/>
        <v>-169437.21637500002</v>
      </c>
      <c r="Y79" s="273">
        <f t="shared" si="1"/>
        <v>-173058.56226892502</v>
      </c>
      <c r="Z79" s="173">
        <v>5371.1475810546699</v>
      </c>
    </row>
    <row r="80" spans="3:26">
      <c r="C80" s="10">
        <v>17</v>
      </c>
      <c r="D80" s="67">
        <f t="shared" si="2"/>
        <v>7242.6917878500008</v>
      </c>
      <c r="E80" s="173">
        <v>0</v>
      </c>
      <c r="F80" s="10">
        <f>I32*I29</f>
        <v>169437.21637500002</v>
      </c>
      <c r="G80" s="274">
        <f t="shared" si="4"/>
        <v>173058.56226892502</v>
      </c>
      <c r="H80" s="10">
        <f>SUM(G80:$G$105)</f>
        <v>258594.75228343345</v>
      </c>
      <c r="I80" s="10">
        <f t="shared" si="3"/>
        <v>86032.735574485472</v>
      </c>
      <c r="J80" s="10">
        <f>SUM(I80:$I$110)</f>
        <v>591123.93761015777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5">
        <f t="shared" si="0"/>
        <v>0</v>
      </c>
      <c r="Y80" s="273">
        <f t="shared" si="1"/>
        <v>-3621.3458939250004</v>
      </c>
      <c r="Z80" s="173">
        <v>5263.0761998051303</v>
      </c>
    </row>
    <row r="81" spans="3:26">
      <c r="C81" s="10">
        <v>17.5</v>
      </c>
      <c r="D81" s="67">
        <f t="shared" si="2"/>
        <v>7242.6917878500008</v>
      </c>
      <c r="E81" s="173">
        <v>0</v>
      </c>
      <c r="F81" s="10">
        <v>0</v>
      </c>
      <c r="G81" s="274">
        <f t="shared" si="4"/>
        <v>3621.3458939250004</v>
      </c>
      <c r="H81" s="10">
        <f>SUM(G81:$G$105)</f>
        <v>85536.190014508466</v>
      </c>
      <c r="I81" s="10">
        <f t="shared" si="3"/>
        <v>41862.758533772983</v>
      </c>
      <c r="J81" s="10">
        <f>SUM(I81:$I$110)</f>
        <v>505091.20203567244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5">
        <f t="shared" si="0"/>
        <v>0</v>
      </c>
      <c r="Y81" s="273">
        <f t="shared" si="1"/>
        <v>-3621.3458939250004</v>
      </c>
      <c r="Z81" s="173">
        <v>5155.0048185555897</v>
      </c>
    </row>
    <row r="82" spans="3:26">
      <c r="C82" s="10">
        <v>18</v>
      </c>
      <c r="D82" s="67">
        <f t="shared" si="2"/>
        <v>7242.6917878500008</v>
      </c>
      <c r="E82" s="173">
        <v>0</v>
      </c>
      <c r="F82" s="10">
        <v>0</v>
      </c>
      <c r="G82" s="274">
        <f t="shared" si="4"/>
        <v>3621.3458939250004</v>
      </c>
      <c r="H82" s="10">
        <f>SUM(G82:$G$105)</f>
        <v>81914.844120583468</v>
      </c>
      <c r="I82" s="10">
        <f t="shared" si="3"/>
        <v>40052.085586810485</v>
      </c>
      <c r="J82" s="10">
        <f>SUM(I82:$I$110)</f>
        <v>463228.44350189943</v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5">
        <f t="shared" si="0"/>
        <v>0</v>
      </c>
      <c r="Y82" s="273">
        <f t="shared" si="1"/>
        <v>-3621.3458939250004</v>
      </c>
      <c r="Z82" s="173">
        <v>5046.9334373060501</v>
      </c>
    </row>
    <row r="83" spans="3:26">
      <c r="C83" s="10">
        <v>18.5</v>
      </c>
      <c r="D83" s="67">
        <f t="shared" si="2"/>
        <v>7242.6917878500008</v>
      </c>
      <c r="E83" s="173">
        <v>0</v>
      </c>
      <c r="F83" s="10">
        <v>0</v>
      </c>
      <c r="G83" s="274">
        <f t="shared" si="4"/>
        <v>3621.3458939250004</v>
      </c>
      <c r="H83" s="10">
        <f>SUM(G83:$G$105)</f>
        <v>78293.49822665847</v>
      </c>
      <c r="I83" s="10">
        <f t="shared" si="3"/>
        <v>38241.412639847986</v>
      </c>
      <c r="J83" s="10">
        <f>SUM(I83:$I$110)</f>
        <v>423176.35791508894</v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5">
        <f t="shared" si="0"/>
        <v>0</v>
      </c>
      <c r="Y83" s="273">
        <f t="shared" si="1"/>
        <v>-3621.3458939250004</v>
      </c>
      <c r="Z83" s="173">
        <v>4938.8620560565096</v>
      </c>
    </row>
    <row r="84" spans="3:26">
      <c r="C84" s="10">
        <v>19</v>
      </c>
      <c r="D84" s="67">
        <f t="shared" si="2"/>
        <v>7242.6917878500008</v>
      </c>
      <c r="E84" s="173">
        <v>0</v>
      </c>
      <c r="F84" s="10">
        <v>0</v>
      </c>
      <c r="G84" s="274">
        <f t="shared" si="4"/>
        <v>3621.3458939250004</v>
      </c>
      <c r="H84" s="10">
        <f>SUM(G84:$G$105)</f>
        <v>74672.152332733473</v>
      </c>
      <c r="I84" s="10">
        <f t="shared" si="3"/>
        <v>36430.739692885487</v>
      </c>
      <c r="J84" s="10">
        <f>SUM(I84:$I$110)</f>
        <v>384934.94527524099</v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5">
        <f t="shared" si="0"/>
        <v>0</v>
      </c>
      <c r="Y84" s="273">
        <f t="shared" si="1"/>
        <v>-3621.3458939250004</v>
      </c>
      <c r="Z84" s="173">
        <v>4830.7906748069699</v>
      </c>
    </row>
    <row r="85" spans="3:26">
      <c r="C85" s="10">
        <v>19.5</v>
      </c>
      <c r="D85" s="67">
        <f t="shared" si="2"/>
        <v>7242.6917878500008</v>
      </c>
      <c r="E85" s="173">
        <v>0</v>
      </c>
      <c r="F85" s="10">
        <v>0</v>
      </c>
      <c r="G85" s="274">
        <f t="shared" si="4"/>
        <v>3621.3458939250004</v>
      </c>
      <c r="H85" s="10">
        <f>SUM(G85:$G$105)</f>
        <v>71050.806438808475</v>
      </c>
      <c r="I85" s="10">
        <f t="shared" si="3"/>
        <v>34620.066745922988</v>
      </c>
      <c r="J85" s="10">
        <f>SUM(I85:$I$110)</f>
        <v>348504.20558235556</v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5">
        <f t="shared" si="0"/>
        <v>0</v>
      </c>
      <c r="Y85" s="273">
        <f t="shared" si="1"/>
        <v>-3621.3458939250004</v>
      </c>
      <c r="Z85" s="173">
        <v>4722.7193138748498</v>
      </c>
    </row>
    <row r="86" spans="3:26">
      <c r="C86" s="10">
        <v>20</v>
      </c>
      <c r="D86" s="67">
        <f t="shared" si="2"/>
        <v>7242.6917878500008</v>
      </c>
      <c r="E86" s="173">
        <v>0</v>
      </c>
      <c r="F86" s="10">
        <v>0</v>
      </c>
      <c r="G86" s="274">
        <f t="shared" si="4"/>
        <v>3621.3458939250004</v>
      </c>
      <c r="H86" s="10">
        <f>SUM(G86:$G$105)</f>
        <v>67429.460544883477</v>
      </c>
      <c r="I86" s="10">
        <f t="shared" si="3"/>
        <v>32809.393798960489</v>
      </c>
      <c r="J86" s="10">
        <f>SUM(I86:$I$110)</f>
        <v>313884.1388364326</v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5">
        <f t="shared" si="0"/>
        <v>0</v>
      </c>
      <c r="Y86" s="273">
        <f t="shared" si="1"/>
        <v>-3621.3458939250004</v>
      </c>
      <c r="Z86" s="173">
        <v>4614.6479326253102</v>
      </c>
    </row>
    <row r="87" spans="3:26">
      <c r="C87" s="10">
        <v>20.5</v>
      </c>
      <c r="D87" s="67">
        <f t="shared" si="2"/>
        <v>7242.6917878500008</v>
      </c>
      <c r="E87" s="173">
        <v>0</v>
      </c>
      <c r="F87" s="10">
        <v>0</v>
      </c>
      <c r="G87" s="274">
        <f t="shared" si="4"/>
        <v>3621.3458939250004</v>
      </c>
      <c r="H87" s="10">
        <f>SUM(G87:$G$105)</f>
        <v>63808.11465095848</v>
      </c>
      <c r="I87" s="10">
        <f t="shared" si="3"/>
        <v>30998.72085199799</v>
      </c>
      <c r="J87" s="10">
        <f>SUM(I87:$I$110)</f>
        <v>281074.74503747211</v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5">
        <f t="shared" si="0"/>
        <v>0</v>
      </c>
      <c r="Y87" s="273">
        <f t="shared" si="1"/>
        <v>-3621.3458939250004</v>
      </c>
      <c r="Z87" s="173">
        <v>4506.5765513757697</v>
      </c>
    </row>
    <row r="88" spans="3:26">
      <c r="C88" s="10">
        <v>21</v>
      </c>
      <c r="D88" s="67">
        <f t="shared" si="2"/>
        <v>7242.6917878500008</v>
      </c>
      <c r="E88" s="173">
        <v>0</v>
      </c>
      <c r="F88" s="10">
        <v>0</v>
      </c>
      <c r="G88" s="274">
        <f t="shared" si="4"/>
        <v>3621.3458939250004</v>
      </c>
      <c r="H88" s="10">
        <f>SUM(G88:$G$105)</f>
        <v>60186.768757033482</v>
      </c>
      <c r="I88" s="10">
        <f t="shared" si="3"/>
        <v>29188.047905035492</v>
      </c>
      <c r="J88" s="10">
        <f>SUM(I88:$I$110)</f>
        <v>250076.02418547421</v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5">
        <f t="shared" si="0"/>
        <v>0</v>
      </c>
      <c r="Y88" s="273">
        <f t="shared" si="1"/>
        <v>-3621.3458939250004</v>
      </c>
      <c r="Z88" s="173">
        <v>4398.50517012623</v>
      </c>
    </row>
    <row r="89" spans="3:26">
      <c r="C89" s="10">
        <v>21.5</v>
      </c>
      <c r="D89" s="67">
        <f t="shared" si="2"/>
        <v>7242.6917878500008</v>
      </c>
      <c r="E89" s="173">
        <v>0</v>
      </c>
      <c r="F89" s="10">
        <v>0</v>
      </c>
      <c r="G89" s="274">
        <f t="shared" si="4"/>
        <v>3621.3458939250004</v>
      </c>
      <c r="H89" s="10">
        <f>SUM(G89:$G$105)</f>
        <v>56565.422863108484</v>
      </c>
      <c r="I89" s="10">
        <f t="shared" si="3"/>
        <v>27377.374958072993</v>
      </c>
      <c r="J89" s="10">
        <f>SUM(I89:$I$110)</f>
        <v>220887.97628043871</v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5">
        <f t="shared" si="0"/>
        <v>0</v>
      </c>
      <c r="Y89" s="273">
        <f t="shared" si="1"/>
        <v>-3621.3458939250004</v>
      </c>
      <c r="Z89" s="173">
        <v>4290.4337888766904</v>
      </c>
    </row>
    <row r="90" spans="3:26">
      <c r="C90" s="10">
        <v>22</v>
      </c>
      <c r="D90" s="67">
        <f t="shared" si="2"/>
        <v>7242.6917878500008</v>
      </c>
      <c r="E90" s="173">
        <v>0</v>
      </c>
      <c r="F90" s="10">
        <v>0</v>
      </c>
      <c r="G90" s="274">
        <f t="shared" si="4"/>
        <v>3621.3458939250004</v>
      </c>
      <c r="H90" s="10">
        <f>SUM(G90:$G$105)</f>
        <v>52944.076969183487</v>
      </c>
      <c r="I90" s="10">
        <f t="shared" si="3"/>
        <v>25566.702011110494</v>
      </c>
      <c r="J90" s="10">
        <f>SUM(I90:$I$110)</f>
        <v>193510.60132236572</v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5">
        <f t="shared" si="0"/>
        <v>0</v>
      </c>
      <c r="Y90" s="273">
        <f t="shared" si="1"/>
        <v>-3621.3458939250004</v>
      </c>
      <c r="Z90" s="173">
        <v>4182.3624076271499</v>
      </c>
    </row>
    <row r="91" spans="3:26">
      <c r="C91" s="10">
        <v>22.5</v>
      </c>
      <c r="D91" s="67">
        <f t="shared" si="2"/>
        <v>7242.6917878500008</v>
      </c>
      <c r="E91" s="173">
        <v>0</v>
      </c>
      <c r="F91" s="10">
        <v>0</v>
      </c>
      <c r="G91" s="274">
        <f t="shared" si="4"/>
        <v>3621.3458939250004</v>
      </c>
      <c r="H91" s="10">
        <f>SUM(G91:$G$105)</f>
        <v>49322.731075258489</v>
      </c>
      <c r="I91" s="10">
        <f t="shared" si="3"/>
        <v>23756.029064147995</v>
      </c>
      <c r="J91" s="10">
        <f>SUM(I91:$I$110)</f>
        <v>167943.89931125523</v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5">
        <f t="shared" si="0"/>
        <v>0</v>
      </c>
      <c r="Y91" s="273">
        <f t="shared" si="1"/>
        <v>-3621.3458939250004</v>
      </c>
      <c r="Z91" s="173">
        <v>4074.2910263776098</v>
      </c>
    </row>
    <row r="92" spans="3:26">
      <c r="C92" s="10">
        <v>23</v>
      </c>
      <c r="D92" s="67">
        <f t="shared" si="2"/>
        <v>7242.6917878500008</v>
      </c>
      <c r="E92" s="173">
        <v>0</v>
      </c>
      <c r="F92" s="10">
        <v>0</v>
      </c>
      <c r="G92" s="274">
        <f t="shared" si="4"/>
        <v>3621.3458939250004</v>
      </c>
      <c r="H92" s="10">
        <f>SUM(G92:$G$105)</f>
        <v>45701.385181333491</v>
      </c>
      <c r="I92" s="10">
        <f t="shared" si="3"/>
        <v>21945.356117185496</v>
      </c>
      <c r="J92" s="10">
        <f>SUM(I92:$I$110)</f>
        <v>144187.87024710723</v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5">
        <f t="shared" si="0"/>
        <v>0</v>
      </c>
      <c r="Y92" s="273">
        <f t="shared" si="1"/>
        <v>-3621.3458939250004</v>
      </c>
      <c r="Z92" s="173">
        <v>3966.2196451280602</v>
      </c>
    </row>
    <row r="93" spans="3:26">
      <c r="C93" s="10">
        <v>23.5</v>
      </c>
      <c r="D93" s="67">
        <f t="shared" si="2"/>
        <v>7242.6917878500008</v>
      </c>
      <c r="E93" s="173">
        <v>0</v>
      </c>
      <c r="F93" s="10">
        <v>0</v>
      </c>
      <c r="G93" s="274">
        <f t="shared" si="4"/>
        <v>3621.3458939250004</v>
      </c>
      <c r="H93" s="10">
        <f>SUM(G93:$G$105)</f>
        <v>42080.039287408494</v>
      </c>
      <c r="I93" s="10">
        <f t="shared" si="3"/>
        <v>20134.683170222997</v>
      </c>
      <c r="J93" s="10">
        <f>SUM(I93:$I$110)</f>
        <v>122242.51412992166</v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5">
        <f t="shared" si="0"/>
        <v>0</v>
      </c>
      <c r="Y93" s="273">
        <f t="shared" si="1"/>
        <v>-3621.3458939250004</v>
      </c>
      <c r="Z93" s="173">
        <v>3858.1482638785201</v>
      </c>
    </row>
    <row r="94" spans="3:26">
      <c r="C94" s="10">
        <v>24</v>
      </c>
      <c r="D94" s="67">
        <f t="shared" si="2"/>
        <v>7242.6917878500008</v>
      </c>
      <c r="E94" s="173">
        <v>0</v>
      </c>
      <c r="F94" s="10">
        <v>0</v>
      </c>
      <c r="G94" s="274">
        <f t="shared" si="4"/>
        <v>3621.3458939250004</v>
      </c>
      <c r="H94" s="10">
        <f>SUM(G94:$G$105)</f>
        <v>38458.693393483496</v>
      </c>
      <c r="I94" s="10">
        <f t="shared" si="3"/>
        <v>18324.010223260499</v>
      </c>
      <c r="J94" s="10">
        <f>SUM(I94:$I$110)</f>
        <v>102107.83095969867</v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5">
        <f t="shared" si="0"/>
        <v>0</v>
      </c>
      <c r="Y94" s="273">
        <f t="shared" si="1"/>
        <v>-3621.3458939250004</v>
      </c>
      <c r="Z94" s="173">
        <v>3750.07688262898</v>
      </c>
    </row>
    <row r="95" spans="3:26">
      <c r="C95" s="10">
        <v>24.5</v>
      </c>
      <c r="D95" s="67">
        <f t="shared" si="2"/>
        <v>7242.6917878500008</v>
      </c>
      <c r="E95" s="173">
        <v>0</v>
      </c>
      <c r="F95" s="10">
        <v>0</v>
      </c>
      <c r="G95" s="274">
        <f t="shared" si="4"/>
        <v>3621.3458939250004</v>
      </c>
      <c r="H95" s="10">
        <f>SUM(G95:$G$105)</f>
        <v>34837.347499558498</v>
      </c>
      <c r="I95" s="10">
        <f t="shared" si="3"/>
        <v>16513.337276298</v>
      </c>
      <c r="J95" s="10">
        <f>SUM(I95:$I$110)</f>
        <v>83783.820736438152</v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5">
        <f t="shared" si="0"/>
        <v>0</v>
      </c>
      <c r="Y95" s="273">
        <f t="shared" si="1"/>
        <v>-3621.3458939250004</v>
      </c>
      <c r="Z95" s="173">
        <v>3642.0055013794399</v>
      </c>
    </row>
    <row r="96" spans="3:26">
      <c r="C96" s="10">
        <v>25</v>
      </c>
      <c r="D96" s="67">
        <f t="shared" si="2"/>
        <v>7242.6917878500008</v>
      </c>
      <c r="E96" s="173">
        <v>0</v>
      </c>
      <c r="F96" s="10">
        <v>0</v>
      </c>
      <c r="G96" s="274">
        <f t="shared" si="4"/>
        <v>3621.3458939250004</v>
      </c>
      <c r="H96" s="10">
        <f>SUM(G96:$G$105)</f>
        <v>31216.001605633497</v>
      </c>
      <c r="I96" s="10">
        <f t="shared" si="3"/>
        <v>14702.664329335497</v>
      </c>
      <c r="J96" s="10">
        <f>SUM(I96:$I$110)</f>
        <v>67270.483460140153</v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5">
        <f t="shared" si="0"/>
        <v>0</v>
      </c>
      <c r="Y96" s="273">
        <f t="shared" si="1"/>
        <v>-3621.3458939250004</v>
      </c>
      <c r="Z96" s="173">
        <v>3533.9341201298998</v>
      </c>
    </row>
    <row r="97" spans="3:26">
      <c r="C97" s="10">
        <v>25.5</v>
      </c>
      <c r="D97" s="67">
        <f t="shared" si="2"/>
        <v>7242.6917878500008</v>
      </c>
      <c r="E97" s="173">
        <v>0</v>
      </c>
      <c r="F97" s="10">
        <v>0</v>
      </c>
      <c r="G97" s="274">
        <f t="shared" si="4"/>
        <v>3621.3458939250004</v>
      </c>
      <c r="H97" s="10">
        <f>SUM(G97:$G$105)</f>
        <v>27594.655711708496</v>
      </c>
      <c r="I97" s="10">
        <f t="shared" si="3"/>
        <v>12891.991382372998</v>
      </c>
      <c r="J97" s="10">
        <f>SUM(I97:$I$110)</f>
        <v>52567.819130804673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5">
        <f t="shared" si="0"/>
        <v>0</v>
      </c>
      <c r="Y97" s="273">
        <f t="shared" si="1"/>
        <v>-3621.3458939250004</v>
      </c>
      <c r="Z97" s="173">
        <v>3425.8627388803602</v>
      </c>
    </row>
    <row r="98" spans="3:26">
      <c r="C98" s="10">
        <v>26</v>
      </c>
      <c r="D98" s="67">
        <f t="shared" si="2"/>
        <v>7242.6917878500008</v>
      </c>
      <c r="E98" s="173">
        <v>0</v>
      </c>
      <c r="F98" s="10">
        <v>0</v>
      </c>
      <c r="G98" s="274">
        <f t="shared" si="4"/>
        <v>3621.3458939250004</v>
      </c>
      <c r="H98" s="10">
        <f>SUM(G98:$G$105)</f>
        <v>23973.309817783495</v>
      </c>
      <c r="I98" s="10">
        <f t="shared" si="3"/>
        <v>11081.318435410496</v>
      </c>
      <c r="J98" s="10">
        <f>SUM(I98:$I$110)</f>
        <v>39675.827748431664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5">
        <f t="shared" si="0"/>
        <v>0</v>
      </c>
      <c r="Y98" s="273">
        <f t="shared" si="1"/>
        <v>-3621.3458939250004</v>
      </c>
      <c r="Z98" s="173">
        <v>3317.7913576308201</v>
      </c>
    </row>
    <row r="99" spans="3:26">
      <c r="C99" s="10">
        <v>26.5</v>
      </c>
      <c r="D99" s="67">
        <f t="shared" si="2"/>
        <v>7242.6917878500008</v>
      </c>
      <c r="E99" s="173">
        <v>0</v>
      </c>
      <c r="F99" s="10">
        <v>0</v>
      </c>
      <c r="G99" s="274">
        <f t="shared" si="4"/>
        <v>3621.3458939250004</v>
      </c>
      <c r="H99" s="10">
        <f>SUM(G99:$G$105)</f>
        <v>20351.963923858493</v>
      </c>
      <c r="I99" s="10">
        <f t="shared" si="3"/>
        <v>9270.6454884479972</v>
      </c>
      <c r="J99" s="10">
        <f>SUM(I99:$I$110)</f>
        <v>28594.509313021168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5">
        <f t="shared" si="0"/>
        <v>0</v>
      </c>
      <c r="Y99" s="273">
        <f t="shared" si="1"/>
        <v>-3621.3458939250004</v>
      </c>
      <c r="Z99" s="173">
        <v>3209.71997638128</v>
      </c>
    </row>
    <row r="100" spans="3:26">
      <c r="C100" s="10">
        <v>27</v>
      </c>
      <c r="D100" s="67">
        <f t="shared" si="2"/>
        <v>7242.6917878500008</v>
      </c>
      <c r="E100" s="173">
        <v>0</v>
      </c>
      <c r="F100" s="10">
        <v>0</v>
      </c>
      <c r="G100" s="274">
        <f t="shared" si="4"/>
        <v>3621.3458939250004</v>
      </c>
      <c r="H100" s="10">
        <f>SUM(G100:$G$105)</f>
        <v>16730.618029933492</v>
      </c>
      <c r="I100" s="10">
        <f t="shared" si="3"/>
        <v>7459.9725414854956</v>
      </c>
      <c r="J100" s="10">
        <f>SUM(I100:$I$110)</f>
        <v>19323.863824573171</v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5">
        <f t="shared" si="0"/>
        <v>0</v>
      </c>
      <c r="Y100" s="273">
        <f t="shared" si="1"/>
        <v>-3621.3458939250004</v>
      </c>
      <c r="Z100" s="173">
        <v>3101.64859513174</v>
      </c>
    </row>
    <row r="101" spans="3:26">
      <c r="C101" s="10">
        <v>27.5</v>
      </c>
      <c r="D101" s="67">
        <f t="shared" si="2"/>
        <v>7242.6917878500008</v>
      </c>
      <c r="E101" s="173">
        <v>0</v>
      </c>
      <c r="F101" s="10">
        <v>0</v>
      </c>
      <c r="G101" s="274">
        <f t="shared" si="4"/>
        <v>3621.3458939250004</v>
      </c>
      <c r="H101" s="10">
        <f>SUM(G101:$G$105)</f>
        <v>13109.272136008491</v>
      </c>
      <c r="I101" s="10">
        <f t="shared" si="3"/>
        <v>5649.2995945229959</v>
      </c>
      <c r="J101" s="10">
        <f>SUM(I101:$I$110)</f>
        <v>11863.891283087678</v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5">
        <f t="shared" si="0"/>
        <v>0</v>
      </c>
      <c r="Y101" s="273">
        <f t="shared" si="1"/>
        <v>-3621.3458939250004</v>
      </c>
      <c r="Z101" s="10">
        <v>0</v>
      </c>
    </row>
    <row r="102" spans="3:26">
      <c r="C102" s="10">
        <v>28</v>
      </c>
      <c r="D102" s="67">
        <f t="shared" si="2"/>
        <v>7242.6917878500008</v>
      </c>
      <c r="E102" s="173">
        <v>0</v>
      </c>
      <c r="F102" s="10">
        <v>0</v>
      </c>
      <c r="G102" s="274">
        <f t="shared" si="4"/>
        <v>3621.3458939250004</v>
      </c>
      <c r="H102" s="10">
        <f>SUM(G102:$G$105)</f>
        <v>9487.9262420834912</v>
      </c>
      <c r="I102" s="10">
        <f t="shared" si="3"/>
        <v>3838.6266475604957</v>
      </c>
      <c r="J102" s="10">
        <f>SUM(I102:$I$110)</f>
        <v>6214.5916885646811</v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5">
        <f t="shared" si="0"/>
        <v>0</v>
      </c>
      <c r="Y102" s="273">
        <f t="shared" si="1"/>
        <v>-3621.3458939250004</v>
      </c>
      <c r="Z102" s="10">
        <v>0</v>
      </c>
    </row>
    <row r="103" spans="3:26">
      <c r="C103" s="10">
        <v>28.5</v>
      </c>
      <c r="D103" s="67">
        <f t="shared" si="2"/>
        <v>7242.6917878500008</v>
      </c>
      <c r="E103" s="173">
        <v>0</v>
      </c>
      <c r="F103" s="10">
        <v>0</v>
      </c>
      <c r="G103" s="274">
        <f t="shared" si="4"/>
        <v>3621.3458939250004</v>
      </c>
      <c r="H103" s="10">
        <f>SUM(G103:$G$105)</f>
        <v>5866.5803481584917</v>
      </c>
      <c r="I103" s="10">
        <f t="shared" si="3"/>
        <v>2027.9537005979955</v>
      </c>
      <c r="J103" s="10">
        <f>SUM(I103:$I$110)</f>
        <v>2375.965041004185</v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5">
        <f t="shared" si="0"/>
        <v>0</v>
      </c>
      <c r="Y103" s="273">
        <f t="shared" si="1"/>
        <v>-2245.2344542334909</v>
      </c>
      <c r="Z103" s="10">
        <v>0</v>
      </c>
    </row>
    <row r="104" spans="3:26">
      <c r="C104" s="10">
        <v>29</v>
      </c>
      <c r="D104" s="67">
        <f t="shared" si="2"/>
        <v>7242.6917878500008</v>
      </c>
      <c r="E104" s="173">
        <v>0</v>
      </c>
      <c r="F104" s="10">
        <v>0</v>
      </c>
      <c r="G104" s="274">
        <f t="shared" si="4"/>
        <v>2245.2344542334909</v>
      </c>
      <c r="H104" s="10">
        <f>SUM(G104:$G$105)</f>
        <v>2245.2344542334909</v>
      </c>
      <c r="I104" s="10">
        <f t="shared" si="3"/>
        <v>348.01134040618967</v>
      </c>
      <c r="J104" s="10">
        <f>SUM(I104:$I$110)</f>
        <v>348.01134040618967</v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5">
        <f t="shared" si="0"/>
        <v>0</v>
      </c>
      <c r="Y104" s="273">
        <f t="shared" si="1"/>
        <v>0</v>
      </c>
      <c r="Z104" s="10">
        <v>0</v>
      </c>
    </row>
    <row r="105" spans="3:26">
      <c r="C105" s="10">
        <v>29.31</v>
      </c>
      <c r="D105" s="67">
        <f t="shared" si="2"/>
        <v>7242.6917878500008</v>
      </c>
      <c r="E105" s="173">
        <v>0</v>
      </c>
      <c r="F105" s="10">
        <v>0</v>
      </c>
      <c r="G105" s="274">
        <v>0</v>
      </c>
      <c r="H105" s="10">
        <f>SUM(G105:$G$105)</f>
        <v>0</v>
      </c>
      <c r="I105" s="10">
        <f t="shared" si="3"/>
        <v>0</v>
      </c>
      <c r="J105" s="10">
        <f>SUM(I105:$I$110)</f>
        <v>0</v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5">
        <f t="shared" si="0"/>
        <v>0</v>
      </c>
      <c r="Y105" s="273">
        <f t="shared" si="1"/>
        <v>0</v>
      </c>
      <c r="Z105" s="4"/>
    </row>
    <row r="107" spans="3:26">
      <c r="C107" s="4"/>
      <c r="D107" s="4"/>
      <c r="E107" s="4"/>
      <c r="F107" s="5" t="s">
        <v>144</v>
      </c>
      <c r="G107" s="35">
        <f>SUM(G46:G105)</f>
        <v>6497366.6531018866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10" spans="3:26">
      <c r="C110" s="4"/>
      <c r="D110" s="4"/>
      <c r="E110" s="4">
        <f>SUM(E46:E105)</f>
        <v>0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</sheetData>
  <mergeCells count="10">
    <mergeCell ref="A28:A35"/>
    <mergeCell ref="I31:J31"/>
    <mergeCell ref="C43:J43"/>
    <mergeCell ref="A44:A53"/>
    <mergeCell ref="B1:E1"/>
    <mergeCell ref="F1:G1"/>
    <mergeCell ref="H1:Z1"/>
    <mergeCell ref="A4:A8"/>
    <mergeCell ref="C27:E27"/>
    <mergeCell ref="H27:J27"/>
  </mergeCells>
  <phoneticPr fontId="3" type="noConversion"/>
  <dataValidations count="1">
    <dataValidation type="list" allowBlank="1" showInputMessage="1" showErrorMessage="1" sqref="I31:J31" xr:uid="{A4926099-5CB9-45ED-AC93-B854E25AF883}">
      <formula1>$C$35:$C$37</formula1>
    </dataValidation>
  </dataValidations>
  <hyperlinks>
    <hyperlink ref="F36" r:id="rId1" xr:uid="{68380C1D-45AF-4274-9694-7FAFFA675ED6}"/>
  </hyperlinks>
  <pageMargins left="0.7" right="0.7" top="0.75" bottom="0.75" header="0.3" footer="0.3"/>
  <pageSetup paperSize="9" scale="95" orientation="portrait" r:id="rId2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75"/>
  <sheetViews>
    <sheetView zoomScale="85" zoomScaleNormal="85" workbookViewId="0">
      <pane xSplit="1" ySplit="1" topLeftCell="B105" activePane="bottomRight" state="frozen"/>
      <selection pane="bottomRight" activeCell="U43" sqref="U43"/>
      <selection pane="bottomLeft" activeCell="E46" sqref="E46"/>
      <selection pane="topRight" activeCell="E46" sqref="E46"/>
    </sheetView>
  </sheetViews>
  <sheetFormatPr defaultColWidth="8.875" defaultRowHeight="18.600000000000001"/>
  <cols>
    <col min="1" max="1" width="25.625" style="29" customWidth="1"/>
    <col min="2" max="2" width="8.875" style="32"/>
    <col min="3" max="3" width="20.875" style="32" bestFit="1" customWidth="1"/>
    <col min="4" max="4" width="9.25" style="32" bestFit="1" customWidth="1"/>
    <col min="5" max="5" width="10.625" style="32" bestFit="1" customWidth="1"/>
    <col min="6" max="6" width="9.625" style="32" bestFit="1" customWidth="1"/>
    <col min="7" max="7" width="8.875" style="32"/>
    <col min="8" max="8" width="12.625" style="32" bestFit="1" customWidth="1"/>
    <col min="9" max="10" width="8.875" style="32"/>
    <col min="11" max="11" width="10.375" style="32" bestFit="1" customWidth="1"/>
    <col min="12" max="12" width="10.625" style="32" bestFit="1" customWidth="1"/>
    <col min="13" max="16" width="8.875" style="32"/>
    <col min="17" max="17" width="13.625" style="32" customWidth="1"/>
    <col min="18" max="19" width="8.875" style="32"/>
    <col min="20" max="20" width="10.125" style="32" customWidth="1"/>
    <col min="21" max="23" width="8.875" style="32"/>
    <col min="24" max="24" width="12.625" style="32" bestFit="1" customWidth="1"/>
    <col min="25" max="25" width="9.625" style="32" bestFit="1" customWidth="1"/>
    <col min="26" max="16384" width="8.875" style="32"/>
  </cols>
  <sheetData>
    <row r="1" spans="1:26" s="39" customFormat="1" ht="39" customHeight="1" thickBot="1">
      <c r="A1" s="163"/>
      <c r="B1" s="211" t="s">
        <v>10</v>
      </c>
      <c r="C1" s="219"/>
      <c r="D1" s="219"/>
      <c r="E1" s="220"/>
      <c r="F1" s="211" t="s">
        <v>1</v>
      </c>
      <c r="G1" s="211"/>
      <c r="H1" s="270" t="s">
        <v>145</v>
      </c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</row>
    <row r="3" spans="1:26" ht="18.75" customHeight="1">
      <c r="A3" s="121" t="s">
        <v>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8.75" customHeight="1">
      <c r="A4" s="207" t="s">
        <v>146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8.75" customHeight="1">
      <c r="A5" s="222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8.75" customHeight="1">
      <c r="A6" s="222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45">
      <c r="A7" s="222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45">
      <c r="A8" s="222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45">
      <c r="A9" s="22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45">
      <c r="A10" s="222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45">
      <c r="A11" s="222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45">
      <c r="A12" s="222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45">
      <c r="A13" s="22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45">
      <c r="A14" s="22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45">
      <c r="A15" s="222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45">
      <c r="A16" s="22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5"/>
      <c r="X16" s="4"/>
      <c r="Y16" s="4"/>
      <c r="Z16" s="4"/>
    </row>
    <row r="17" spans="1:23" ht="14.45">
      <c r="A17" s="222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5"/>
    </row>
    <row r="18" spans="1:23" ht="14.45">
      <c r="A18" s="22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5"/>
    </row>
    <row r="19" spans="1:23" ht="14.45">
      <c r="A19" s="22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5"/>
    </row>
    <row r="20" spans="1:23" ht="14.45">
      <c r="A20" s="222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5"/>
    </row>
    <row r="21" spans="1:23" ht="14.45">
      <c r="A21" s="222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5"/>
    </row>
    <row r="22" spans="1:23" ht="14.45">
      <c r="A22" s="222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5"/>
    </row>
    <row r="23" spans="1:23" ht="14.45">
      <c r="A23" s="222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5"/>
    </row>
    <row r="24" spans="1:23" ht="14.45">
      <c r="A24" s="22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5"/>
    </row>
    <row r="25" spans="1:23" s="34" customFormat="1" ht="15" thickBot="1">
      <c r="A25" s="223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75"/>
    </row>
    <row r="26" spans="1:23"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5"/>
    </row>
    <row r="27" spans="1:23" ht="18.75" customHeight="1">
      <c r="A27" s="122" t="s">
        <v>32</v>
      </c>
      <c r="B27" s="4"/>
      <c r="C27" s="276" t="s">
        <v>147</v>
      </c>
      <c r="D27" s="276"/>
      <c r="E27" s="276"/>
      <c r="F27" s="4"/>
      <c r="G27" s="4"/>
      <c r="H27" s="276" t="s">
        <v>148</v>
      </c>
      <c r="I27" s="276"/>
      <c r="J27" s="276"/>
      <c r="K27" s="4"/>
      <c r="L27" s="4"/>
      <c r="M27" s="4"/>
      <c r="N27" s="206"/>
      <c r="O27" s="206"/>
      <c r="P27" s="206"/>
      <c r="Q27" s="206"/>
      <c r="R27" s="224" t="s">
        <v>149</v>
      </c>
      <c r="S27" s="224"/>
      <c r="T27" s="224"/>
      <c r="U27" s="4"/>
      <c r="V27" s="4"/>
      <c r="W27" s="45"/>
    </row>
    <row r="28" spans="1:23" ht="18.75" customHeight="1">
      <c r="A28" s="207" t="s">
        <v>150</v>
      </c>
      <c r="B28" s="4"/>
      <c r="C28" s="276"/>
      <c r="D28" s="276"/>
      <c r="E28" s="276"/>
      <c r="F28" s="4"/>
      <c r="G28" s="4"/>
      <c r="H28" s="276"/>
      <c r="I28" s="276"/>
      <c r="J28" s="276"/>
      <c r="K28" s="4"/>
      <c r="L28" s="4"/>
      <c r="M28" s="4"/>
      <c r="N28" s="206"/>
      <c r="O28" s="206"/>
      <c r="P28" s="206"/>
      <c r="Q28" s="206"/>
      <c r="R28" s="224"/>
      <c r="S28" s="224"/>
      <c r="T28" s="224"/>
      <c r="U28" s="4"/>
      <c r="V28" s="4"/>
      <c r="W28" s="45"/>
    </row>
    <row r="29" spans="1:23" ht="18.75" customHeight="1">
      <c r="A29" s="277"/>
      <c r="B29" s="4"/>
      <c r="C29" s="5" t="s">
        <v>115</v>
      </c>
      <c r="D29" s="5">
        <f>'Wing inertia load'!D28</f>
        <v>65</v>
      </c>
      <c r="E29" s="5" t="s">
        <v>23</v>
      </c>
      <c r="F29" s="4"/>
      <c r="G29" s="4"/>
      <c r="H29" s="5" t="s">
        <v>68</v>
      </c>
      <c r="I29" s="5">
        <f>' n-V diagram'!G8</f>
        <v>429900</v>
      </c>
      <c r="J29" s="5" t="s">
        <v>25</v>
      </c>
      <c r="K29" s="4"/>
      <c r="L29" s="4"/>
      <c r="M29" s="4"/>
      <c r="N29" s="206"/>
      <c r="O29" s="206"/>
      <c r="P29" s="206"/>
      <c r="Q29" s="206"/>
      <c r="R29" s="276" t="s">
        <v>151</v>
      </c>
      <c r="S29" s="276"/>
      <c r="T29" s="276"/>
      <c r="U29" s="4"/>
      <c r="V29" s="4"/>
      <c r="W29" s="45"/>
    </row>
    <row r="30" spans="1:23" ht="18.75" customHeight="1">
      <c r="A30" s="277"/>
      <c r="B30" s="4"/>
      <c r="C30" s="5" t="s">
        <v>116</v>
      </c>
      <c r="D30" s="5">
        <f>'Wing inertia load'!D29</f>
        <v>6.38</v>
      </c>
      <c r="E30" s="5" t="s">
        <v>23</v>
      </c>
      <c r="F30" s="4"/>
      <c r="G30" s="4"/>
      <c r="H30" s="5" t="s">
        <v>117</v>
      </c>
      <c r="I30" s="175">
        <v>2.8199000000000001</v>
      </c>
      <c r="J30" s="5"/>
      <c r="K30" s="4"/>
      <c r="L30" s="4"/>
      <c r="M30" s="4"/>
      <c r="N30" s="206"/>
      <c r="O30" s="206"/>
      <c r="P30" s="206"/>
      <c r="Q30" s="206"/>
      <c r="R30" s="276"/>
      <c r="S30" s="276"/>
      <c r="T30" s="276"/>
      <c r="U30" s="4"/>
      <c r="V30" s="4"/>
      <c r="W30" s="45"/>
    </row>
    <row r="31" spans="1:23" ht="18.75" customHeight="1">
      <c r="A31" s="277"/>
      <c r="B31" s="4"/>
      <c r="C31" s="5" t="s">
        <v>22</v>
      </c>
      <c r="D31" s="22">
        <f>(D29-D30)/2</f>
        <v>29.31</v>
      </c>
      <c r="E31" s="5" t="s">
        <v>23</v>
      </c>
      <c r="F31" s="4"/>
      <c r="G31" s="4"/>
      <c r="H31" s="5" t="s">
        <v>118</v>
      </c>
      <c r="I31" s="278">
        <f>I29*I30*9.81</f>
        <v>11892417.848100001</v>
      </c>
      <c r="J31" s="5" t="s">
        <v>119</v>
      </c>
      <c r="K31" s="5" t="s">
        <v>152</v>
      </c>
      <c r="L31" s="22">
        <f>F106*2</f>
        <v>8877742.1454421096</v>
      </c>
      <c r="M31" s="4"/>
      <c r="N31" s="206"/>
      <c r="O31" s="206"/>
      <c r="P31" s="206"/>
      <c r="Q31" s="206"/>
      <c r="R31" s="276"/>
      <c r="S31" s="276"/>
      <c r="T31" s="276"/>
      <c r="U31" s="4"/>
      <c r="V31" s="4"/>
      <c r="W31" s="45"/>
    </row>
    <row r="32" spans="1:23" ht="14.45">
      <c r="A32" s="277"/>
      <c r="B32" s="4"/>
      <c r="C32" s="5" t="s">
        <v>24</v>
      </c>
      <c r="D32" s="5">
        <f>'Wing inertia load'!D31</f>
        <v>15709</v>
      </c>
      <c r="E32" s="5" t="s">
        <v>25</v>
      </c>
      <c r="F32" s="4"/>
      <c r="G32" s="4"/>
      <c r="H32" s="5" t="s">
        <v>153</v>
      </c>
      <c r="I32" s="5">
        <f>2*I31/(PI()*I33)</f>
        <v>258305.98237316904</v>
      </c>
      <c r="J32" s="5" t="s">
        <v>143</v>
      </c>
      <c r="K32" s="5" t="s">
        <v>154</v>
      </c>
      <c r="L32" s="22">
        <f>F106</f>
        <v>4438871.0727210548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5"/>
    </row>
    <row r="33" spans="1:26" ht="14.45">
      <c r="A33" s="277"/>
      <c r="B33" s="4"/>
      <c r="C33" s="5" t="s">
        <v>26</v>
      </c>
      <c r="D33" s="22">
        <f>'Wing inertia load'!D32</f>
        <v>27.5</v>
      </c>
      <c r="E33" s="5" t="s">
        <v>23</v>
      </c>
      <c r="F33" s="4"/>
      <c r="G33" s="4"/>
      <c r="H33" s="5" t="s">
        <v>155</v>
      </c>
      <c r="I33" s="22">
        <f>D31</f>
        <v>29.31</v>
      </c>
      <c r="J33" s="5" t="s">
        <v>23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5"/>
      <c r="X33" s="4"/>
      <c r="Y33" s="4"/>
      <c r="Z33" s="4"/>
    </row>
    <row r="34" spans="1:26" ht="14.45">
      <c r="A34" s="277"/>
      <c r="B34" s="4"/>
      <c r="C34" s="5" t="s">
        <v>27</v>
      </c>
      <c r="D34" s="5">
        <f>'Wing inertia load'!D33</f>
        <v>43100</v>
      </c>
      <c r="E34" s="5" t="s">
        <v>28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5"/>
      <c r="X34" s="4"/>
      <c r="Y34" s="4"/>
      <c r="Z34" s="4"/>
    </row>
    <row r="35" spans="1:26">
      <c r="B35" s="4"/>
      <c r="C35" s="5" t="s">
        <v>29</v>
      </c>
      <c r="D35" s="5">
        <f>'Wing inertia load'!D34</f>
        <v>5.59</v>
      </c>
      <c r="E35" s="5" t="s">
        <v>23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5"/>
      <c r="X35" s="4"/>
      <c r="Y35" s="4"/>
      <c r="Z35" s="4"/>
    </row>
    <row r="36" spans="1:26">
      <c r="B36" s="4"/>
      <c r="C36" s="5" t="s">
        <v>156</v>
      </c>
      <c r="D36" s="5">
        <f>'Wing inertia load'!D36</f>
        <v>6125</v>
      </c>
      <c r="E36" s="5" t="s">
        <v>25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5"/>
      <c r="X36" s="4"/>
      <c r="Y36" s="4"/>
      <c r="Z36" s="4"/>
    </row>
    <row r="37" spans="1:26">
      <c r="B37" s="4"/>
      <c r="C37" s="5" t="s">
        <v>157</v>
      </c>
      <c r="D37" s="5">
        <f>'Wing inertia load'!D37</f>
        <v>150</v>
      </c>
      <c r="E37" s="5" t="s">
        <v>28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5"/>
      <c r="X37" s="4"/>
      <c r="Y37" s="4"/>
      <c r="Z37" s="4"/>
    </row>
    <row r="38" spans="1:26">
      <c r="B38" s="4"/>
      <c r="C38" s="5" t="s">
        <v>158</v>
      </c>
      <c r="D38" s="5">
        <f>'Wing inertia load'!D38</f>
        <v>813</v>
      </c>
      <c r="E38" s="5" t="s">
        <v>132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5"/>
      <c r="X38" s="4"/>
      <c r="Y38" s="4"/>
      <c r="Z38" s="4"/>
    </row>
    <row r="39" spans="1:26" s="34" customFormat="1" ht="18.95" thickBot="1">
      <c r="A39" s="16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75"/>
      <c r="X39" s="21"/>
      <c r="Y39" s="21"/>
      <c r="Z39" s="21"/>
    </row>
    <row r="40" spans="1:26"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5"/>
      <c r="X40" s="4"/>
      <c r="Y40" s="4"/>
      <c r="Z40" s="4"/>
    </row>
    <row r="41" spans="1:26" ht="18.75" customHeight="1">
      <c r="A41" s="121" t="s">
        <v>34</v>
      </c>
      <c r="B41" s="4"/>
      <c r="C41" s="206" t="s">
        <v>134</v>
      </c>
      <c r="D41" s="206"/>
      <c r="E41" s="206"/>
      <c r="F41" s="206"/>
      <c r="G41" s="206"/>
      <c r="H41" s="206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5"/>
      <c r="X41" s="4"/>
      <c r="Y41" s="4"/>
      <c r="Z41" s="4"/>
    </row>
    <row r="42" spans="1:26" ht="18.75" customHeight="1">
      <c r="A42" s="207" t="s">
        <v>159</v>
      </c>
      <c r="B42" s="4"/>
      <c r="C42" s="5" t="s">
        <v>136</v>
      </c>
      <c r="D42" s="5" t="s">
        <v>160</v>
      </c>
      <c r="E42" s="5" t="s">
        <v>161</v>
      </c>
      <c r="F42" s="5" t="s">
        <v>140</v>
      </c>
      <c r="G42" s="5" t="s">
        <v>141</v>
      </c>
      <c r="H42" s="5" t="s">
        <v>142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5"/>
      <c r="X42" s="4"/>
      <c r="Y42" s="4"/>
      <c r="Z42" s="4"/>
    </row>
    <row r="43" spans="1:26" ht="18.75" customHeight="1">
      <c r="A43" s="214"/>
      <c r="B43" s="4"/>
      <c r="C43" s="5" t="s">
        <v>23</v>
      </c>
      <c r="D43" s="5" t="s">
        <v>143</v>
      </c>
      <c r="E43" s="5" t="s">
        <v>119</v>
      </c>
      <c r="F43" s="5" t="s">
        <v>119</v>
      </c>
      <c r="G43" s="5" t="s">
        <v>107</v>
      </c>
      <c r="H43" s="5" t="s">
        <v>107</v>
      </c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5"/>
      <c r="X43" s="4"/>
      <c r="Y43" s="4"/>
      <c r="Z43" s="4"/>
    </row>
    <row r="44" spans="1:26" ht="18.75" customHeight="1">
      <c r="A44" s="214"/>
      <c r="B44" s="4"/>
      <c r="C44" s="10">
        <v>0</v>
      </c>
      <c r="D44" s="10">
        <f>$I$32*SQRT(1-(C44/$I$33)^2)</f>
        <v>258305.98237316904</v>
      </c>
      <c r="E44" s="10">
        <f>(D45+D44)*(C45-C44)/2</f>
        <v>129143.59428996741</v>
      </c>
      <c r="F44" s="10">
        <f>SUM(E44:$E$103)</f>
        <v>5942855.4068708103</v>
      </c>
      <c r="G44" s="10">
        <f>(F45+F44)*(C45-C44)/2</f>
        <v>2939141.8048629137</v>
      </c>
      <c r="H44" s="10">
        <f>SUM(G44:$G$103)</f>
        <v>73880016.684146672</v>
      </c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5"/>
      <c r="X44" s="4"/>
      <c r="Y44" s="4"/>
      <c r="Z44" s="4"/>
    </row>
    <row r="45" spans="1:26" ht="18.75" customHeight="1">
      <c r="A45" s="214"/>
      <c r="B45" s="4"/>
      <c r="C45" s="10">
        <v>0.5</v>
      </c>
      <c r="D45" s="10">
        <f t="shared" ref="D44:D102" si="0">$I$32*SQRT(1-(C45/$I$33)^2)</f>
        <v>258268.39478670058</v>
      </c>
      <c r="E45" s="10">
        <f t="shared" ref="E45:E103" si="1">(D46+D45)*(C46-C45)/2</f>
        <v>129105.99849434191</v>
      </c>
      <c r="F45" s="10">
        <f>SUM(E45:$E$103)</f>
        <v>5813711.8125808435</v>
      </c>
      <c r="G45" s="10">
        <f t="shared" ref="G45:G103" si="2">(F46+F45)*(C46-C45)/2</f>
        <v>2874579.4066668362</v>
      </c>
      <c r="H45" s="10">
        <f>SUM(G45:$G$103)</f>
        <v>70940874.879283756</v>
      </c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5"/>
      <c r="X45" s="4"/>
      <c r="Y45" s="45">
        <f>'Ground load'!Y45+'Ground load all'!D44</f>
        <v>254684.63647924404</v>
      </c>
      <c r="Z45" s="10">
        <f t="shared" ref="Z45:Z102" si="3">(Y46+Y45)*(X46-X45)/2</f>
        <v>0</v>
      </c>
    </row>
    <row r="46" spans="1:26" ht="18.75" customHeight="1">
      <c r="A46" s="214"/>
      <c r="B46" s="4"/>
      <c r="C46" s="10">
        <v>1</v>
      </c>
      <c r="D46" s="10">
        <f t="shared" si="0"/>
        <v>258155.5991906671</v>
      </c>
      <c r="E46" s="10">
        <f t="shared" si="1"/>
        <v>129030.77403056332</v>
      </c>
      <c r="F46" s="10">
        <f>SUM(E46:$E$103)</f>
        <v>5684605.8140865015</v>
      </c>
      <c r="G46" s="10">
        <f t="shared" si="2"/>
        <v>2810045.2135356097</v>
      </c>
      <c r="H46" s="10">
        <f>SUM(G46:$G$103)</f>
        <v>68066295.472616896</v>
      </c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5"/>
      <c r="X46" s="4"/>
      <c r="Y46" s="45">
        <f>'Ground load'!Y46+'Ground load all'!D45</f>
        <v>254647.04889277558</v>
      </c>
      <c r="Z46" s="10">
        <f t="shared" si="3"/>
        <v>0</v>
      </c>
    </row>
    <row r="47" spans="1:26" ht="18.75" customHeight="1">
      <c r="A47" s="214"/>
      <c r="B47" s="4"/>
      <c r="C47" s="10">
        <v>1.5</v>
      </c>
      <c r="D47" s="10">
        <f t="shared" si="0"/>
        <v>257967.49693158618</v>
      </c>
      <c r="E47" s="10">
        <f t="shared" si="1"/>
        <v>128917.85500961122</v>
      </c>
      <c r="F47" s="10">
        <f>SUM(E47:$E$103)</f>
        <v>5555575.0400559381</v>
      </c>
      <c r="G47" s="10">
        <f t="shared" si="2"/>
        <v>2745558.0562755661</v>
      </c>
      <c r="H47" s="10">
        <f>SUM(G47:$G$103)</f>
        <v>65256250.259081282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5"/>
      <c r="X47" s="4"/>
      <c r="Y47" s="45">
        <f>'Ground load'!Y47+'Ground load all'!D46</f>
        <v>254534.2532967421</v>
      </c>
      <c r="Z47" s="10">
        <f t="shared" si="3"/>
        <v>0</v>
      </c>
    </row>
    <row r="48" spans="1:26" ht="14.45">
      <c r="A48" s="214"/>
      <c r="B48" s="4"/>
      <c r="C48" s="10">
        <v>2</v>
      </c>
      <c r="D48" s="10">
        <f t="shared" si="0"/>
        <v>257703.92310685868</v>
      </c>
      <c r="E48" s="10">
        <f t="shared" si="1"/>
        <v>128767.14223656755</v>
      </c>
      <c r="F48" s="10">
        <f>SUM(E48:$E$103)</f>
        <v>5426657.1850463273</v>
      </c>
      <c r="G48" s="10">
        <f t="shared" si="2"/>
        <v>2681136.8069640216</v>
      </c>
      <c r="H48" s="10">
        <f>SUM(G48:$G$103)</f>
        <v>62510692.20280572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5"/>
      <c r="X48" s="4"/>
      <c r="Y48" s="45">
        <f>'Ground load'!Y48+'Ground load all'!D47</f>
        <v>254346.15103766118</v>
      </c>
      <c r="Z48" s="10">
        <f t="shared" si="3"/>
        <v>0</v>
      </c>
    </row>
    <row r="49" spans="1:26" ht="14.45">
      <c r="A49" s="214"/>
      <c r="B49" s="4"/>
      <c r="C49" s="10">
        <v>2.5</v>
      </c>
      <c r="D49" s="10">
        <f t="shared" si="0"/>
        <v>257364.64583941153</v>
      </c>
      <c r="E49" s="10">
        <f t="shared" si="1"/>
        <v>128578.5027727956</v>
      </c>
      <c r="F49" s="10">
        <f>SUM(E49:$E$103)</f>
        <v>5297890.0428097593</v>
      </c>
      <c r="G49" s="10">
        <f t="shared" si="2"/>
        <v>2616800.3957116809</v>
      </c>
      <c r="H49" s="10">
        <f>SUM(G49:$G$103)</f>
        <v>59829555.395841695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5"/>
      <c r="X49" s="4"/>
      <c r="Y49" s="45">
        <f>'Ground load'!Y49+'Ground load all'!D48</f>
        <v>254082.57721293368</v>
      </c>
      <c r="Z49" s="10">
        <f t="shared" si="3"/>
        <v>0</v>
      </c>
    </row>
    <row r="50" spans="1:26">
      <c r="B50" s="4"/>
      <c r="C50" s="10">
        <v>3</v>
      </c>
      <c r="D50" s="10">
        <f t="shared" si="0"/>
        <v>256949.36525177088</v>
      </c>
      <c r="E50" s="10">
        <f t="shared" si="1"/>
        <v>128351.76934516904</v>
      </c>
      <c r="F50" s="10">
        <f>SUM(E50:$E$103)</f>
        <v>5169311.5400369633</v>
      </c>
      <c r="G50" s="10">
        <f t="shared" si="2"/>
        <v>2552567.8276821896</v>
      </c>
      <c r="H50" s="10">
        <f>SUM(G50:$G$103)</f>
        <v>57212755.000130013</v>
      </c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5"/>
      <c r="X50" s="4"/>
      <c r="Y50" s="45">
        <f>'Ground load'!Y50+'Ground load all'!D49</f>
        <v>253743.29994548653</v>
      </c>
      <c r="Z50" s="10">
        <f t="shared" si="3"/>
        <v>0</v>
      </c>
    </row>
    <row r="51" spans="1:26">
      <c r="B51" s="4"/>
      <c r="C51" s="10">
        <v>3.5</v>
      </c>
      <c r="D51" s="10">
        <f t="shared" si="0"/>
        <v>256457.71212890526</v>
      </c>
      <c r="E51" s="10">
        <f t="shared" si="1"/>
        <v>128086.73959617518</v>
      </c>
      <c r="F51" s="10">
        <f>SUM(E51:$E$103)</f>
        <v>5040959.7706917943</v>
      </c>
      <c r="G51" s="10">
        <f t="shared" si="2"/>
        <v>2488458.2004468534</v>
      </c>
      <c r="H51" s="10">
        <f>SUM(G51:$G$103)</f>
        <v>54660187.172447823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5"/>
      <c r="X51" s="4"/>
      <c r="Y51" s="45">
        <f>'Ground load'!Y51+'Ground load all'!D50</f>
        <v>-5692880.9046921544</v>
      </c>
      <c r="Z51" s="10">
        <f t="shared" si="3"/>
        <v>0</v>
      </c>
    </row>
    <row r="52" spans="1:26">
      <c r="B52" s="4"/>
      <c r="C52" s="10">
        <v>4</v>
      </c>
      <c r="D52" s="10">
        <f t="shared" si="0"/>
        <v>255889.24625579541</v>
      </c>
      <c r="E52" s="10">
        <f t="shared" si="1"/>
        <v>127783.17516695733</v>
      </c>
      <c r="F52" s="10">
        <f>SUM(E52:$E$103)</f>
        <v>4912873.0310956193</v>
      </c>
      <c r="G52" s="10">
        <f t="shared" si="2"/>
        <v>2424490.7217560704</v>
      </c>
      <c r="H52" s="10">
        <f>SUM(G52:$G$103)</f>
        <v>52171728.972000964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5"/>
      <c r="X52" s="4"/>
      <c r="Y52" s="45">
        <f>'Ground load'!Y52+'Ground load all'!D51</f>
        <v>252836.36623498026</v>
      </c>
      <c r="Z52" s="10">
        <f t="shared" si="3"/>
        <v>0</v>
      </c>
    </row>
    <row r="53" spans="1:26">
      <c r="B53" s="4"/>
      <c r="C53" s="10">
        <v>4.5</v>
      </c>
      <c r="D53" s="10">
        <f t="shared" si="0"/>
        <v>255243.4544120339</v>
      </c>
      <c r="E53" s="10">
        <f t="shared" si="1"/>
        <v>127440.80060344836</v>
      </c>
      <c r="F53" s="10">
        <f>SUM(E53:$E$103)</f>
        <v>4785089.8559286622</v>
      </c>
      <c r="G53" s="10">
        <f t="shared" si="2"/>
        <v>2360684.7278134692</v>
      </c>
      <c r="H53" s="10">
        <f>SUM(G53:$G$103)</f>
        <v>49747238.250244886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5"/>
      <c r="X53" s="4"/>
      <c r="Y53" s="45">
        <f>'Ground load'!Y53+'Ground load all'!D52</f>
        <v>252267.90036187042</v>
      </c>
      <c r="Z53" s="10">
        <f t="shared" si="3"/>
        <v>0</v>
      </c>
    </row>
    <row r="54" spans="1:26">
      <c r="B54" s="4"/>
      <c r="C54" s="10">
        <v>5</v>
      </c>
      <c r="D54" s="10">
        <f t="shared" si="0"/>
        <v>254519.74800175952</v>
      </c>
      <c r="E54" s="10">
        <f t="shared" si="1"/>
        <v>127059.30207364185</v>
      </c>
      <c r="F54" s="10">
        <f>SUM(E54:$E$103)</f>
        <v>4657649.0553252138</v>
      </c>
      <c r="G54" s="10">
        <f t="shared" si="2"/>
        <v>2297059.7021441963</v>
      </c>
      <c r="H54" s="10">
        <f>SUM(G54:$G$103)</f>
        <v>47386553.522431411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5"/>
      <c r="X54" s="4"/>
      <c r="Y54" s="45">
        <f>'Ground load'!Y54+'Ground load all'!D53</f>
        <v>251622.1085181089</v>
      </c>
      <c r="Z54" s="10">
        <f t="shared" si="3"/>
        <v>0</v>
      </c>
    </row>
    <row r="55" spans="1:26">
      <c r="B55" s="4"/>
      <c r="C55" s="10">
        <v>5.5</v>
      </c>
      <c r="D55" s="10">
        <f t="shared" si="0"/>
        <v>253717.46029280787</v>
      </c>
      <c r="E55" s="10">
        <f t="shared" si="1"/>
        <v>126638.32588170211</v>
      </c>
      <c r="F55" s="10">
        <f>SUM(E55:$E$103)</f>
        <v>4530589.7532515712</v>
      </c>
      <c r="G55" s="10">
        <f t="shared" si="2"/>
        <v>2233635.2951553604</v>
      </c>
      <c r="H55" s="10">
        <f>SUM(G55:$G$103)</f>
        <v>45089493.820287213</v>
      </c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5"/>
      <c r="X55" s="4"/>
      <c r="Y55" s="45">
        <f>'Ground load'!Y55+'Ground load all'!D54</f>
        <v>250898.40210783452</v>
      </c>
      <c r="Z55" s="10">
        <f t="shared" si="3"/>
        <v>0</v>
      </c>
    </row>
    <row r="56" spans="1:26">
      <c r="B56" s="4"/>
      <c r="C56" s="10">
        <v>6</v>
      </c>
      <c r="D56" s="10">
        <f t="shared" si="0"/>
        <v>252835.84323400058</v>
      </c>
      <c r="E56" s="10">
        <f t="shared" si="1"/>
        <v>126177.47676197384</v>
      </c>
      <c r="F56" s="10">
        <f>SUM(E56:$E$103)</f>
        <v>4403951.4273698693</v>
      </c>
      <c r="G56" s="10">
        <f t="shared" si="2"/>
        <v>2170431.3444944411</v>
      </c>
      <c r="H56" s="10">
        <f>SUM(G56:$G$103)</f>
        <v>42855858.525131851</v>
      </c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5"/>
      <c r="X56" s="4"/>
      <c r="Y56" s="45">
        <f>'Ground load'!Y56+'Ground load all'!D55</f>
        <v>80658.898023882852</v>
      </c>
      <c r="Z56" s="10">
        <f t="shared" si="3"/>
        <v>0</v>
      </c>
    </row>
    <row r="57" spans="1:26">
      <c r="B57" s="4"/>
      <c r="C57" s="10">
        <v>6.5</v>
      </c>
      <c r="D57" s="10">
        <f t="shared" si="0"/>
        <v>251874.06381389478</v>
      </c>
      <c r="E57" s="10">
        <f t="shared" si="1"/>
        <v>125676.31593295489</v>
      </c>
      <c r="F57" s="10">
        <f>SUM(E57:$E$103)</f>
        <v>4277773.9506078949</v>
      </c>
      <c r="G57" s="10">
        <f t="shared" si="2"/>
        <v>2107467.896320709</v>
      </c>
      <c r="H57" s="10">
        <f>SUM(G57:$G$103)</f>
        <v>40685427.180637404</v>
      </c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5"/>
      <c r="X57" s="4"/>
      <c r="Y57" s="45">
        <f>'Ground load'!Y57+'Ground load all'!D56</f>
        <v>249214.49734007558</v>
      </c>
      <c r="Z57" s="10">
        <f t="shared" si="3"/>
        <v>0</v>
      </c>
    </row>
    <row r="58" spans="1:26">
      <c r="B58" s="4"/>
      <c r="C58" s="10">
        <v>7</v>
      </c>
      <c r="D58" s="10">
        <f t="shared" si="0"/>
        <v>250831.19991792482</v>
      </c>
      <c r="E58" s="10">
        <f t="shared" si="1"/>
        <v>125134.35888786383</v>
      </c>
      <c r="F58" s="10">
        <f>SUM(E58:$E$103)</f>
        <v>4152097.6346749407</v>
      </c>
      <c r="G58" s="10">
        <f t="shared" si="2"/>
        <v>2044765.2276155045</v>
      </c>
      <c r="H58" s="10">
        <f>SUM(G58:$G$103)</f>
        <v>38577959.284316704</v>
      </c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5"/>
      <c r="X58" s="4"/>
      <c r="Y58" s="45">
        <f>'Ground load'!Y58+'Ground load all'!D57</f>
        <v>248252.71791996979</v>
      </c>
      <c r="Z58" s="10">
        <f t="shared" si="3"/>
        <v>0</v>
      </c>
    </row>
    <row r="59" spans="1:26">
      <c r="B59" s="4"/>
      <c r="C59" s="10">
        <v>7.5</v>
      </c>
      <c r="D59" s="10">
        <f t="shared" si="0"/>
        <v>249706.23563353048</v>
      </c>
      <c r="E59" s="10">
        <f t="shared" si="1"/>
        <v>124551.07289447586</v>
      </c>
      <c r="F59" s="10">
        <f>SUM(E59:$E$103)</f>
        <v>4026963.2757870774</v>
      </c>
      <c r="G59" s="10">
        <f t="shared" si="2"/>
        <v>1982343.8696699198</v>
      </c>
      <c r="H59" s="10">
        <f>SUM(G59:$G$103)</f>
        <v>36533194.056701213</v>
      </c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5">
        <f>'Ground load'!Y59+'Ground load all'!D58</f>
        <v>247209.85402399983</v>
      </c>
      <c r="Z59" s="10">
        <f t="shared" si="3"/>
        <v>0</v>
      </c>
    </row>
    <row r="60" spans="1:26">
      <c r="B60" s="4"/>
      <c r="C60" s="10">
        <v>8</v>
      </c>
      <c r="D60" s="10">
        <f t="shared" si="0"/>
        <v>248498.05594437299</v>
      </c>
      <c r="E60" s="10">
        <f t="shared" si="1"/>
        <v>123925.87417230771</v>
      </c>
      <c r="F60" s="10">
        <f>SUM(E60:$E$103)</f>
        <v>3902412.2028926015</v>
      </c>
      <c r="G60" s="10">
        <f t="shared" si="2"/>
        <v>1920224.6329032239</v>
      </c>
      <c r="H60" s="10">
        <f>SUM(G60:$G$103)</f>
        <v>34550850.187031291</v>
      </c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5">
        <f>'Ground load'!Y60+'Ground load all'!D59</f>
        <v>246084.88973960548</v>
      </c>
      <c r="Z60" s="10">
        <f t="shared" si="3"/>
        <v>0</v>
      </c>
    </row>
    <row r="61" spans="1:26">
      <c r="B61" s="4"/>
      <c r="C61" s="10">
        <v>8.5</v>
      </c>
      <c r="D61" s="10">
        <f t="shared" si="0"/>
        <v>247205.44074485786</v>
      </c>
      <c r="E61" s="10">
        <f t="shared" si="1"/>
        <v>123258.12470986575</v>
      </c>
      <c r="F61" s="10">
        <f>SUM(E61:$E$103)</f>
        <v>3778486.3287202939</v>
      </c>
      <c r="G61" s="10">
        <f t="shared" si="2"/>
        <v>1858428.6331826805</v>
      </c>
      <c r="H61" s="10">
        <f>SUM(G61:$G$103)</f>
        <v>32630625.554128066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5">
        <f>'Ground load'!Y61+'Ground load all'!D60</f>
        <v>244876.71005044799</v>
      </c>
      <c r="Z61" s="10">
        <f t="shared" si="3"/>
        <v>0</v>
      </c>
    </row>
    <row r="62" spans="1:26">
      <c r="B62" s="4"/>
      <c r="C62" s="10">
        <v>9</v>
      </c>
      <c r="D62" s="10">
        <f t="shared" si="0"/>
        <v>245827.05809460513</v>
      </c>
      <c r="E62" s="10">
        <f t="shared" si="1"/>
        <v>122547.12867837065</v>
      </c>
      <c r="F62" s="10">
        <f>SUM(E62:$E$103)</f>
        <v>3655228.2040104279</v>
      </c>
      <c r="G62" s="10">
        <f t="shared" si="2"/>
        <v>1796977.3198356214</v>
      </c>
      <c r="H62" s="10">
        <f>SUM(G62:$G$103)</f>
        <v>30772196.920945387</v>
      </c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5">
        <f>'Ground load'!Y62+'Ground load all'!D61</f>
        <v>243584.09485093286</v>
      </c>
      <c r="Z62" s="10">
        <f t="shared" si="3"/>
        <v>0</v>
      </c>
    </row>
    <row r="63" spans="1:26">
      <c r="B63" s="4"/>
      <c r="C63" s="10">
        <v>9.5</v>
      </c>
      <c r="D63" s="10">
        <f t="shared" si="0"/>
        <v>244361.45661887748</v>
      </c>
      <c r="E63" s="10">
        <f t="shared" si="1"/>
        <v>121792.12839092841</v>
      </c>
      <c r="F63" s="10">
        <f>SUM(E63:$E$103)</f>
        <v>3532681.0753320577</v>
      </c>
      <c r="G63" s="10">
        <f t="shared" si="2"/>
        <v>1735892.5055682966</v>
      </c>
      <c r="H63" s="10">
        <f>SUM(G63:$G$103)</f>
        <v>28975219.601109765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5">
        <f>'Ground load'!Y63+'Ground load all'!D62</f>
        <v>242205.71220068014</v>
      </c>
      <c r="Z63" s="10">
        <f t="shared" si="3"/>
        <v>0</v>
      </c>
    </row>
    <row r="64" spans="1:26">
      <c r="B64" s="4"/>
      <c r="C64" s="10">
        <v>10</v>
      </c>
      <c r="D64" s="10">
        <f t="shared" si="0"/>
        <v>242807.05694483619</v>
      </c>
      <c r="E64" s="10">
        <f t="shared" si="1"/>
        <v>120992.29974728063</v>
      </c>
      <c r="F64" s="10">
        <f>SUM(E64:$E$103)</f>
        <v>3410888.9469411294</v>
      </c>
      <c r="G64" s="10">
        <f t="shared" si="2"/>
        <v>1675196.3985337443</v>
      </c>
      <c r="H64" s="10">
        <f>SUM(G64:$G$103)</f>
        <v>27239327.09554147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5">
        <f>'Ground load'!Y64+'Ground load all'!D63</f>
        <v>240740.11072495248</v>
      </c>
      <c r="Z64" s="10">
        <f t="shared" si="3"/>
        <v>0</v>
      </c>
    </row>
    <row r="65" spans="3:26">
      <c r="C65" s="10">
        <v>10.5</v>
      </c>
      <c r="D65" s="10">
        <f t="shared" si="0"/>
        <v>241162.14204428633</v>
      </c>
      <c r="E65" s="10">
        <f t="shared" si="1"/>
        <v>120146.74709371894</v>
      </c>
      <c r="F65" s="10">
        <f>SUM(E65:$E$103)</f>
        <v>3289896.6471938482</v>
      </c>
      <c r="G65" s="10">
        <f t="shared" si="2"/>
        <v>1614911.6368234945</v>
      </c>
      <c r="H65" s="10">
        <f>SUM(G65:$G$103)</f>
        <v>25564130.697007723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5">
        <f>'Ground load'!Y65+'Ground load all'!D64</f>
        <v>239185.7110509112</v>
      </c>
      <c r="Z65" s="10">
        <f t="shared" si="3"/>
        <v>0</v>
      </c>
    </row>
    <row r="66" spans="3:26">
      <c r="C66" s="10">
        <v>11</v>
      </c>
      <c r="D66" s="10">
        <f t="shared" si="0"/>
        <v>239424.84633058944</v>
      </c>
      <c r="E66" s="10">
        <f t="shared" si="1"/>
        <v>119254.49741509292</v>
      </c>
      <c r="F66" s="10">
        <f>SUM(E66:$E$103)</f>
        <v>3169749.9001001292</v>
      </c>
      <c r="G66" s="10">
        <f t="shared" si="2"/>
        <v>1555061.3256962914</v>
      </c>
      <c r="H66" s="10">
        <f>SUM(G66:$G$103)</f>
        <v>23949219.060184229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5">
        <f>'Ground load'!Y66+'Ground load all'!D65</f>
        <v>237540.79615036133</v>
      </c>
      <c r="Z66" s="10">
        <f t="shared" si="3"/>
        <v>0</v>
      </c>
    </row>
    <row r="67" spans="3:26">
      <c r="C67" s="10">
        <v>11.5</v>
      </c>
      <c r="D67" s="10">
        <f t="shared" si="0"/>
        <v>237593.14332978221</v>
      </c>
      <c r="E67" s="10">
        <f t="shared" si="1"/>
        <v>118314.49376057468</v>
      </c>
      <c r="F67" s="10">
        <f>SUM(E67:$E$103)</f>
        <v>3050495.4026850364</v>
      </c>
      <c r="G67" s="10">
        <f t="shared" si="2"/>
        <v>1495669.0779023746</v>
      </c>
      <c r="H67" s="10">
        <f>SUM(G67:$G$103)</f>
        <v>22394157.734487936</v>
      </c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5">
        <f>'Ground load'!Y67+'Ground load all'!D66</f>
        <v>235803.50043666444</v>
      </c>
      <c r="Z67" s="10">
        <f t="shared" si="3"/>
        <v>0</v>
      </c>
    </row>
    <row r="68" spans="3:26">
      <c r="C68" s="10">
        <v>12</v>
      </c>
      <c r="D68" s="10">
        <f t="shared" si="0"/>
        <v>235664.83171251652</v>
      </c>
      <c r="E68" s="10">
        <f t="shared" si="1"/>
        <v>117325.58778632979</v>
      </c>
      <c r="F68" s="10">
        <f>SUM(E68:$E$103)</f>
        <v>2932180.9089244618</v>
      </c>
      <c r="G68" s="10">
        <f t="shared" si="2"/>
        <v>1436759.0575156484</v>
      </c>
      <c r="H68" s="10">
        <f>SUM(G68:$G$103)</f>
        <v>20898488.656585556</v>
      </c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5">
        <f>'Ground load'!Y68+'Ground load all'!D67</f>
        <v>233971.79743585721</v>
      </c>
      <c r="Z68" s="10">
        <f t="shared" si="3"/>
        <v>0</v>
      </c>
    </row>
    <row r="69" spans="3:26">
      <c r="C69" s="10">
        <v>12.5</v>
      </c>
      <c r="D69" s="10">
        <f t="shared" si="0"/>
        <v>233637.51943280266</v>
      </c>
      <c r="E69" s="10">
        <f t="shared" si="1"/>
        <v>116286.53127566418</v>
      </c>
      <c r="F69" s="10">
        <f>SUM(E69:$E$103)</f>
        <v>2814855.3211381319</v>
      </c>
      <c r="G69" s="10">
        <f t="shared" si="2"/>
        <v>1378356.0277501498</v>
      </c>
      <c r="H69" s="10">
        <f>SUM(G69:$G$103)</f>
        <v>19461729.599069916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5">
        <f>'Ground load'!Y69+'Ground load all'!D68</f>
        <v>232043.48581859152</v>
      </c>
      <c r="Z69" s="10">
        <f t="shared" si="3"/>
        <v>0</v>
      </c>
    </row>
    <row r="70" spans="3:26">
      <c r="C70" s="10">
        <v>13</v>
      </c>
      <c r="D70" s="10">
        <f t="shared" si="0"/>
        <v>231508.60566985406</v>
      </c>
      <c r="E70" s="10">
        <f t="shared" si="1"/>
        <v>115195.9664695196</v>
      </c>
      <c r="F70" s="10">
        <f>SUM(E70:$E$103)</f>
        <v>2698568.7898624679</v>
      </c>
      <c r="G70" s="10">
        <f t="shared" si="2"/>
        <v>1320485.403313854</v>
      </c>
      <c r="H70" s="10">
        <f>SUM(G70:$G$103)</f>
        <v>18083373.571319763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5">
        <f>'Ground load'!Y70+'Ground load all'!D69</f>
        <v>230016.17353887766</v>
      </c>
      <c r="Z70" s="10">
        <f t="shared" si="3"/>
        <v>0</v>
      </c>
    </row>
    <row r="71" spans="3:26">
      <c r="C71" s="10">
        <v>13.5</v>
      </c>
      <c r="D71" s="10">
        <f t="shared" si="0"/>
        <v>229275.2602082243</v>
      </c>
      <c r="E71" s="10">
        <f t="shared" si="1"/>
        <v>114052.41500600759</v>
      </c>
      <c r="F71" s="10">
        <f>SUM(E71:$E$103)</f>
        <v>2583372.8233929481</v>
      </c>
      <c r="G71" s="10">
        <f t="shared" si="2"/>
        <v>1263173.3079449723</v>
      </c>
      <c r="H71" s="10">
        <f>SUM(G71:$G$103)</f>
        <v>16762888.168005917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5">
        <f>'Ground load'!Y71+'Ground load all'!D70</f>
        <v>227887.25977592907</v>
      </c>
      <c r="Z71" s="10">
        <f t="shared" si="3"/>
        <v>0</v>
      </c>
    </row>
    <row r="72" spans="3:26">
      <c r="C72" s="10">
        <v>14</v>
      </c>
      <c r="D72" s="10">
        <f t="shared" si="0"/>
        <v>226934.3998158061</v>
      </c>
      <c r="E72" s="10">
        <f t="shared" si="1"/>
        <v>112854.26522521855</v>
      </c>
      <c r="F72" s="10">
        <f>SUM(E72:$E$103)</f>
        <v>2469320.4083869411</v>
      </c>
      <c r="G72" s="10">
        <f t="shared" si="2"/>
        <v>1206446.6378871659</v>
      </c>
      <c r="H72" s="10">
        <f>SUM(G72:$G$103)</f>
        <v>15499714.860060941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5">
        <f>'Ground load'!Y72+'Ground load all'!D71</f>
        <v>225653.9143142993</v>
      </c>
      <c r="Z72" s="10">
        <f t="shared" si="3"/>
        <v>0</v>
      </c>
    </row>
    <row r="73" spans="3:26">
      <c r="C73" s="10">
        <v>14.5</v>
      </c>
      <c r="D73" s="10">
        <f t="shared" si="0"/>
        <v>224482.6610850681</v>
      </c>
      <c r="E73" s="10">
        <f t="shared" si="1"/>
        <v>111599.75754246028</v>
      </c>
      <c r="F73" s="10">
        <f>SUM(E73:$E$103)</f>
        <v>2356466.1431617225</v>
      </c>
      <c r="G73" s="10">
        <f t="shared" si="2"/>
        <v>1150333.1321952459</v>
      </c>
      <c r="H73" s="10">
        <f>SUM(G73:$G$103)</f>
        <v>14293268.222173776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5">
        <f>'Ground load'!Y73+'Ground load all'!D72</f>
        <v>223313.0539218811</v>
      </c>
      <c r="Z73" s="10">
        <f t="shared" si="3"/>
        <v>0</v>
      </c>
    </row>
    <row r="74" spans="3:26">
      <c r="C74" s="10">
        <v>15</v>
      </c>
      <c r="D74" s="10">
        <f t="shared" si="0"/>
        <v>221916.369084773</v>
      </c>
      <c r="E74" s="10">
        <f t="shared" si="1"/>
        <v>110286.96752624158</v>
      </c>
      <c r="F74" s="10">
        <f>SUM(E74:$E$103)</f>
        <v>2244866.3856192618</v>
      </c>
      <c r="G74" s="10">
        <f t="shared" si="2"/>
        <v>1094861.4509280706</v>
      </c>
      <c r="H74" s="10">
        <f>SUM(G74:$G$103)</f>
        <v>13142935.089978531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5">
        <f>'Ground load'!Y74+'Ground load all'!D73</f>
        <v>220861.31519114311</v>
      </c>
      <c r="Z74" s="10">
        <f t="shared" si="3"/>
        <v>0</v>
      </c>
    </row>
    <row r="75" spans="3:26">
      <c r="C75" s="10">
        <v>15.5</v>
      </c>
      <c r="D75" s="10">
        <f t="shared" si="0"/>
        <v>219231.50102019336</v>
      </c>
      <c r="E75" s="10">
        <f t="shared" si="1"/>
        <v>108913.78623251637</v>
      </c>
      <c r="F75" s="10">
        <f>SUM(E75:$E$103)</f>
        <v>2134579.4180930201</v>
      </c>
      <c r="G75" s="10">
        <f t="shared" si="2"/>
        <v>1040061.262488381</v>
      </c>
      <c r="H75" s="10">
        <f>SUM(G75:$G$103)</f>
        <v>12048073.639050461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5">
        <f>'Ground load'!Y75+'Ground load all'!D74</f>
        <v>218295.02319084801</v>
      </c>
      <c r="Z75" s="10">
        <f t="shared" si="3"/>
        <v>0</v>
      </c>
    </row>
    <row r="76" spans="3:26">
      <c r="C76" s="10">
        <v>16</v>
      </c>
      <c r="D76" s="10">
        <f t="shared" si="0"/>
        <v>216423.64390987216</v>
      </c>
      <c r="E76" s="10">
        <f t="shared" si="1"/>
        <v>107477.89723825696</v>
      </c>
      <c r="F76" s="10">
        <f>SUM(E76:$E$103)</f>
        <v>2025665.6318605042</v>
      </c>
      <c r="G76" s="10">
        <f t="shared" si="2"/>
        <v>985963.34162068786</v>
      </c>
      <c r="H76" s="10">
        <f>SUM(G76:$G$103)</f>
        <v>11008012.376562081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5">
        <f>'Ground load'!Y76+'Ground load all'!D75</f>
        <v>215610.15512626836</v>
      </c>
      <c r="Z76" s="10">
        <f t="shared" si="3"/>
        <v>0</v>
      </c>
    </row>
    <row r="77" spans="3:26">
      <c r="C77" s="10">
        <v>16.5</v>
      </c>
      <c r="D77" s="10">
        <f t="shared" si="0"/>
        <v>213487.94504315569</v>
      </c>
      <c r="E77" s="10">
        <f t="shared" si="1"/>
        <v>105976.74967754971</v>
      </c>
      <c r="F77" s="10">
        <f>SUM(E77:$E$103)</f>
        <v>1918187.7346222473</v>
      </c>
      <c r="G77" s="10">
        <f t="shared" si="2"/>
        <v>932599.67989173625</v>
      </c>
      <c r="H77" s="10">
        <f>SUM(G77:$G$103)</f>
        <v>10022049.034941394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5">
        <f>'Ground load'!Y77+'Ground load all'!D76</f>
        <v>212802.29801594716</v>
      </c>
      <c r="Z77" s="10">
        <f t="shared" si="3"/>
        <v>0</v>
      </c>
    </row>
    <row r="78" spans="3:26">
      <c r="C78" s="10">
        <v>17</v>
      </c>
      <c r="D78" s="10">
        <f t="shared" si="0"/>
        <v>210419.05366704316</v>
      </c>
      <c r="E78" s="10">
        <f t="shared" si="1"/>
        <v>104407.52640133814</v>
      </c>
      <c r="F78" s="10">
        <f>SUM(E78:$E$103)</f>
        <v>1812210.9849446975</v>
      </c>
      <c r="G78" s="10">
        <f t="shared" si="2"/>
        <v>880003.61087201419</v>
      </c>
      <c r="H78" s="10">
        <f>SUM(G78:$G$103)</f>
        <v>9089449.3550496586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5">
        <f>'Ground load'!Y78+'Ground load all'!D77</f>
        <v>209866.59914923069</v>
      </c>
      <c r="Z78" s="10">
        <f t="shared" si="3"/>
        <v>0</v>
      </c>
    </row>
    <row r="79" spans="3:26">
      <c r="C79" s="10">
        <v>17.5</v>
      </c>
      <c r="D79" s="10">
        <f t="shared" si="0"/>
        <v>207211.05193830942</v>
      </c>
      <c r="E79" s="10">
        <f t="shared" si="1"/>
        <v>102767.10614261884</v>
      </c>
      <c r="F79" s="10">
        <f>SUM(E79:$E$103)</f>
        <v>1707803.4585433593</v>
      </c>
      <c r="G79" s="10">
        <f t="shared" si="2"/>
        <v>828209.95273602498</v>
      </c>
      <c r="H79" s="10">
        <f>SUM(G79:$G$103)</f>
        <v>8209445.7441776441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5">
        <f>'Ground load'!Y79+'Ground load all'!D78</f>
        <v>37360.491398118145</v>
      </c>
      <c r="Z79" s="10">
        <f t="shared" si="3"/>
        <v>0</v>
      </c>
    </row>
    <row r="80" spans="3:26">
      <c r="C80" s="10">
        <v>18</v>
      </c>
      <c r="D80" s="10">
        <f t="shared" si="0"/>
        <v>203857.37263216593</v>
      </c>
      <c r="E80" s="10">
        <f t="shared" si="1"/>
        <v>101052.01825098536</v>
      </c>
      <c r="F80" s="10">
        <f>SUM(E80:$E$103)</f>
        <v>1605036.3524007404</v>
      </c>
      <c r="G80" s="10">
        <f t="shared" si="2"/>
        <v>777255.1716376238</v>
      </c>
      <c r="H80" s="10">
        <f>SUM(G80:$G$103)</f>
        <v>7381235.7914416185</v>
      </c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5">
        <f>'Ground load'!Y80+'Ground load all'!D79</f>
        <v>203589.70604438442</v>
      </c>
      <c r="Z80" s="10">
        <f t="shared" si="3"/>
        <v>0</v>
      </c>
    </row>
    <row r="81" spans="1:26">
      <c r="B81" s="4"/>
      <c r="C81" s="10">
        <v>18.5</v>
      </c>
      <c r="D81" s="10">
        <f t="shared" si="0"/>
        <v>200350.70037177551</v>
      </c>
      <c r="E81" s="10">
        <f t="shared" si="1"/>
        <v>99258.38813326291</v>
      </c>
      <c r="F81" s="10">
        <f>SUM(E81:$E$103)</f>
        <v>1503984.3341497551</v>
      </c>
      <c r="G81" s="10">
        <f t="shared" si="2"/>
        <v>727177.57004156173</v>
      </c>
      <c r="H81" s="10">
        <f>SUM(G81:$G$103)</f>
        <v>6603980.619803994</v>
      </c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5">
        <f>'Ground load'!Y81+'Ground load all'!D80</f>
        <v>200236.02673824094</v>
      </c>
      <c r="Z81" s="10">
        <f t="shared" si="3"/>
        <v>0</v>
      </c>
    </row>
    <row r="82" spans="1:26">
      <c r="B82" s="4"/>
      <c r="C82" s="10">
        <v>19</v>
      </c>
      <c r="D82" s="10">
        <f t="shared" si="0"/>
        <v>196682.85216127613</v>
      </c>
      <c r="E82" s="10">
        <f t="shared" si="1"/>
        <v>97381.870955908234</v>
      </c>
      <c r="F82" s="10">
        <f>SUM(E82:$E$103)</f>
        <v>1404725.9460164921</v>
      </c>
      <c r="G82" s="10">
        <f t="shared" si="2"/>
        <v>678017.50526926899</v>
      </c>
      <c r="H82" s="10">
        <f>SUM(G82:$G$103)</f>
        <v>5876803.0497624315</v>
      </c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5">
        <f>'Ground load'!Y82+'Ground load all'!D81</f>
        <v>196729.35447785052</v>
      </c>
      <c r="Z82" s="10">
        <f t="shared" si="3"/>
        <v>0</v>
      </c>
    </row>
    <row r="83" spans="1:26">
      <c r="B83" s="4"/>
      <c r="C83" s="10">
        <v>19.5</v>
      </c>
      <c r="D83" s="10">
        <f t="shared" si="0"/>
        <v>192844.63166235678</v>
      </c>
      <c r="E83" s="10">
        <f t="shared" si="1"/>
        <v>95417.570363706327</v>
      </c>
      <c r="F83" s="10">
        <f>SUM(E83:$E$103)</f>
        <v>1307344.0750605839</v>
      </c>
      <c r="G83" s="10">
        <f t="shared" si="2"/>
        <v>629817.64493936533</v>
      </c>
      <c r="H83" s="10">
        <f>SUM(G83:$G$103)</f>
        <v>5198785.5444931621</v>
      </c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5">
        <f>'Ground load'!Y83+'Ground load all'!D82</f>
        <v>193061.50626735113</v>
      </c>
      <c r="Z83" s="10">
        <f t="shared" si="3"/>
        <v>0</v>
      </c>
    </row>
    <row r="84" spans="1:26">
      <c r="B84" s="4"/>
      <c r="C84" s="10">
        <v>20</v>
      </c>
      <c r="D84" s="10">
        <f t="shared" si="0"/>
        <v>188825.6497924685</v>
      </c>
      <c r="E84" s="10">
        <f t="shared" si="1"/>
        <v>93359.937848383182</v>
      </c>
      <c r="F84" s="10">
        <f>SUM(E84:$E$103)</f>
        <v>1211926.5046968777</v>
      </c>
      <c r="G84" s="10">
        <f t="shared" si="2"/>
        <v>582623.26788634306</v>
      </c>
      <c r="H84" s="10">
        <f>SUM(G84:$G$103)</f>
        <v>4568967.8995537963</v>
      </c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5">
        <f>'Ground load'!Y84+'Ground load all'!D83</f>
        <v>189223.28576843179</v>
      </c>
      <c r="Z84" s="10">
        <f t="shared" si="3"/>
        <v>0</v>
      </c>
    </row>
    <row r="85" spans="1:26">
      <c r="B85" s="4"/>
      <c r="C85" s="10">
        <v>20.5</v>
      </c>
      <c r="D85" s="10">
        <f t="shared" si="0"/>
        <v>184614.10160106423</v>
      </c>
      <c r="E85" s="10">
        <f t="shared" si="1"/>
        <v>91202.646806966673</v>
      </c>
      <c r="F85" s="10">
        <f>SUM(E85:$E$103)</f>
        <v>1118566.5668484946</v>
      </c>
      <c r="G85" s="10">
        <f t="shared" si="2"/>
        <v>536482.62172250554</v>
      </c>
      <c r="H85" s="10">
        <f>SUM(G85:$G$103)</f>
        <v>3986344.6316674529</v>
      </c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5">
        <f>'Ground load'!Y85+'Ground load all'!D84</f>
        <v>185204.3038985435</v>
      </c>
      <c r="Z85" s="10">
        <f t="shared" si="3"/>
        <v>0</v>
      </c>
    </row>
    <row r="86" spans="1:26">
      <c r="B86" s="4"/>
      <c r="C86" s="10">
        <v>21</v>
      </c>
      <c r="D86" s="10">
        <f t="shared" si="0"/>
        <v>180196.48562680246</v>
      </c>
      <c r="E86" s="10">
        <f t="shared" si="1"/>
        <v>88938.433022966434</v>
      </c>
      <c r="F86" s="10">
        <f>SUM(E86:$E$103)</f>
        <v>1027363.9200415276</v>
      </c>
      <c r="G86" s="10">
        <f t="shared" si="2"/>
        <v>491447.35176502221</v>
      </c>
      <c r="H86" s="10">
        <f>SUM(G86:$G$103)</f>
        <v>3449862.009944947</v>
      </c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5">
        <f>'Ground load'!Y86+'Ground load all'!D85</f>
        <v>180992.75570713924</v>
      </c>
      <c r="Z86" s="10">
        <f t="shared" si="3"/>
        <v>0</v>
      </c>
    </row>
    <row r="87" spans="1:26">
      <c r="B87" s="4"/>
      <c r="C87" s="10">
        <v>21.5</v>
      </c>
      <c r="D87" s="10">
        <f t="shared" si="0"/>
        <v>175557.2464650633</v>
      </c>
      <c r="E87" s="10">
        <f t="shared" si="1"/>
        <v>86558.889898399226</v>
      </c>
      <c r="F87" s="10">
        <f>SUM(E87:$E$103)</f>
        <v>938425.48701856122</v>
      </c>
      <c r="G87" s="10">
        <f t="shared" si="2"/>
        <v>447573.02103468077</v>
      </c>
      <c r="H87" s="10">
        <f>SUM(G87:$G$103)</f>
        <v>2958414.6581799248</v>
      </c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5">
        <f>'Ground load'!Y87+'Ground load all'!D86</f>
        <v>176575.13973287746</v>
      </c>
      <c r="Z87" s="10">
        <f t="shared" si="3"/>
        <v>0</v>
      </c>
    </row>
    <row r="88" spans="1:26">
      <c r="B88" s="4"/>
      <c r="C88" s="10">
        <v>22</v>
      </c>
      <c r="D88" s="10">
        <f t="shared" si="0"/>
        <v>170678.3131285336</v>
      </c>
      <c r="E88" s="10">
        <f t="shared" si="1"/>
        <v>84054.201626944996</v>
      </c>
      <c r="F88" s="10">
        <f>SUM(E88:$E$103)</f>
        <v>851866.59712016187</v>
      </c>
      <c r="G88" s="10">
        <f t="shared" si="2"/>
        <v>404919.74815334467</v>
      </c>
      <c r="H88" s="10">
        <f>SUM(G88:$G$103)</f>
        <v>2510841.6371452445</v>
      </c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5">
        <f>'Ground load'!Y88+'Ground load all'!D87</f>
        <v>171935.90057113831</v>
      </c>
      <c r="Z88" s="10">
        <f t="shared" si="3"/>
        <v>0</v>
      </c>
    </row>
    <row r="89" spans="1:26" s="34" customFormat="1" ht="18.95" thickBot="1">
      <c r="A89" s="29"/>
      <c r="B89" s="21"/>
      <c r="C89" s="10">
        <v>22.5</v>
      </c>
      <c r="D89" s="10">
        <f t="shared" si="0"/>
        <v>165538.49337924636</v>
      </c>
      <c r="E89" s="10">
        <f t="shared" si="1"/>
        <v>81412.789553122042</v>
      </c>
      <c r="F89" s="10">
        <f>SUM(E89:$E$103)</f>
        <v>767812.39549321681</v>
      </c>
      <c r="G89" s="10">
        <f t="shared" si="2"/>
        <v>363553.00035832787</v>
      </c>
      <c r="H89" s="10">
        <f>SUM(G89:$G$103)</f>
        <v>2105921.8889918998</v>
      </c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45">
        <f>'Ground load'!Y89+'Ground load all'!D88</f>
        <v>167056.9672346086</v>
      </c>
      <c r="Z89" s="10">
        <f t="shared" si="3"/>
        <v>0</v>
      </c>
    </row>
    <row r="90" spans="1:26">
      <c r="B90" s="4"/>
      <c r="C90" s="10">
        <v>23</v>
      </c>
      <c r="D90" s="10">
        <f t="shared" si="0"/>
        <v>160112.66483324178</v>
      </c>
      <c r="E90" s="10">
        <f t="shared" si="1"/>
        <v>78620.834328041674</v>
      </c>
      <c r="F90" s="10">
        <f>SUM(E90:$E$103)</f>
        <v>686399.60594009468</v>
      </c>
      <c r="G90" s="10">
        <f t="shared" si="2"/>
        <v>323544.59438803699</v>
      </c>
      <c r="H90" s="10">
        <f>SUM(G90:$G$103)</f>
        <v>1742368.888633572</v>
      </c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5">
        <f>'Ground load'!Y90+'Ground load all'!D89</f>
        <v>161917.14748532136</v>
      </c>
      <c r="Z90" s="10">
        <f t="shared" si="3"/>
        <v>0</v>
      </c>
    </row>
    <row r="91" spans="1:26" ht="18.75" customHeight="1">
      <c r="B91" s="4"/>
      <c r="C91" s="10">
        <v>23.5</v>
      </c>
      <c r="D91" s="10">
        <f t="shared" si="0"/>
        <v>154370.67247892491</v>
      </c>
      <c r="E91" s="10">
        <f t="shared" si="1"/>
        <v>75661.615733477942</v>
      </c>
      <c r="F91" s="10">
        <f>SUM(E91:$E$103)</f>
        <v>607778.77161205327</v>
      </c>
      <c r="G91" s="10">
        <f t="shared" si="2"/>
        <v>284973.98187265714</v>
      </c>
      <c r="H91" s="10">
        <f>SUM(G91:$G$103)</f>
        <v>1418824.2942455353</v>
      </c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5">
        <f>'Ground load'!Y91+'Ground load all'!D90</f>
        <v>156491.31893931678</v>
      </c>
      <c r="Z91" s="10">
        <f t="shared" si="3"/>
        <v>0</v>
      </c>
    </row>
    <row r="92" spans="1:26" ht="18.75" customHeight="1">
      <c r="B92" s="4"/>
      <c r="C92" s="10">
        <v>24</v>
      </c>
      <c r="D92" s="10">
        <f t="shared" si="0"/>
        <v>148275.79045498685</v>
      </c>
      <c r="E92" s="10">
        <f t="shared" si="1"/>
        <v>72514.576734599803</v>
      </c>
      <c r="F92" s="10">
        <f>SUM(E92:$E$103)</f>
        <v>532117.15587857529</v>
      </c>
      <c r="G92" s="10">
        <f t="shared" si="2"/>
        <v>247929.93375563773</v>
      </c>
      <c r="H92" s="10">
        <f>SUM(G92:$G$103)</f>
        <v>1133850.312372878</v>
      </c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5">
        <f>'Ground load'!Y92+'Ground load all'!D91</f>
        <v>150749.32658499992</v>
      </c>
      <c r="Z92" s="10">
        <f t="shared" si="3"/>
        <v>0</v>
      </c>
    </row>
    <row r="93" spans="1:26" ht="18.75" customHeight="1">
      <c r="B93" s="4"/>
      <c r="C93" s="10">
        <v>24.5</v>
      </c>
      <c r="D93" s="10">
        <f t="shared" si="0"/>
        <v>141782.51648341239</v>
      </c>
      <c r="E93" s="10">
        <f t="shared" si="1"/>
        <v>69153.95557511106</v>
      </c>
      <c r="F93" s="10">
        <f>SUM(E93:$E$103)</f>
        <v>459602.57914397557</v>
      </c>
      <c r="G93" s="10">
        <f t="shared" si="2"/>
        <v>212512.80067821001</v>
      </c>
      <c r="H93" s="10">
        <f>SUM(G93:$G$103)</f>
        <v>885920.37861724023</v>
      </c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5">
        <f>'Ground load'!Y93+'Ground load all'!D92</f>
        <v>144654.44456106186</v>
      </c>
      <c r="Z93" s="10">
        <f t="shared" si="3"/>
        <v>0</v>
      </c>
    </row>
    <row r="94" spans="1:26" ht="18.75" customHeight="1">
      <c r="B94" s="4"/>
      <c r="C94" s="10">
        <v>25</v>
      </c>
      <c r="D94" s="10">
        <f t="shared" si="0"/>
        <v>134833.30581703183</v>
      </c>
      <c r="E94" s="10">
        <f t="shared" si="1"/>
        <v>65546.712451540778</v>
      </c>
      <c r="F94" s="10">
        <f>SUM(E94:$E$103)</f>
        <v>390448.62356886448</v>
      </c>
      <c r="G94" s="10">
        <f t="shared" si="2"/>
        <v>178837.63367154702</v>
      </c>
      <c r="H94" s="10">
        <f>SUM(G94:$G$103)</f>
        <v>673407.57793903013</v>
      </c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5">
        <f>'Ground load'!Y94+'Ground load all'!D93</f>
        <v>138161.17058948739</v>
      </c>
      <c r="Z94" s="10">
        <f t="shared" si="3"/>
        <v>0</v>
      </c>
    </row>
    <row r="95" spans="1:26" ht="18.75" customHeight="1">
      <c r="B95" s="4"/>
      <c r="C95" s="10">
        <v>25.5</v>
      </c>
      <c r="D95" s="10">
        <f t="shared" si="0"/>
        <v>127353.54398913129</v>
      </c>
      <c r="E95" s="10">
        <f t="shared" si="1"/>
        <v>61649.244345685205</v>
      </c>
      <c r="F95" s="10">
        <f>SUM(E95:$E$103)</f>
        <v>324901.91111732362</v>
      </c>
      <c r="G95" s="10">
        <f t="shared" si="2"/>
        <v>147038.64447224053</v>
      </c>
      <c r="H95" s="10">
        <f>SUM(G95:$G$103)</f>
        <v>494569.9442674832</v>
      </c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5">
        <f>'Ground load'!Y95+'Ground load all'!D94</f>
        <v>131211.95992310683</v>
      </c>
      <c r="Z95" s="10">
        <f t="shared" si="3"/>
        <v>0</v>
      </c>
    </row>
    <row r="96" spans="1:26" ht="18.75" customHeight="1">
      <c r="B96" s="4"/>
      <c r="C96" s="10">
        <v>26</v>
      </c>
      <c r="D96" s="10">
        <f t="shared" si="0"/>
        <v>119243.43339360954</v>
      </c>
      <c r="E96" s="10">
        <f t="shared" si="1"/>
        <v>57401.882795066878</v>
      </c>
      <c r="F96" s="10">
        <f>SUM(E96:$E$103)</f>
        <v>263252.66677163844</v>
      </c>
      <c r="G96" s="10">
        <f t="shared" si="2"/>
        <v>117275.86268705249</v>
      </c>
      <c r="H96" s="10">
        <f>SUM(G96:$G$103)</f>
        <v>347531.29979524267</v>
      </c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5">
        <f>'Ground load'!Y96+'Ground load all'!D95</f>
        <v>123732.19809520629</v>
      </c>
      <c r="Z96" s="10">
        <f t="shared" si="3"/>
        <v>0</v>
      </c>
    </row>
    <row r="97" spans="3:26" ht="18.75" customHeight="1">
      <c r="C97" s="10">
        <v>26.5</v>
      </c>
      <c r="D97" s="10">
        <f t="shared" si="0"/>
        <v>110364.09778665798</v>
      </c>
      <c r="E97" s="10">
        <f t="shared" si="1"/>
        <v>52718.994650319095</v>
      </c>
      <c r="F97" s="10">
        <f>SUM(E97:$E$103)</f>
        <v>205850.78397657155</v>
      </c>
      <c r="G97" s="10">
        <f t="shared" si="2"/>
        <v>89745.643325706013</v>
      </c>
      <c r="H97" s="10">
        <f>SUM(G97:$G$103)</f>
        <v>230255.43710819021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5">
        <f>'Ground load'!Y97+'Ground load all'!D96</f>
        <v>115622.08749968454</v>
      </c>
      <c r="Z97" s="10">
        <f t="shared" si="3"/>
        <v>0</v>
      </c>
    </row>
    <row r="98" spans="3:26" ht="18.75" customHeight="1">
      <c r="C98" s="10">
        <v>27</v>
      </c>
      <c r="D98" s="10">
        <f t="shared" si="0"/>
        <v>100511.8808146184</v>
      </c>
      <c r="E98" s="10">
        <f t="shared" si="1"/>
        <v>47469.367767067175</v>
      </c>
      <c r="F98" s="10">
        <f>SUM(E98:$E$103)</f>
        <v>153131.78932625247</v>
      </c>
      <c r="G98" s="10">
        <f t="shared" si="2"/>
        <v>64698.55272135944</v>
      </c>
      <c r="H98" s="10">
        <f>SUM(G98:$G$103)</f>
        <v>140509.79378248416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5">
        <f>'Ground load'!Y98+'Ground load all'!D97</f>
        <v>106742.75189273298</v>
      </c>
      <c r="Z98" s="10">
        <f t="shared" si="3"/>
        <v>0</v>
      </c>
    </row>
    <row r="99" spans="3:26">
      <c r="C99" s="10">
        <v>27.5</v>
      </c>
      <c r="D99" s="10">
        <f t="shared" si="0"/>
        <v>89365.590253650284</v>
      </c>
      <c r="E99" s="10">
        <f t="shared" si="1"/>
        <v>41431.55486000263</v>
      </c>
      <c r="F99" s="10">
        <f>SUM(E99:$E$103)</f>
        <v>105662.42155918528</v>
      </c>
      <c r="G99" s="10">
        <f t="shared" si="2"/>
        <v>42473.322064591986</v>
      </c>
      <c r="H99" s="10">
        <f>SUM(G99:$G$103)</f>
        <v>75811.241061124732</v>
      </c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5">
        <f>'Ground load'!Y99+'Ground load all'!D98</f>
        <v>96890.534920693404</v>
      </c>
      <c r="Z99" s="10">
        <f t="shared" si="3"/>
        <v>0</v>
      </c>
    </row>
    <row r="100" spans="3:26">
      <c r="C100" s="10">
        <v>28</v>
      </c>
      <c r="D100" s="10">
        <f t="shared" si="0"/>
        <v>76360.629186360238</v>
      </c>
      <c r="E100" s="10">
        <f t="shared" si="1"/>
        <v>34166.730784025218</v>
      </c>
      <c r="F100" s="10">
        <f>SUM(E100:$E$103)</f>
        <v>64230.866699182661</v>
      </c>
      <c r="G100" s="10">
        <f t="shared" si="2"/>
        <v>23573.750653585026</v>
      </c>
      <c r="H100" s="10">
        <f>SUM(G100:$G$103)</f>
        <v>33337.918996532739</v>
      </c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5">
        <f>'Ground load'!Y100+'Ground load all'!D99</f>
        <v>85744.244359725286</v>
      </c>
      <c r="Z100" s="10">
        <f t="shared" si="3"/>
        <v>0</v>
      </c>
    </row>
    <row r="101" spans="3:26">
      <c r="C101" s="10">
        <v>28.5</v>
      </c>
      <c r="D101" s="10">
        <f t="shared" si="0"/>
        <v>60306.293949740633</v>
      </c>
      <c r="E101" s="10">
        <f t="shared" si="1"/>
        <v>24443.800004761579</v>
      </c>
      <c r="F101" s="10">
        <f>SUM(E101:$E$103)</f>
        <v>30064.135915157443</v>
      </c>
      <c r="G101" s="10">
        <f t="shared" si="2"/>
        <v>8921.117956388327</v>
      </c>
      <c r="H101" s="10">
        <f>SUM(G101:$G$103)</f>
        <v>9764.1683429477089</v>
      </c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5">
        <f>'Ground load'!Y101+'Ground load all'!D100</f>
        <v>72739.283292435241</v>
      </c>
      <c r="Z101" s="10">
        <f t="shared" si="3"/>
        <v>0</v>
      </c>
    </row>
    <row r="102" spans="3:26">
      <c r="C102" s="10">
        <v>29</v>
      </c>
      <c r="D102" s="10">
        <f t="shared" si="0"/>
        <v>37468.906069305689</v>
      </c>
      <c r="E102" s="10">
        <f t="shared" si="1"/>
        <v>5620.3359103958664</v>
      </c>
      <c r="F102" s="10">
        <f>SUM(E102:$E$103)</f>
        <v>5620.3359103958664</v>
      </c>
      <c r="G102" s="10">
        <f t="shared" si="2"/>
        <v>843.05038655938199</v>
      </c>
      <c r="H102" s="10">
        <f>SUM(G102:$G$103)</f>
        <v>843.05038655938199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5">
        <f>'Ground load'!Y102+'Ground load all'!D101</f>
        <v>56684.948055815636</v>
      </c>
      <c r="Z102" s="10">
        <f t="shared" si="3"/>
        <v>0</v>
      </c>
    </row>
    <row r="103" spans="3:26">
      <c r="C103" s="10">
        <v>29.3</v>
      </c>
      <c r="D103" s="4">
        <v>0</v>
      </c>
      <c r="E103" s="10">
        <f t="shared" si="1"/>
        <v>0</v>
      </c>
      <c r="F103" s="10">
        <f>SUM(E103:$E$103)</f>
        <v>0</v>
      </c>
      <c r="G103" s="10">
        <f t="shared" si="2"/>
        <v>0</v>
      </c>
      <c r="H103" s="10">
        <f>SUM(G103:$G$103)</f>
        <v>0</v>
      </c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5">
        <f>'Ground load'!Y103+'Ground load all'!D102</f>
        <v>35223.671615072199</v>
      </c>
      <c r="Z103" s="4"/>
    </row>
    <row r="104" spans="3:26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5">
        <f>'Ground load'!Y104+'Ground load all'!D103</f>
        <v>0</v>
      </c>
      <c r="Z104" s="4"/>
    </row>
    <row r="106" spans="3:26">
      <c r="C106" s="4"/>
      <c r="D106" s="4"/>
      <c r="E106" s="5" t="s">
        <v>144</v>
      </c>
      <c r="F106" s="35">
        <f>SUM(E44:E80)</f>
        <v>4438871.0727210548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13" spans="1:5">
      <c r="A113" s="121" t="s">
        <v>162</v>
      </c>
      <c r="B113" s="4"/>
      <c r="C113" s="206" t="s">
        <v>163</v>
      </c>
      <c r="D113" s="206"/>
      <c r="E113" s="206"/>
    </row>
    <row r="114" spans="1:5" ht="14.45">
      <c r="A114" s="207" t="s">
        <v>164</v>
      </c>
      <c r="B114" s="4"/>
      <c r="C114" s="5" t="s">
        <v>136</v>
      </c>
      <c r="D114" s="5" t="s">
        <v>140</v>
      </c>
      <c r="E114" s="5" t="s">
        <v>142</v>
      </c>
    </row>
    <row r="115" spans="1:5" ht="14.45">
      <c r="A115" s="218"/>
      <c r="B115" s="4"/>
      <c r="C115" s="5" t="s">
        <v>23</v>
      </c>
      <c r="D115" s="5" t="s">
        <v>119</v>
      </c>
      <c r="E115" s="5" t="s">
        <v>107</v>
      </c>
    </row>
    <row r="116" spans="1:5" ht="14.45">
      <c r="A116" s="218"/>
      <c r="B116" s="4"/>
      <c r="C116" s="10">
        <v>0</v>
      </c>
      <c r="D116" s="10">
        <f>'Ground load all'!F44-'Ground load'!H46</f>
        <v>-554511.24623107631</v>
      </c>
      <c r="E116" s="10">
        <f>H44-'Ground load'!J46</f>
        <v>47546769.997055054</v>
      </c>
    </row>
    <row r="117" spans="1:5" ht="14.45">
      <c r="A117" s="218"/>
      <c r="B117" s="4"/>
      <c r="C117" s="10">
        <v>0.5</v>
      </c>
      <c r="D117" s="10">
        <f>'Ground load all'!F45-'Ground load'!H47</f>
        <v>-680033.49462711811</v>
      </c>
      <c r="E117" s="10">
        <f>H45-'Ground load'!J47</f>
        <v>47855406.182269603</v>
      </c>
    </row>
    <row r="118" spans="1:5" ht="14.45">
      <c r="A118" s="218"/>
      <c r="B118" s="4"/>
      <c r="C118" s="10">
        <v>1</v>
      </c>
      <c r="D118" s="10">
        <f>'Ground load all'!F46-'Ground load'!H48</f>
        <v>-805518.14722753502</v>
      </c>
      <c r="E118" s="10">
        <f>H46-'Ground load'!J48</f>
        <v>48226794.092733249</v>
      </c>
    </row>
    <row r="119" spans="1:5" ht="14.45">
      <c r="A119" s="218"/>
      <c r="B119" s="4"/>
      <c r="C119" s="10">
        <v>1.5</v>
      </c>
      <c r="D119" s="10">
        <f>'Ground load all'!F47-'Ground load'!H49</f>
        <v>-930927.57536417339</v>
      </c>
      <c r="E119" s="10">
        <f>H47-'Ground load'!J49</f>
        <v>48660905.523381166</v>
      </c>
    </row>
    <row r="120" spans="1:5" ht="14.45">
      <c r="A120" s="218"/>
      <c r="B120" s="4"/>
      <c r="C120" s="10">
        <v>2</v>
      </c>
      <c r="D120" s="10">
        <f>'Ground load all'!F48-'Ground load'!H50</f>
        <v>-1056224.0844798591</v>
      </c>
      <c r="E120" s="10">
        <f>H48-'Ground load'!J50</f>
        <v>49157693.438342176</v>
      </c>
    </row>
    <row r="121" spans="1:5" ht="14.45">
      <c r="A121" s="218"/>
      <c r="B121" s="4"/>
      <c r="C121" s="10">
        <v>2.5</v>
      </c>
      <c r="D121" s="10">
        <f>'Ground load all'!F49-'Ground load'!H51</f>
        <v>-1181369.8808225021</v>
      </c>
      <c r="E121" s="10">
        <f>H49-'Ground load'!J51</f>
        <v>49717091.929667771</v>
      </c>
    </row>
    <row r="122" spans="1:5">
      <c r="B122" s="4"/>
      <c r="C122" s="10">
        <v>3</v>
      </c>
      <c r="D122" s="10">
        <f>'Ground load all'!F50-'Ground load'!H52</f>
        <v>-1306327.037701373</v>
      </c>
      <c r="E122" s="10">
        <f>H50-'Ground load'!J52</f>
        <v>50339016.15929874</v>
      </c>
    </row>
    <row r="123" spans="1:5">
      <c r="B123" s="4"/>
      <c r="C123" s="10">
        <v>3.5</v>
      </c>
      <c r="D123" s="10">
        <f>'Ground load all'!F51-'Ground load'!H53</f>
        <v>4515151.4628973864</v>
      </c>
      <c r="E123" s="10">
        <f>H51-'Ground load'!J53</f>
        <v>49536810.052999735</v>
      </c>
    </row>
    <row r="124" spans="1:5">
      <c r="B124" s="4"/>
      <c r="C124" s="10">
        <v>4</v>
      </c>
      <c r="D124" s="10">
        <f>'Ground load all'!F52-'Ground load'!H54</f>
        <v>4390686.0691951355</v>
      </c>
      <c r="E124" s="10">
        <f>H52-'Ground load'!J54</f>
        <v>47310350.6699766</v>
      </c>
    </row>
    <row r="125" spans="1:5">
      <c r="B125" s="4"/>
      <c r="C125" s="10">
        <v>4.5</v>
      </c>
      <c r="D125" s="10">
        <f>'Ground load all'!F53-'Ground load'!H55</f>
        <v>4266524.2399221035</v>
      </c>
      <c r="E125" s="10">
        <f>H53-'Ground load'!J55</f>
        <v>45146048.092697278</v>
      </c>
    </row>
    <row r="126" spans="1:5">
      <c r="B126" s="4"/>
      <c r="C126" s="10">
        <v>5</v>
      </c>
      <c r="D126" s="10">
        <f>'Ground load all'!F54-'Ground load'!H56</f>
        <v>4142704.7852125806</v>
      </c>
      <c r="E126" s="10">
        <f>H54-'Ground load'!J56</f>
        <v>43043740.836413607</v>
      </c>
    </row>
    <row r="127" spans="1:5">
      <c r="B127" s="4"/>
      <c r="C127" s="10">
        <v>5.5</v>
      </c>
      <c r="D127" s="10">
        <f>'Ground load all'!F55-'Ground load'!H57</f>
        <v>4019266.8290328626</v>
      </c>
      <c r="E127" s="10">
        <f>H55-'Ground load'!J57</f>
        <v>41003247.932852238</v>
      </c>
    </row>
    <row r="128" spans="1:5">
      <c r="B128" s="4"/>
      <c r="C128" s="10">
        <v>6</v>
      </c>
      <c r="D128" s="10">
        <f>'Ground load all'!F56-'Ground load'!H58</f>
        <v>4065687.065420086</v>
      </c>
      <c r="E128" s="10">
        <f>H56-'Ground load'!J58</f>
        <v>38982009.459238999</v>
      </c>
    </row>
    <row r="129" spans="3:5">
      <c r="C129" s="10">
        <v>6.5</v>
      </c>
      <c r="D129" s="10">
        <f>'Ground load all'!F57-'Ground load'!H59</f>
        <v>3943130.9345520362</v>
      </c>
      <c r="E129" s="10">
        <f>H57-'Ground load'!J59</f>
        <v>36979804.959245965</v>
      </c>
    </row>
    <row r="130" spans="3:5">
      <c r="C130" s="10">
        <v>7</v>
      </c>
      <c r="D130" s="10">
        <f>'Ground load all'!F58-'Ground load'!H60</f>
        <v>3821075.9645130071</v>
      </c>
      <c r="E130" s="10">
        <f>H58-'Ground load'!J60</f>
        <v>35038753.23447971</v>
      </c>
    </row>
    <row r="131" spans="3:5">
      <c r="C131" s="10">
        <v>7.5</v>
      </c>
      <c r="D131" s="10">
        <f>'Ground load all'!F59-'Ground load'!H61</f>
        <v>3699562.9515190688</v>
      </c>
      <c r="E131" s="10">
        <f>H59-'Ground load'!J61</f>
        <v>33158593.505471706</v>
      </c>
    </row>
    <row r="132" spans="3:5">
      <c r="C132" s="10">
        <v>8</v>
      </c>
      <c r="D132" s="10">
        <f>'Ground load all'!F60-'Ground load'!H62</f>
        <v>3578633.224518518</v>
      </c>
      <c r="E132" s="10">
        <f>H60-'Ground load'!J62</f>
        <v>31339044.461462308</v>
      </c>
    </row>
    <row r="133" spans="3:5">
      <c r="C133" s="10">
        <v>8.5</v>
      </c>
      <c r="D133" s="10">
        <f>'Ground load all'!F61-'Ground load'!H63</f>
        <v>3458328.6962401355</v>
      </c>
      <c r="E133" s="10">
        <f>H61-'Ground load'!J63</f>
        <v>29579803.981272642</v>
      </c>
    </row>
    <row r="134" spans="3:5">
      <c r="C134" s="10">
        <v>9</v>
      </c>
      <c r="D134" s="10">
        <f>'Ground load all'!F62-'Ground load'!H64</f>
        <v>3338691.9174241945</v>
      </c>
      <c r="E134" s="10">
        <f>H62-'Ground load'!J64</f>
        <v>27880548.827856563</v>
      </c>
    </row>
    <row r="135" spans="3:5">
      <c r="C135" s="10">
        <v>9.5</v>
      </c>
      <c r="D135" s="10">
        <f>'Ground load all'!F63-'Ground load'!H65</f>
        <v>3219766.1346397493</v>
      </c>
      <c r="E135" s="10">
        <f>H63-'Ground load'!J65</f>
        <v>26240934.314840578</v>
      </c>
    </row>
    <row r="136" spans="3:5">
      <c r="C136" s="10">
        <v>10</v>
      </c>
      <c r="D136" s="10">
        <f>'Ground load all'!F64-'Ground load'!H66</f>
        <v>3101595.3521427461</v>
      </c>
      <c r="E136" s="10">
        <f>H64-'Ground load'!J66</f>
        <v>24660593.943144955</v>
      </c>
    </row>
    <row r="137" spans="3:5">
      <c r="C137" s="10">
        <v>10.5</v>
      </c>
      <c r="D137" s="10">
        <f>'Ground load all'!F65-'Ground load'!H67</f>
        <v>2984224.3982893899</v>
      </c>
      <c r="E137" s="10">
        <f>H65-'Ground load'!J67</f>
        <v>23139139.005536918</v>
      </c>
    </row>
    <row r="138" spans="3:5">
      <c r="C138" s="10">
        <v>11</v>
      </c>
      <c r="D138" s="10">
        <f>'Ground load all'!F66-'Ground load'!H68</f>
        <v>2867698.9970895955</v>
      </c>
      <c r="E138" s="10">
        <f>H66-'Ground load'!J68</f>
        <v>21676158.15669217</v>
      </c>
    </row>
    <row r="139" spans="3:5">
      <c r="C139" s="10">
        <v>11.5</v>
      </c>
      <c r="D139" s="10">
        <f>'Ground load all'!F67-'Ground load'!H69</f>
        <v>2752065.8455684278</v>
      </c>
      <c r="E139" s="10">
        <f>H67-'Ground load'!J69</f>
        <v>20271216.946027663</v>
      </c>
    </row>
    <row r="140" spans="3:5">
      <c r="C140" s="10">
        <v>12</v>
      </c>
      <c r="D140" s="10">
        <f>'Ground load all'!F68-'Ground load'!H70</f>
        <v>2637372.6977017783</v>
      </c>
      <c r="E140" s="10">
        <f>H68-'Ground load'!J70</f>
        <v>18923857.310210105</v>
      </c>
    </row>
    <row r="141" spans="3:5">
      <c r="C141" s="10">
        <v>12.5</v>
      </c>
      <c r="D141" s="10">
        <f>'Ground load all'!F69-'Ground load'!H71</f>
        <v>2523668.4558093734</v>
      </c>
      <c r="E141" s="10">
        <f>H69-'Ground load'!J71</f>
        <v>17633597.021832325</v>
      </c>
    </row>
    <row r="142" spans="3:5">
      <c r="C142" s="10">
        <v>13</v>
      </c>
      <c r="D142" s="10">
        <f>'Ground load all'!F70-'Ground load'!H72</f>
        <v>2411003.2704276345</v>
      </c>
      <c r="E142" s="10">
        <f>H70-'Ground load'!J72</f>
        <v>16399929.090273071</v>
      </c>
    </row>
    <row r="143" spans="3:5">
      <c r="C143" s="10">
        <v>13.5</v>
      </c>
      <c r="D143" s="10">
        <f>'Ground load all'!F71-'Ground load'!H73</f>
        <v>2299428.6498520398</v>
      </c>
      <c r="E143" s="10">
        <f>H71-'Ground load'!J73</f>
        <v>15222321.110203162</v>
      </c>
    </row>
    <row r="144" spans="3:5">
      <c r="C144" s="10">
        <v>14</v>
      </c>
      <c r="D144" s="10">
        <f>'Ground load all'!F72-'Ground load'!H74</f>
        <v>2188997.5807399577</v>
      </c>
      <c r="E144" s="10">
        <f>H72-'Ground load'!J74</f>
        <v>14100214.552555159</v>
      </c>
    </row>
    <row r="145" spans="3:5">
      <c r="C145" s="10">
        <v>14.5</v>
      </c>
      <c r="D145" s="10">
        <f>'Ground load all'!F73-'Ground load'!H75</f>
        <v>2079764.661408664</v>
      </c>
      <c r="E145" s="10">
        <f>H73-'Ground load'!J75</f>
        <v>13033023.992018003</v>
      </c>
    </row>
    <row r="146" spans="3:5">
      <c r="C146" s="10">
        <v>15</v>
      </c>
      <c r="D146" s="10">
        <f>'Ground load all'!F74-'Ground load'!H76</f>
        <v>1971786.2497601283</v>
      </c>
      <c r="E146" s="10">
        <f>H74-'Ground load'!J76</f>
        <v>12020136.264225807</v>
      </c>
    </row>
    <row r="147" spans="3:5">
      <c r="C147" s="10">
        <v>15.5</v>
      </c>
      <c r="D147" s="10">
        <f>'Ground load all'!F75-'Ground load'!H77</f>
        <v>1865120.6281278117</v>
      </c>
      <c r="E147" s="10">
        <f>H75-'Ground load'!J77</f>
        <v>11060909.544753822</v>
      </c>
    </row>
    <row r="148" spans="3:5">
      <c r="C148" s="10">
        <v>16</v>
      </c>
      <c r="D148" s="10">
        <f>'Ground load all'!F76-'Ground load'!H78</f>
        <v>1759828.1877892208</v>
      </c>
      <c r="E148" s="10">
        <f>H76-'Ground load'!J78</f>
        <v>10154672.340774566</v>
      </c>
    </row>
    <row r="149" spans="3:5">
      <c r="C149" s="10">
        <v>16.5</v>
      </c>
      <c r="D149" s="10">
        <f>'Ground load all'!F77-'Ground load'!H79</f>
        <v>1655971.6364448888</v>
      </c>
      <c r="E149" s="10">
        <f>H77-'Ground load'!J79</f>
        <v>9300722.3847160377</v>
      </c>
    </row>
    <row r="150" spans="3:5">
      <c r="C150" s="10">
        <v>17</v>
      </c>
      <c r="D150" s="10">
        <f>'Ground load all'!F78-'Ground load'!H80</f>
        <v>1553616.232661264</v>
      </c>
      <c r="E150" s="10">
        <f>H78-'Ground load'!J80</f>
        <v>8498325.4174395017</v>
      </c>
    </row>
    <row r="151" spans="3:5">
      <c r="C151" s="10">
        <v>17.5</v>
      </c>
      <c r="D151" s="10">
        <f>'Ground load all'!F79-'Ground load'!H81</f>
        <v>1622267.2685288507</v>
      </c>
      <c r="E151" s="10">
        <f>H79-'Ground load'!J81</f>
        <v>7704354.5421419721</v>
      </c>
    </row>
    <row r="152" spans="3:5">
      <c r="C152" s="10">
        <v>18</v>
      </c>
      <c r="D152" s="10">
        <f>'Ground load all'!F80-'Ground load'!H82</f>
        <v>1523121.5082801569</v>
      </c>
      <c r="E152" s="10">
        <f>H80-'Ground load'!J82</f>
        <v>6918007.3479397194</v>
      </c>
    </row>
    <row r="153" spans="3:5">
      <c r="C153" s="10">
        <v>18.5</v>
      </c>
      <c r="D153" s="10">
        <f>'Ground load all'!F81-'Ground load'!H83</f>
        <v>1425690.8359230966</v>
      </c>
      <c r="E153" s="10">
        <f>H81-'Ground load'!J83</f>
        <v>6180804.2618889054</v>
      </c>
    </row>
    <row r="154" spans="3:5">
      <c r="C154" s="10">
        <v>19</v>
      </c>
      <c r="D154" s="10">
        <f>'Ground load all'!F82-'Ground load'!H84</f>
        <v>1330053.7936837587</v>
      </c>
      <c r="E154" s="10">
        <f>H82-'Ground load'!J84</f>
        <v>5491868.104487191</v>
      </c>
    </row>
    <row r="155" spans="3:5">
      <c r="C155" s="10">
        <v>19.5</v>
      </c>
      <c r="D155" s="10">
        <f>'Ground load all'!F83-'Ground load'!H85</f>
        <v>1236293.2686217753</v>
      </c>
      <c r="E155" s="10">
        <f>H83-'Ground load'!J85</f>
        <v>4850281.3389108069</v>
      </c>
    </row>
    <row r="156" spans="3:5">
      <c r="C156" s="10">
        <v>20</v>
      </c>
      <c r="D156" s="10">
        <f>'Ground load all'!F84-'Ground load'!H86</f>
        <v>1144497.0441519942</v>
      </c>
      <c r="E156" s="10">
        <f>H84-'Ground load'!J86</f>
        <v>4255083.760717364</v>
      </c>
    </row>
    <row r="157" spans="3:5">
      <c r="C157" s="10">
        <v>20.5</v>
      </c>
      <c r="D157" s="10">
        <f>'Ground load all'!F85-'Ground load'!H87</f>
        <v>1054758.4521975361</v>
      </c>
      <c r="E157" s="10">
        <f>H85-'Ground load'!J87</f>
        <v>3705269.886629981</v>
      </c>
    </row>
    <row r="158" spans="3:5">
      <c r="C158" s="10">
        <v>21</v>
      </c>
      <c r="D158" s="10">
        <f>'Ground load all'!F86-'Ground load'!H88</f>
        <v>967177.15128449409</v>
      </c>
      <c r="E158" s="10">
        <f>H86-'Ground load'!J88</f>
        <v>3199785.9857594729</v>
      </c>
    </row>
    <row r="159" spans="3:5">
      <c r="C159" s="10">
        <v>21.5</v>
      </c>
      <c r="D159" s="10">
        <f>'Ground load all'!F87-'Ground load'!H89</f>
        <v>881860.06415545277</v>
      </c>
      <c r="E159" s="10">
        <f>H87-'Ground load'!J89</f>
        <v>2737526.6818994861</v>
      </c>
    </row>
    <row r="160" spans="3:5">
      <c r="C160" s="10">
        <v>22</v>
      </c>
      <c r="D160" s="10">
        <f>'Ground load all'!F88-'Ground load'!H90</f>
        <v>798922.52015097835</v>
      </c>
      <c r="E160" s="10">
        <f>H88-'Ground load'!J90</f>
        <v>2317331.0358228786</v>
      </c>
    </row>
    <row r="161" spans="3:5">
      <c r="C161" s="10">
        <v>22.5</v>
      </c>
      <c r="D161" s="10">
        <f>'Ground load all'!F89-'Ground load'!H91</f>
        <v>718489.66441795835</v>
      </c>
      <c r="E161" s="10">
        <f>H89-'Ground load'!J91</f>
        <v>1937977.9896806446</v>
      </c>
    </row>
    <row r="162" spans="3:5">
      <c r="C162" s="10">
        <v>23</v>
      </c>
      <c r="D162" s="10">
        <f>'Ground load all'!F90-'Ground load'!H92</f>
        <v>640698.22075876116</v>
      </c>
      <c r="E162" s="10">
        <f>H90-'Ground load'!J92</f>
        <v>1598181.0183864648</v>
      </c>
    </row>
    <row r="163" spans="3:5">
      <c r="C163" s="10">
        <v>23.5</v>
      </c>
      <c r="D163" s="10">
        <f>'Ground load all'!F91-'Ground load'!H93</f>
        <v>565698.73232464481</v>
      </c>
      <c r="E163" s="10">
        <f>H91-'Ground load'!J93</f>
        <v>1296581.7801156137</v>
      </c>
    </row>
    <row r="164" spans="3:5">
      <c r="C164" s="10">
        <v>24</v>
      </c>
      <c r="D164" s="10">
        <f>'Ground load all'!F92-'Ground load'!H94</f>
        <v>493658.46248509176</v>
      </c>
      <c r="E164" s="10">
        <f>H92-'Ground load'!J94</f>
        <v>1031742.4814131793</v>
      </c>
    </row>
    <row r="165" spans="3:5">
      <c r="C165" s="10">
        <v>24.5</v>
      </c>
      <c r="D165" s="10">
        <f>'Ground load all'!F93-'Ground load'!H95</f>
        <v>424765.23164441704</v>
      </c>
      <c r="E165" s="10">
        <f>H93-'Ground load'!J95</f>
        <v>802136.55788080208</v>
      </c>
    </row>
    <row r="166" spans="3:5">
      <c r="C166" s="10">
        <v>25</v>
      </c>
      <c r="D166" s="10">
        <f>'Ground load all'!F94-'Ground load'!H96</f>
        <v>359232.62196323101</v>
      </c>
      <c r="E166" s="10">
        <f>H94-'Ground load'!J96</f>
        <v>606137.09447888995</v>
      </c>
    </row>
    <row r="167" spans="3:5">
      <c r="C167" s="10">
        <v>25.5</v>
      </c>
      <c r="D167" s="10">
        <f>'Ground load all'!F95-'Ground load'!H97</f>
        <v>297307.25540561514</v>
      </c>
      <c r="E167" s="10">
        <f>H95-'Ground load'!J97</f>
        <v>442002.12513667851</v>
      </c>
    </row>
    <row r="168" spans="3:5">
      <c r="C168" s="10">
        <v>26</v>
      </c>
      <c r="D168" s="10">
        <f>'Ground load all'!F96-'Ground load'!H98</f>
        <v>239279.35695385493</v>
      </c>
      <c r="E168" s="10">
        <f>H96-'Ground load'!J98</f>
        <v>307855.47204681102</v>
      </c>
    </row>
    <row r="169" spans="3:5">
      <c r="C169" s="10">
        <v>26.5</v>
      </c>
      <c r="D169" s="10">
        <f>'Ground load all'!F97-'Ground load'!H99</f>
        <v>185498.82005271304</v>
      </c>
      <c r="E169" s="10">
        <f>H97-'Ground load'!J99</f>
        <v>201660.92779516903</v>
      </c>
    </row>
    <row r="170" spans="3:5">
      <c r="C170" s="10">
        <v>27</v>
      </c>
      <c r="D170" s="10">
        <f>'Ground load all'!F98-'Ground load'!H100</f>
        <v>136401.17129631899</v>
      </c>
      <c r="E170" s="10">
        <f>H98-'Ground load'!J100</f>
        <v>121185.92995791099</v>
      </c>
    </row>
    <row r="171" spans="3:5">
      <c r="C171" s="10">
        <v>27.5</v>
      </c>
      <c r="D171" s="10">
        <f>'Ground load all'!F99-'Ground load'!H101</f>
        <v>92553.149423176801</v>
      </c>
      <c r="E171" s="10">
        <f>H99-'Ground load'!J101</f>
        <v>63947.349778037053</v>
      </c>
    </row>
    <row r="172" spans="3:5">
      <c r="C172" s="10">
        <v>28</v>
      </c>
      <c r="D172" s="10">
        <f>'Ground load all'!F100-'Ground load'!H102</f>
        <v>54742.940457099168</v>
      </c>
      <c r="E172" s="10">
        <f>H100-'Ground load'!J102</f>
        <v>27123.327307968058</v>
      </c>
    </row>
    <row r="173" spans="3:5">
      <c r="C173" s="10">
        <v>28.5</v>
      </c>
      <c r="D173" s="10">
        <f>'Ground load all'!F101-'Ground load'!H103</f>
        <v>24197.555566998952</v>
      </c>
      <c r="E173" s="10">
        <f>H101-'Ground load'!J103</f>
        <v>7388.2033019435239</v>
      </c>
    </row>
    <row r="174" spans="3:5">
      <c r="C174" s="10">
        <v>29</v>
      </c>
      <c r="D174" s="10">
        <f>'Ground load all'!F102-'Ground load'!H104</f>
        <v>3375.1014561623756</v>
      </c>
      <c r="E174" s="10">
        <f>H102-'Ground load'!J104</f>
        <v>495.03904615319232</v>
      </c>
    </row>
    <row r="175" spans="3:5">
      <c r="C175" s="10">
        <v>29.3</v>
      </c>
      <c r="D175" s="10">
        <f>'Ground load all'!F103-'Ground load'!H105</f>
        <v>0</v>
      </c>
      <c r="E175" s="10">
        <f>H103-'Ground load'!J105</f>
        <v>0</v>
      </c>
    </row>
  </sheetData>
  <mergeCells count="14">
    <mergeCell ref="B1:E1"/>
    <mergeCell ref="F1:G1"/>
    <mergeCell ref="H1:Z1"/>
    <mergeCell ref="R29:T31"/>
    <mergeCell ref="N27:Q31"/>
    <mergeCell ref="R27:T28"/>
    <mergeCell ref="C113:E113"/>
    <mergeCell ref="A42:A49"/>
    <mergeCell ref="A114:A121"/>
    <mergeCell ref="A4:A25"/>
    <mergeCell ref="A28:A34"/>
    <mergeCell ref="C41:H41"/>
    <mergeCell ref="H27:J28"/>
    <mergeCell ref="C27:E28"/>
  </mergeCells>
  <phoneticPr fontId="3" type="noConversion"/>
  <pageMargins left="0.7" right="0.7" top="0.75" bottom="0.75" header="0.3" footer="0.3"/>
  <pageSetup paperSize="9" scale="9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8072-DA4D-CC46-9AB9-D7866858C361}">
  <dimension ref="A1:H70"/>
  <sheetViews>
    <sheetView zoomScale="40" zoomScaleNormal="40" workbookViewId="0">
      <selection activeCell="Q50" sqref="Q50"/>
    </sheetView>
  </sheetViews>
  <sheetFormatPr defaultColWidth="10.875" defaultRowHeight="14.1"/>
  <cols>
    <col min="1" max="1" width="26.875" bestFit="1" customWidth="1"/>
    <col min="7" max="7" width="20.375" bestFit="1" customWidth="1"/>
  </cols>
  <sheetData>
    <row r="1" spans="1:7" ht="14.45">
      <c r="A1" s="206" t="s">
        <v>165</v>
      </c>
      <c r="B1" s="206"/>
      <c r="C1" s="206"/>
    </row>
    <row r="2" spans="1:7" ht="14.45">
      <c r="A2" s="5" t="s">
        <v>68</v>
      </c>
      <c r="B2" s="5">
        <v>429900</v>
      </c>
      <c r="C2" s="5" t="s">
        <v>25</v>
      </c>
    </row>
    <row r="3" spans="1:7" ht="14.45">
      <c r="A3" s="5" t="s">
        <v>117</v>
      </c>
      <c r="B3" s="175">
        <f>'Ground load'!I29</f>
        <v>2.8199000000000001</v>
      </c>
      <c r="C3" s="5"/>
    </row>
    <row r="4" spans="1:7" ht="14.45">
      <c r="A4" s="5" t="s">
        <v>166</v>
      </c>
      <c r="B4" s="5">
        <f>(B2*B3*9.81)/2</f>
        <v>5946208.9240500005</v>
      </c>
      <c r="C4" s="5" t="s">
        <v>119</v>
      </c>
    </row>
    <row r="7" spans="1:7" ht="14.45">
      <c r="A7" s="44" t="s">
        <v>167</v>
      </c>
    </row>
    <row r="8" spans="1:7" ht="14.45">
      <c r="A8" s="5" t="s">
        <v>136</v>
      </c>
      <c r="B8" s="5" t="s">
        <v>137</v>
      </c>
      <c r="C8" s="5" t="s">
        <v>138</v>
      </c>
      <c r="D8" s="5" t="s">
        <v>121</v>
      </c>
      <c r="E8" s="5" t="s">
        <v>139</v>
      </c>
      <c r="F8" t="s">
        <v>160</v>
      </c>
      <c r="G8" s="174" t="s">
        <v>168</v>
      </c>
    </row>
    <row r="9" spans="1:7" ht="14.45">
      <c r="A9" s="5" t="s">
        <v>23</v>
      </c>
      <c r="B9" s="5" t="s">
        <v>143</v>
      </c>
      <c r="C9" s="5" t="s">
        <v>143</v>
      </c>
      <c r="D9" s="5" t="s">
        <v>119</v>
      </c>
      <c r="E9" s="5" t="s">
        <v>125</v>
      </c>
      <c r="F9" t="s">
        <v>143</v>
      </c>
      <c r="G9" s="174" t="s">
        <v>143</v>
      </c>
    </row>
    <row r="10" spans="1:7" ht="14.45">
      <c r="A10" s="10">
        <v>0</v>
      </c>
      <c r="B10" s="67">
        <f>'Wing inertia load'!$D$31/60*'Wing Ground load'!$B$3*9.81</f>
        <v>7242.6917878500008</v>
      </c>
      <c r="C10" s="173">
        <v>0</v>
      </c>
      <c r="D10" s="10">
        <v>0</v>
      </c>
      <c r="E10" s="274">
        <f>(B11+B10)*(A11-A10)/2+(C11+C10)*(A11-A10)/2+D10</f>
        <v>3621.3458939250004</v>
      </c>
      <c r="F10" s="176">
        <f>'Ground load all'!D44</f>
        <v>258305.98237316904</v>
      </c>
      <c r="G10" s="177">
        <f>-E10+F10</f>
        <v>254684.63647924404</v>
      </c>
    </row>
    <row r="11" spans="1:7" ht="14.45">
      <c r="A11" s="10">
        <v>0.5</v>
      </c>
      <c r="B11" s="67">
        <f>'Wing inertia load'!$D$31/60*'Wing Ground load'!$B$3*9.81</f>
        <v>7242.6917878500008</v>
      </c>
      <c r="C11" s="173">
        <v>0</v>
      </c>
      <c r="D11" s="10">
        <v>0</v>
      </c>
      <c r="E11" s="274">
        <f t="shared" ref="E11:E68" si="0">(B12+B11)*(A12-A11)/2+(C12+C11)*(A12-A11)/2+D11</f>
        <v>3621.3458939250004</v>
      </c>
      <c r="F11" s="176">
        <f>'Ground load all'!D45</f>
        <v>258268.39478670058</v>
      </c>
      <c r="G11" s="177">
        <f t="shared" ref="G11:G69" si="1">-E11+F11</f>
        <v>254647.04889277558</v>
      </c>
    </row>
    <row r="12" spans="1:7" ht="14.45">
      <c r="A12" s="10">
        <v>1</v>
      </c>
      <c r="B12" s="67">
        <f>'Wing inertia load'!$D$31/60*'Wing Ground load'!$B$3*9.81</f>
        <v>7242.6917878500008</v>
      </c>
      <c r="C12" s="173">
        <v>0</v>
      </c>
      <c r="D12" s="10">
        <v>0</v>
      </c>
      <c r="E12" s="274">
        <f>(B13+B12)*(A13-A12)/2+(C13+C12)*(A13-A12)/2+D12</f>
        <v>3621.3458939250004</v>
      </c>
      <c r="F12" s="176">
        <f>'Ground load all'!D46</f>
        <v>258155.5991906671</v>
      </c>
      <c r="G12" s="177">
        <f t="shared" si="1"/>
        <v>254534.2532967421</v>
      </c>
    </row>
    <row r="13" spans="1:7" ht="14.45">
      <c r="A13" s="10">
        <v>1.5</v>
      </c>
      <c r="B13" s="67">
        <f>'Wing inertia load'!$D$31/60*'Wing Ground load'!$B$3*9.81</f>
        <v>7242.6917878500008</v>
      </c>
      <c r="C13" s="173">
        <v>0</v>
      </c>
      <c r="D13" s="10">
        <v>0</v>
      </c>
      <c r="E13" s="274">
        <f t="shared" si="0"/>
        <v>3621.3458939250004</v>
      </c>
      <c r="F13" s="176">
        <f>'Ground load all'!D47</f>
        <v>257967.49693158618</v>
      </c>
      <c r="G13" s="177">
        <f t="shared" si="1"/>
        <v>254346.15103766118</v>
      </c>
    </row>
    <row r="14" spans="1:7" ht="14.45">
      <c r="A14" s="10">
        <v>2</v>
      </c>
      <c r="B14" s="67">
        <f>'Wing inertia load'!$D$31/60*'Wing Ground load'!$B$3*9.81</f>
        <v>7242.6917878500008</v>
      </c>
      <c r="C14" s="173">
        <v>0</v>
      </c>
      <c r="D14" s="10">
        <v>0</v>
      </c>
      <c r="E14" s="274">
        <f t="shared" si="0"/>
        <v>3621.3458939250004</v>
      </c>
      <c r="F14" s="176">
        <f>'Ground load all'!D48</f>
        <v>257703.92310685868</v>
      </c>
      <c r="G14" s="177">
        <f t="shared" si="1"/>
        <v>254082.57721293368</v>
      </c>
    </row>
    <row r="15" spans="1:7" ht="14.45">
      <c r="A15" s="10">
        <v>2.5</v>
      </c>
      <c r="B15" s="67">
        <f>'Wing inertia load'!$D$31/60*'Wing Ground load'!$B$3*9.81</f>
        <v>7242.6917878500008</v>
      </c>
      <c r="C15" s="173">
        <v>0</v>
      </c>
      <c r="D15" s="10">
        <v>0</v>
      </c>
      <c r="E15" s="274">
        <f t="shared" si="0"/>
        <v>3621.3458939250004</v>
      </c>
      <c r="F15" s="176">
        <f>'Ground load all'!D49</f>
        <v>257364.64583941153</v>
      </c>
      <c r="G15" s="177">
        <f t="shared" si="1"/>
        <v>253743.29994548653</v>
      </c>
    </row>
    <row r="16" spans="1:7" ht="14.45">
      <c r="A16" s="10">
        <v>3</v>
      </c>
      <c r="B16" s="67">
        <f>'Wing inertia load'!$D$31/60*'Wing Ground load'!$B$3*9.81</f>
        <v>7242.6917878500008</v>
      </c>
      <c r="C16" s="173">
        <v>0</v>
      </c>
      <c r="D16" s="10">
        <f>B4</f>
        <v>5946208.9240500005</v>
      </c>
      <c r="E16" s="274">
        <f t="shared" si="0"/>
        <v>5949830.2699439256</v>
      </c>
      <c r="F16" s="176">
        <f>'Ground load all'!D50</f>
        <v>256949.36525177088</v>
      </c>
      <c r="G16" s="177">
        <f t="shared" si="1"/>
        <v>-5692880.9046921544</v>
      </c>
    </row>
    <row r="17" spans="1:8" ht="14.45">
      <c r="A17" s="10">
        <v>3.5</v>
      </c>
      <c r="B17" s="67">
        <f>'Wing inertia load'!$D$31/60*'Wing Ground load'!$B$3*9.81</f>
        <v>7242.6917878500008</v>
      </c>
      <c r="C17" s="173">
        <v>0</v>
      </c>
      <c r="D17" s="10">
        <v>0</v>
      </c>
      <c r="E17" s="274">
        <f t="shared" si="0"/>
        <v>3621.3458939250004</v>
      </c>
      <c r="F17" s="176">
        <f>'Ground load all'!D51</f>
        <v>256457.71212890526</v>
      </c>
      <c r="G17" s="177">
        <f t="shared" si="1"/>
        <v>252836.36623498026</v>
      </c>
    </row>
    <row r="18" spans="1:8" ht="14.45">
      <c r="A18" s="10">
        <v>4</v>
      </c>
      <c r="B18" s="67">
        <f>'Wing inertia load'!$D$31/60*'Wing Ground load'!$B$3*9.81</f>
        <v>7242.6917878500008</v>
      </c>
      <c r="C18" s="173">
        <v>0</v>
      </c>
      <c r="D18" s="10">
        <v>0</v>
      </c>
      <c r="E18" s="274">
        <f t="shared" si="0"/>
        <v>3621.3458939250004</v>
      </c>
      <c r="F18" s="176">
        <f>'Ground load all'!D52</f>
        <v>255889.24625579541</v>
      </c>
      <c r="G18" s="177">
        <f t="shared" si="1"/>
        <v>252267.90036187042</v>
      </c>
    </row>
    <row r="19" spans="1:8" ht="14.45">
      <c r="A19" s="10">
        <v>4.5</v>
      </c>
      <c r="B19" s="67">
        <f>'Wing inertia load'!$D$31/60*'Wing Ground load'!$B$3*9.81</f>
        <v>7242.6917878500008</v>
      </c>
      <c r="C19" s="173">
        <v>0</v>
      </c>
      <c r="D19" s="10">
        <v>0</v>
      </c>
      <c r="E19" s="274">
        <f t="shared" si="0"/>
        <v>3621.3458939250004</v>
      </c>
      <c r="F19" s="176">
        <f>'Ground load all'!D53</f>
        <v>255243.4544120339</v>
      </c>
      <c r="G19" s="177">
        <f t="shared" si="1"/>
        <v>251622.1085181089</v>
      </c>
    </row>
    <row r="20" spans="1:8" ht="14.45">
      <c r="A20" s="10">
        <v>5</v>
      </c>
      <c r="B20" s="67">
        <f>'Wing inertia load'!$D$31/60*'Wing Ground load'!$B$3*9.81</f>
        <v>7242.6917878500008</v>
      </c>
      <c r="C20" s="173">
        <v>0</v>
      </c>
      <c r="D20" s="10">
        <v>0</v>
      </c>
      <c r="E20" s="274">
        <f t="shared" si="0"/>
        <v>3621.3458939250004</v>
      </c>
      <c r="F20" s="176">
        <f>'Ground load all'!D54</f>
        <v>254519.74800175952</v>
      </c>
      <c r="G20" s="177">
        <f t="shared" si="1"/>
        <v>250898.40210783452</v>
      </c>
    </row>
    <row r="21" spans="1:8" ht="14.45">
      <c r="A21" s="10">
        <v>5.5</v>
      </c>
      <c r="B21" s="67">
        <f>'Wing inertia load'!$D$31/60*'Wing Ground load'!$B$3*9.81</f>
        <v>7242.6917878500008</v>
      </c>
      <c r="C21" s="173">
        <v>0</v>
      </c>
      <c r="D21" s="10">
        <f>'Ground load'!F57</f>
        <v>169437.21637500002</v>
      </c>
      <c r="E21" s="274">
        <f t="shared" si="0"/>
        <v>173058.56226892502</v>
      </c>
      <c r="F21" s="176">
        <f>'Ground load all'!D55</f>
        <v>253717.46029280787</v>
      </c>
      <c r="G21" s="177">
        <f t="shared" si="1"/>
        <v>80658.898023882852</v>
      </c>
    </row>
    <row r="22" spans="1:8" ht="14.45">
      <c r="A22" s="10">
        <v>6</v>
      </c>
      <c r="B22" s="67">
        <f>'Wing inertia load'!$D$31/60*'Wing Ground load'!$B$3*9.81</f>
        <v>7242.6917878500008</v>
      </c>
      <c r="C22" s="173">
        <v>0</v>
      </c>
      <c r="D22" s="10">
        <v>0</v>
      </c>
      <c r="E22" s="274">
        <f t="shared" si="0"/>
        <v>3621.3458939250004</v>
      </c>
      <c r="F22" s="176">
        <f>'Ground load all'!D56</f>
        <v>252835.84323400058</v>
      </c>
      <c r="G22" s="177">
        <f t="shared" si="1"/>
        <v>249214.49734007558</v>
      </c>
    </row>
    <row r="23" spans="1:8" ht="14.45">
      <c r="A23" s="10">
        <v>6.5</v>
      </c>
      <c r="B23" s="67">
        <f>'Wing inertia load'!$D$31/60*'Wing Ground load'!$B$3*9.81</f>
        <v>7242.6917878500008</v>
      </c>
      <c r="C23" s="173">
        <v>0</v>
      </c>
      <c r="D23" s="10">
        <v>0</v>
      </c>
      <c r="E23" s="274">
        <f t="shared" si="0"/>
        <v>3621.3458939250004</v>
      </c>
      <c r="F23" s="176">
        <f>'Ground load all'!D57</f>
        <v>251874.06381389478</v>
      </c>
      <c r="G23" s="177">
        <f t="shared" si="1"/>
        <v>248252.71791996979</v>
      </c>
    </row>
    <row r="24" spans="1:8" ht="14.45">
      <c r="A24" s="10">
        <v>7</v>
      </c>
      <c r="B24" s="67">
        <f>'Wing inertia load'!$D$31/60*'Wing Ground load'!$B$3*9.81</f>
        <v>7242.6917878500008</v>
      </c>
      <c r="C24" s="173">
        <v>0</v>
      </c>
      <c r="D24" s="10">
        <v>0</v>
      </c>
      <c r="E24" s="274">
        <f t="shared" si="0"/>
        <v>3621.3458939250004</v>
      </c>
      <c r="F24" s="176">
        <f>'Ground load all'!D58</f>
        <v>250831.19991792482</v>
      </c>
      <c r="G24" s="177">
        <f t="shared" si="1"/>
        <v>247209.85402399983</v>
      </c>
    </row>
    <row r="25" spans="1:8" ht="14.45">
      <c r="A25" s="10">
        <v>7.5</v>
      </c>
      <c r="B25" s="67">
        <f>'Wing inertia load'!$D$31/60*'Wing Ground load'!$B$3*9.81</f>
        <v>7242.6917878500008</v>
      </c>
      <c r="C25" s="173">
        <v>0</v>
      </c>
      <c r="D25" s="10">
        <v>0</v>
      </c>
      <c r="E25" s="274">
        <f t="shared" si="0"/>
        <v>3621.3458939250004</v>
      </c>
      <c r="F25" s="176">
        <f>'Ground load all'!D59</f>
        <v>249706.23563353048</v>
      </c>
      <c r="G25" s="177">
        <f t="shared" si="1"/>
        <v>246084.88973960548</v>
      </c>
    </row>
    <row r="26" spans="1:8" ht="14.45">
      <c r="A26" s="10">
        <v>8</v>
      </c>
      <c r="B26" s="67">
        <f>'Wing inertia load'!$D$31/60*'Wing Ground load'!$B$3*9.81</f>
        <v>7242.6917878500008</v>
      </c>
      <c r="C26" s="173">
        <v>0</v>
      </c>
      <c r="D26" s="10">
        <v>0</v>
      </c>
      <c r="E26" s="274">
        <f t="shared" si="0"/>
        <v>3621.3458939250004</v>
      </c>
      <c r="F26" s="176">
        <f>'Ground load all'!D60</f>
        <v>248498.05594437299</v>
      </c>
      <c r="G26" s="177">
        <f t="shared" si="1"/>
        <v>244876.71005044799</v>
      </c>
      <c r="H26" t="s">
        <v>169</v>
      </c>
    </row>
    <row r="27" spans="1:8" ht="14.45">
      <c r="A27" s="10">
        <v>8.5</v>
      </c>
      <c r="B27" s="67">
        <f>'Wing inertia load'!$D$31/60*'Wing Ground load'!$B$3*9.81</f>
        <v>7242.6917878500008</v>
      </c>
      <c r="C27" s="173">
        <v>0</v>
      </c>
      <c r="D27" s="10">
        <v>0</v>
      </c>
      <c r="E27" s="274">
        <f t="shared" si="0"/>
        <v>3621.3458939250004</v>
      </c>
      <c r="F27" s="176">
        <f>'Ground load all'!D61</f>
        <v>247205.44074485786</v>
      </c>
      <c r="G27" s="177">
        <f t="shared" si="1"/>
        <v>243584.09485093286</v>
      </c>
    </row>
    <row r="28" spans="1:8" ht="14.45">
      <c r="A28" s="10">
        <v>9</v>
      </c>
      <c r="B28" s="67">
        <f>'Wing inertia load'!$D$31/60*'Wing Ground load'!$B$3*9.81</f>
        <v>7242.6917878500008</v>
      </c>
      <c r="C28" s="173">
        <v>0</v>
      </c>
      <c r="D28" s="10">
        <v>0</v>
      </c>
      <c r="E28" s="274">
        <f t="shared" si="0"/>
        <v>3621.3458939250004</v>
      </c>
      <c r="F28" s="176">
        <f>'Ground load all'!D62</f>
        <v>245827.05809460513</v>
      </c>
      <c r="G28" s="177">
        <f t="shared" si="1"/>
        <v>242205.71220068014</v>
      </c>
    </row>
    <row r="29" spans="1:8" ht="14.45">
      <c r="A29" s="10">
        <v>9.5</v>
      </c>
      <c r="B29" s="67">
        <f>'Wing inertia load'!$D$31/60*'Wing Ground load'!$B$3*9.81</f>
        <v>7242.6917878500008</v>
      </c>
      <c r="C29" s="173">
        <v>0</v>
      </c>
      <c r="D29" s="10">
        <v>0</v>
      </c>
      <c r="E29" s="274">
        <f t="shared" si="0"/>
        <v>3621.3458939250004</v>
      </c>
      <c r="F29" s="176">
        <f>'Ground load all'!D63</f>
        <v>244361.45661887748</v>
      </c>
      <c r="G29" s="177">
        <f t="shared" si="1"/>
        <v>240740.11072495248</v>
      </c>
    </row>
    <row r="30" spans="1:8" ht="14.45">
      <c r="A30" s="10">
        <v>10</v>
      </c>
      <c r="B30" s="67">
        <f>'Wing inertia load'!$D$31/60*'Wing Ground load'!$B$3*9.81</f>
        <v>7242.6917878500008</v>
      </c>
      <c r="C30" s="173">
        <v>0</v>
      </c>
      <c r="D30" s="10">
        <v>0</v>
      </c>
      <c r="E30" s="274">
        <f t="shared" si="0"/>
        <v>3621.3458939250004</v>
      </c>
      <c r="F30" s="176">
        <f>'Ground load all'!D64</f>
        <v>242807.05694483619</v>
      </c>
      <c r="G30" s="177">
        <f t="shared" si="1"/>
        <v>239185.7110509112</v>
      </c>
    </row>
    <row r="31" spans="1:8" ht="14.45">
      <c r="A31" s="10">
        <v>10.5</v>
      </c>
      <c r="B31" s="67">
        <f>'Wing inertia load'!$D$31/60*'Wing Ground load'!$B$3*9.81</f>
        <v>7242.6917878500008</v>
      </c>
      <c r="C31" s="173">
        <v>0</v>
      </c>
      <c r="D31" s="10">
        <v>0</v>
      </c>
      <c r="E31" s="274">
        <f t="shared" si="0"/>
        <v>3621.3458939250004</v>
      </c>
      <c r="F31" s="176">
        <f>'Ground load all'!D65</f>
        <v>241162.14204428633</v>
      </c>
      <c r="G31" s="177">
        <f t="shared" si="1"/>
        <v>237540.79615036133</v>
      </c>
    </row>
    <row r="32" spans="1:8" ht="14.45">
      <c r="A32" s="10">
        <v>11</v>
      </c>
      <c r="B32" s="67">
        <f>'Wing inertia load'!$D$31/60*'Wing Ground load'!$B$3*9.81</f>
        <v>7242.6917878500008</v>
      </c>
      <c r="C32" s="173">
        <v>0</v>
      </c>
      <c r="D32" s="10">
        <v>0</v>
      </c>
      <c r="E32" s="274">
        <f t="shared" si="0"/>
        <v>3621.3458939250004</v>
      </c>
      <c r="F32" s="176">
        <f>'Ground load all'!D66</f>
        <v>239424.84633058944</v>
      </c>
      <c r="G32" s="177">
        <f t="shared" si="1"/>
        <v>235803.50043666444</v>
      </c>
    </row>
    <row r="33" spans="1:7" ht="14.45">
      <c r="A33" s="10">
        <v>11.5</v>
      </c>
      <c r="B33" s="67">
        <f>'Wing inertia load'!$D$31/60*'Wing Ground load'!$B$3*9.81</f>
        <v>7242.6917878500008</v>
      </c>
      <c r="C33" s="173">
        <v>0</v>
      </c>
      <c r="D33" s="10">
        <v>0</v>
      </c>
      <c r="E33" s="274">
        <f t="shared" si="0"/>
        <v>3621.3458939250004</v>
      </c>
      <c r="F33" s="176">
        <f>'Ground load all'!D67</f>
        <v>237593.14332978221</v>
      </c>
      <c r="G33" s="177">
        <f t="shared" si="1"/>
        <v>233971.79743585721</v>
      </c>
    </row>
    <row r="34" spans="1:7" ht="14.45">
      <c r="A34" s="10">
        <v>12</v>
      </c>
      <c r="B34" s="67">
        <f>'Wing inertia load'!$D$31/60*'Wing Ground load'!$B$3*9.81</f>
        <v>7242.6917878500008</v>
      </c>
      <c r="C34" s="173">
        <v>0</v>
      </c>
      <c r="D34" s="10">
        <v>0</v>
      </c>
      <c r="E34" s="274">
        <f t="shared" si="0"/>
        <v>3621.3458939250004</v>
      </c>
      <c r="F34" s="176">
        <f>'Ground load all'!D68</f>
        <v>235664.83171251652</v>
      </c>
      <c r="G34" s="177">
        <f t="shared" si="1"/>
        <v>232043.48581859152</v>
      </c>
    </row>
    <row r="35" spans="1:7" ht="14.45">
      <c r="A35" s="10">
        <v>12.5</v>
      </c>
      <c r="B35" s="67">
        <f>'Wing inertia load'!$D$31/60*'Wing Ground load'!$B$3*9.81</f>
        <v>7242.6917878500008</v>
      </c>
      <c r="C35" s="173">
        <v>0</v>
      </c>
      <c r="D35" s="10">
        <v>0</v>
      </c>
      <c r="E35" s="274">
        <f t="shared" si="0"/>
        <v>3621.3458939250004</v>
      </c>
      <c r="F35" s="176">
        <f>'Ground load all'!D69</f>
        <v>233637.51943280266</v>
      </c>
      <c r="G35" s="177">
        <f t="shared" si="1"/>
        <v>230016.17353887766</v>
      </c>
    </row>
    <row r="36" spans="1:7" ht="14.45">
      <c r="A36" s="10">
        <v>13</v>
      </c>
      <c r="B36" s="67">
        <f>'Wing inertia load'!$D$31/60*'Wing Ground load'!$B$3*9.81</f>
        <v>7242.6917878500008</v>
      </c>
      <c r="C36" s="173">
        <v>0</v>
      </c>
      <c r="D36" s="10">
        <v>0</v>
      </c>
      <c r="E36" s="274">
        <f t="shared" si="0"/>
        <v>3621.3458939250004</v>
      </c>
      <c r="F36" s="176">
        <f>'Ground load all'!D70</f>
        <v>231508.60566985406</v>
      </c>
      <c r="G36" s="177">
        <f t="shared" si="1"/>
        <v>227887.25977592907</v>
      </c>
    </row>
    <row r="37" spans="1:7" ht="14.45">
      <c r="A37" s="10">
        <v>13.5</v>
      </c>
      <c r="B37" s="67">
        <f>'Wing inertia load'!$D$31/60*'Wing Ground load'!$B$3*9.81</f>
        <v>7242.6917878500008</v>
      </c>
      <c r="C37" s="173">
        <v>0</v>
      </c>
      <c r="D37" s="10">
        <v>0</v>
      </c>
      <c r="E37" s="274">
        <f t="shared" si="0"/>
        <v>3621.3458939250004</v>
      </c>
      <c r="F37" s="176">
        <f>'Ground load all'!D71</f>
        <v>229275.2602082243</v>
      </c>
      <c r="G37" s="177">
        <f t="shared" si="1"/>
        <v>225653.9143142993</v>
      </c>
    </row>
    <row r="38" spans="1:7" ht="14.45">
      <c r="A38" s="10">
        <v>14</v>
      </c>
      <c r="B38" s="67">
        <f>'Wing inertia load'!$D$31/60*'Wing Ground load'!$B$3*9.81</f>
        <v>7242.6917878500008</v>
      </c>
      <c r="C38" s="173">
        <v>0</v>
      </c>
      <c r="D38" s="10">
        <v>0</v>
      </c>
      <c r="E38" s="274">
        <f t="shared" si="0"/>
        <v>3621.3458939250004</v>
      </c>
      <c r="F38" s="176">
        <f>'Ground load all'!D72</f>
        <v>226934.3998158061</v>
      </c>
      <c r="G38" s="177">
        <f t="shared" si="1"/>
        <v>223313.0539218811</v>
      </c>
    </row>
    <row r="39" spans="1:7" ht="14.45">
      <c r="A39" s="10">
        <v>14.5</v>
      </c>
      <c r="B39" s="67">
        <f>'Wing inertia load'!$D$31/60*'Wing Ground load'!$B$3*9.81</f>
        <v>7242.6917878500008</v>
      </c>
      <c r="C39" s="173">
        <v>0</v>
      </c>
      <c r="D39" s="10">
        <v>0</v>
      </c>
      <c r="E39" s="274">
        <f t="shared" si="0"/>
        <v>3621.3458939250004</v>
      </c>
      <c r="F39" s="176">
        <f>'Ground load all'!D73</f>
        <v>224482.6610850681</v>
      </c>
      <c r="G39" s="177">
        <f t="shared" si="1"/>
        <v>220861.31519114311</v>
      </c>
    </row>
    <row r="40" spans="1:7" ht="14.45">
      <c r="A40" s="10">
        <v>15</v>
      </c>
      <c r="B40" s="67">
        <f>'Wing inertia load'!$D$31/60*'Wing Ground load'!$B$3*9.81</f>
        <v>7242.6917878500008</v>
      </c>
      <c r="C40" s="173">
        <v>0</v>
      </c>
      <c r="D40" s="10">
        <v>0</v>
      </c>
      <c r="E40" s="274">
        <f t="shared" si="0"/>
        <v>3621.3458939250004</v>
      </c>
      <c r="F40" s="176">
        <f>'Ground load all'!D74</f>
        <v>221916.369084773</v>
      </c>
      <c r="G40" s="177">
        <f t="shared" si="1"/>
        <v>218295.02319084801</v>
      </c>
    </row>
    <row r="41" spans="1:7" ht="14.45">
      <c r="A41" s="10">
        <v>15.5</v>
      </c>
      <c r="B41" s="67">
        <f>'Wing inertia load'!$D$31/60*'Wing Ground load'!$B$3*9.81</f>
        <v>7242.6917878500008</v>
      </c>
      <c r="C41" s="173">
        <v>0</v>
      </c>
      <c r="D41" s="10">
        <v>0</v>
      </c>
      <c r="E41" s="274">
        <f t="shared" si="0"/>
        <v>3621.3458939250004</v>
      </c>
      <c r="F41" s="176">
        <f>'Ground load all'!D75</f>
        <v>219231.50102019336</v>
      </c>
      <c r="G41" s="177">
        <f t="shared" si="1"/>
        <v>215610.15512626836</v>
      </c>
    </row>
    <row r="42" spans="1:7" ht="14.45">
      <c r="A42" s="10">
        <v>16</v>
      </c>
      <c r="B42" s="67">
        <f>'Wing inertia load'!$D$31/60*'Wing Ground load'!$B$3*9.81</f>
        <v>7242.6917878500008</v>
      </c>
      <c r="C42" s="173">
        <v>0</v>
      </c>
      <c r="D42" s="10">
        <v>0</v>
      </c>
      <c r="E42" s="274">
        <f t="shared" si="0"/>
        <v>3621.3458939250004</v>
      </c>
      <c r="F42" s="176">
        <f>'Ground load all'!D76</f>
        <v>216423.64390987216</v>
      </c>
      <c r="G42" s="177">
        <f t="shared" si="1"/>
        <v>212802.29801594716</v>
      </c>
    </row>
    <row r="43" spans="1:7" ht="14.45">
      <c r="A43" s="10">
        <v>16.5</v>
      </c>
      <c r="B43" s="67">
        <f>'Wing inertia load'!$D$31/60*'Wing Ground load'!$B$3*9.81</f>
        <v>7242.6917878500008</v>
      </c>
      <c r="C43" s="173">
        <v>0</v>
      </c>
      <c r="D43" s="10">
        <v>0</v>
      </c>
      <c r="E43" s="274">
        <f t="shared" si="0"/>
        <v>3621.3458939250004</v>
      </c>
      <c r="F43" s="176">
        <f>'Ground load all'!D77</f>
        <v>213487.94504315569</v>
      </c>
      <c r="G43" s="177">
        <f t="shared" si="1"/>
        <v>209866.59914923069</v>
      </c>
    </row>
    <row r="44" spans="1:7" ht="14.45">
      <c r="A44" s="10">
        <v>17</v>
      </c>
      <c r="B44" s="67">
        <f>'Wing inertia load'!$D$31/60*'Wing Ground load'!$B$3*9.81</f>
        <v>7242.6917878500008</v>
      </c>
      <c r="C44" s="173">
        <v>0</v>
      </c>
      <c r="D44" s="10">
        <f>'Ground load'!F80</f>
        <v>169437.21637500002</v>
      </c>
      <c r="E44" s="274">
        <f t="shared" si="0"/>
        <v>173058.56226892502</v>
      </c>
      <c r="F44" s="176">
        <f>'Ground load all'!D78</f>
        <v>210419.05366704316</v>
      </c>
      <c r="G44" s="177">
        <f t="shared" si="1"/>
        <v>37360.491398118145</v>
      </c>
    </row>
    <row r="45" spans="1:7" ht="14.45">
      <c r="A45" s="10">
        <v>17.5</v>
      </c>
      <c r="B45" s="67">
        <f>'Wing inertia load'!$D$31/60*'Wing Ground load'!$B$3*9.81</f>
        <v>7242.6917878500008</v>
      </c>
      <c r="C45" s="173">
        <v>0</v>
      </c>
      <c r="D45" s="10">
        <v>0</v>
      </c>
      <c r="E45" s="274">
        <f t="shared" si="0"/>
        <v>3621.3458939250004</v>
      </c>
      <c r="F45" s="176">
        <f>'Ground load all'!D79</f>
        <v>207211.05193830942</v>
      </c>
      <c r="G45" s="177">
        <f t="shared" si="1"/>
        <v>203589.70604438442</v>
      </c>
    </row>
    <row r="46" spans="1:7" ht="14.45">
      <c r="A46" s="10">
        <v>18</v>
      </c>
      <c r="B46" s="67">
        <f>'Wing inertia load'!$D$31/60*'Wing Ground load'!$B$3*9.81</f>
        <v>7242.6917878500008</v>
      </c>
      <c r="C46" s="173">
        <v>0</v>
      </c>
      <c r="D46" s="10">
        <v>0</v>
      </c>
      <c r="E46" s="274">
        <f t="shared" si="0"/>
        <v>3621.3458939250004</v>
      </c>
      <c r="F46" s="176">
        <f>'Ground load all'!D80</f>
        <v>203857.37263216593</v>
      </c>
      <c r="G46" s="177">
        <f t="shared" si="1"/>
        <v>200236.02673824094</v>
      </c>
    </row>
    <row r="47" spans="1:7" ht="14.45">
      <c r="A47" s="10">
        <v>18.5</v>
      </c>
      <c r="B47" s="67">
        <f>'Wing inertia load'!$D$31/60*'Wing Ground load'!$B$3*9.81</f>
        <v>7242.6917878500008</v>
      </c>
      <c r="C47" s="173">
        <v>0</v>
      </c>
      <c r="D47" s="10">
        <v>0</v>
      </c>
      <c r="E47" s="274">
        <f t="shared" si="0"/>
        <v>3621.3458939250004</v>
      </c>
      <c r="F47" s="176">
        <f>'Ground load all'!D81</f>
        <v>200350.70037177551</v>
      </c>
      <c r="G47" s="177">
        <f t="shared" si="1"/>
        <v>196729.35447785052</v>
      </c>
    </row>
    <row r="48" spans="1:7" ht="14.45">
      <c r="A48" s="10">
        <v>19</v>
      </c>
      <c r="B48" s="67">
        <f>'Wing inertia load'!$D$31/60*'Wing Ground load'!$B$3*9.81</f>
        <v>7242.6917878500008</v>
      </c>
      <c r="C48" s="173">
        <v>0</v>
      </c>
      <c r="D48" s="10">
        <v>0</v>
      </c>
      <c r="E48" s="274">
        <f t="shared" si="0"/>
        <v>3621.3458939250004</v>
      </c>
      <c r="F48" s="176">
        <f>'Ground load all'!D82</f>
        <v>196682.85216127613</v>
      </c>
      <c r="G48" s="177">
        <f t="shared" si="1"/>
        <v>193061.50626735113</v>
      </c>
    </row>
    <row r="49" spans="1:7" ht="14.45">
      <c r="A49" s="10">
        <v>19.5</v>
      </c>
      <c r="B49" s="67">
        <f>'Wing inertia load'!$D$31/60*'Wing Ground load'!$B$3*9.81</f>
        <v>7242.6917878500008</v>
      </c>
      <c r="C49" s="173">
        <v>0</v>
      </c>
      <c r="D49" s="10">
        <v>0</v>
      </c>
      <c r="E49" s="274">
        <f t="shared" si="0"/>
        <v>3621.3458939250004</v>
      </c>
      <c r="F49" s="176">
        <f>'Ground load all'!D83</f>
        <v>192844.63166235678</v>
      </c>
      <c r="G49" s="177">
        <f t="shared" si="1"/>
        <v>189223.28576843179</v>
      </c>
    </row>
    <row r="50" spans="1:7" ht="14.45">
      <c r="A50" s="10">
        <v>20</v>
      </c>
      <c r="B50" s="67">
        <f>'Wing inertia load'!$D$31/60*'Wing Ground load'!$B$3*9.81</f>
        <v>7242.6917878500008</v>
      </c>
      <c r="C50" s="173">
        <v>0</v>
      </c>
      <c r="D50" s="10">
        <v>0</v>
      </c>
      <c r="E50" s="274">
        <f t="shared" si="0"/>
        <v>3621.3458939250004</v>
      </c>
      <c r="F50" s="176">
        <f>'Ground load all'!D84</f>
        <v>188825.6497924685</v>
      </c>
      <c r="G50" s="177">
        <f t="shared" si="1"/>
        <v>185204.3038985435</v>
      </c>
    </row>
    <row r="51" spans="1:7" ht="14.45">
      <c r="A51" s="10">
        <v>20.5</v>
      </c>
      <c r="B51" s="67">
        <f>'Wing inertia load'!$D$31/60*'Wing Ground load'!$B$3*9.81</f>
        <v>7242.6917878500008</v>
      </c>
      <c r="C51" s="173">
        <v>0</v>
      </c>
      <c r="D51" s="10">
        <v>0</v>
      </c>
      <c r="E51" s="274">
        <f t="shared" si="0"/>
        <v>3621.3458939250004</v>
      </c>
      <c r="F51" s="176">
        <f>'Ground load all'!D85</f>
        <v>184614.10160106423</v>
      </c>
      <c r="G51" s="177">
        <f t="shared" si="1"/>
        <v>180992.75570713924</v>
      </c>
    </row>
    <row r="52" spans="1:7" ht="14.45">
      <c r="A52" s="10">
        <v>21</v>
      </c>
      <c r="B52" s="67">
        <f>'Wing inertia load'!$D$31/60*'Wing Ground load'!$B$3*9.81</f>
        <v>7242.6917878500008</v>
      </c>
      <c r="C52" s="173">
        <v>0</v>
      </c>
      <c r="D52" s="10">
        <v>0</v>
      </c>
      <c r="E52" s="274">
        <f t="shared" si="0"/>
        <v>3621.3458939250004</v>
      </c>
      <c r="F52" s="176">
        <f>'Ground load all'!D86</f>
        <v>180196.48562680246</v>
      </c>
      <c r="G52" s="177">
        <f t="shared" si="1"/>
        <v>176575.13973287746</v>
      </c>
    </row>
    <row r="53" spans="1:7" ht="14.45">
      <c r="A53" s="10">
        <v>21.5</v>
      </c>
      <c r="B53" s="67">
        <f>'Wing inertia load'!$D$31/60*'Wing Ground load'!$B$3*9.81</f>
        <v>7242.6917878500008</v>
      </c>
      <c r="C53" s="173">
        <v>0</v>
      </c>
      <c r="D53" s="10">
        <v>0</v>
      </c>
      <c r="E53" s="274">
        <f t="shared" si="0"/>
        <v>3621.3458939250004</v>
      </c>
      <c r="F53" s="176">
        <f>'Ground load all'!D87</f>
        <v>175557.2464650633</v>
      </c>
      <c r="G53" s="177">
        <f t="shared" si="1"/>
        <v>171935.90057113831</v>
      </c>
    </row>
    <row r="54" spans="1:7" ht="14.45">
      <c r="A54" s="10">
        <v>22</v>
      </c>
      <c r="B54" s="67">
        <f>'Wing inertia load'!$D$31/60*'Wing Ground load'!$B$3*9.81</f>
        <v>7242.6917878500008</v>
      </c>
      <c r="C54" s="173">
        <v>0</v>
      </c>
      <c r="D54" s="10">
        <v>0</v>
      </c>
      <c r="E54" s="274">
        <f t="shared" si="0"/>
        <v>3621.3458939250004</v>
      </c>
      <c r="F54" s="176">
        <f>'Ground load all'!D88</f>
        <v>170678.3131285336</v>
      </c>
      <c r="G54" s="177">
        <f t="shared" si="1"/>
        <v>167056.9672346086</v>
      </c>
    </row>
    <row r="55" spans="1:7" ht="14.45">
      <c r="A55" s="10">
        <v>22.5</v>
      </c>
      <c r="B55" s="67">
        <f>'Wing inertia load'!$D$31/60*'Wing Ground load'!$B$3*9.81</f>
        <v>7242.6917878500008</v>
      </c>
      <c r="C55" s="173">
        <v>0</v>
      </c>
      <c r="D55" s="10">
        <v>0</v>
      </c>
      <c r="E55" s="274">
        <f t="shared" si="0"/>
        <v>3621.3458939250004</v>
      </c>
      <c r="F55" s="176">
        <f>'Ground load all'!D89</f>
        <v>165538.49337924636</v>
      </c>
      <c r="G55" s="177">
        <f t="shared" si="1"/>
        <v>161917.14748532136</v>
      </c>
    </row>
    <row r="56" spans="1:7" ht="14.45">
      <c r="A56" s="10">
        <v>23</v>
      </c>
      <c r="B56" s="67">
        <f>'Wing inertia load'!$D$31/60*'Wing Ground load'!$B$3*9.81</f>
        <v>7242.6917878500008</v>
      </c>
      <c r="C56" s="173">
        <v>0</v>
      </c>
      <c r="D56" s="10">
        <v>0</v>
      </c>
      <c r="E56" s="274">
        <f t="shared" si="0"/>
        <v>3621.3458939250004</v>
      </c>
      <c r="F56" s="176">
        <f>'Ground load all'!D90</f>
        <v>160112.66483324178</v>
      </c>
      <c r="G56" s="177">
        <f t="shared" si="1"/>
        <v>156491.31893931678</v>
      </c>
    </row>
    <row r="57" spans="1:7" ht="14.45">
      <c r="A57" s="10">
        <v>23.5</v>
      </c>
      <c r="B57" s="67">
        <f>'Wing inertia load'!$D$31/60*'Wing Ground load'!$B$3*9.81</f>
        <v>7242.6917878500008</v>
      </c>
      <c r="C57" s="173">
        <v>0</v>
      </c>
      <c r="D57" s="10">
        <v>0</v>
      </c>
      <c r="E57" s="274">
        <f t="shared" si="0"/>
        <v>3621.3458939250004</v>
      </c>
      <c r="F57" s="176">
        <f>'Ground load all'!D91</f>
        <v>154370.67247892491</v>
      </c>
      <c r="G57" s="177">
        <f t="shared" si="1"/>
        <v>150749.32658499992</v>
      </c>
    </row>
    <row r="58" spans="1:7" ht="14.45">
      <c r="A58" s="10">
        <v>24</v>
      </c>
      <c r="B58" s="67">
        <f>'Wing inertia load'!$D$31/60*'Wing Ground load'!$B$3*9.81</f>
        <v>7242.6917878500008</v>
      </c>
      <c r="C58" s="173">
        <v>0</v>
      </c>
      <c r="D58" s="10">
        <v>0</v>
      </c>
      <c r="E58" s="274">
        <f t="shared" si="0"/>
        <v>3621.3458939250004</v>
      </c>
      <c r="F58" s="176">
        <f>'Ground load all'!D92</f>
        <v>148275.79045498685</v>
      </c>
      <c r="G58" s="177">
        <f t="shared" si="1"/>
        <v>144654.44456106186</v>
      </c>
    </row>
    <row r="59" spans="1:7" ht="14.45">
      <c r="A59" s="10">
        <v>24.5</v>
      </c>
      <c r="B59" s="67">
        <f>'Wing inertia load'!$D$31/60*'Wing Ground load'!$B$3*9.81</f>
        <v>7242.6917878500008</v>
      </c>
      <c r="C59" s="173">
        <v>0</v>
      </c>
      <c r="D59" s="10">
        <v>0</v>
      </c>
      <c r="E59" s="274">
        <f t="shared" si="0"/>
        <v>3621.3458939250004</v>
      </c>
      <c r="F59" s="176">
        <f>'Ground load all'!D93</f>
        <v>141782.51648341239</v>
      </c>
      <c r="G59" s="177">
        <f t="shared" si="1"/>
        <v>138161.17058948739</v>
      </c>
    </row>
    <row r="60" spans="1:7" ht="14.45">
      <c r="A60" s="10">
        <v>25</v>
      </c>
      <c r="B60" s="67">
        <f>'Wing inertia load'!$D$31/60*'Wing Ground load'!$B$3*9.81</f>
        <v>7242.6917878500008</v>
      </c>
      <c r="C60" s="173">
        <v>0</v>
      </c>
      <c r="D60" s="10">
        <v>0</v>
      </c>
      <c r="E60" s="274">
        <f t="shared" si="0"/>
        <v>3621.3458939250004</v>
      </c>
      <c r="F60" s="176">
        <f>'Ground load all'!D94</f>
        <v>134833.30581703183</v>
      </c>
      <c r="G60" s="177">
        <f t="shared" si="1"/>
        <v>131211.95992310683</v>
      </c>
    </row>
    <row r="61" spans="1:7" ht="14.45">
      <c r="A61" s="10">
        <v>25.5</v>
      </c>
      <c r="B61" s="67">
        <f>'Wing inertia load'!$D$31/60*'Wing Ground load'!$B$3*9.81</f>
        <v>7242.6917878500008</v>
      </c>
      <c r="C61" s="173">
        <v>0</v>
      </c>
      <c r="D61" s="10">
        <v>0</v>
      </c>
      <c r="E61" s="274">
        <f t="shared" si="0"/>
        <v>3621.3458939250004</v>
      </c>
      <c r="F61" s="176">
        <f>'Ground load all'!D95</f>
        <v>127353.54398913129</v>
      </c>
      <c r="G61" s="177">
        <f t="shared" si="1"/>
        <v>123732.19809520629</v>
      </c>
    </row>
    <row r="62" spans="1:7" ht="14.45">
      <c r="A62" s="10">
        <v>26</v>
      </c>
      <c r="B62" s="67">
        <f>'Wing inertia load'!$D$31/60*'Wing Ground load'!$B$3*9.81</f>
        <v>7242.6917878500008</v>
      </c>
      <c r="C62" s="173">
        <v>0</v>
      </c>
      <c r="D62" s="10">
        <v>0</v>
      </c>
      <c r="E62" s="274">
        <f t="shared" si="0"/>
        <v>3621.3458939250004</v>
      </c>
      <c r="F62" s="176">
        <f>'Ground load all'!D96</f>
        <v>119243.43339360954</v>
      </c>
      <c r="G62" s="177">
        <f t="shared" si="1"/>
        <v>115622.08749968454</v>
      </c>
    </row>
    <row r="63" spans="1:7" ht="14.45">
      <c r="A63" s="10">
        <v>26.5</v>
      </c>
      <c r="B63" s="67">
        <f>'Wing inertia load'!$D$31/60*'Wing Ground load'!$B$3*9.81</f>
        <v>7242.6917878500008</v>
      </c>
      <c r="C63" s="173">
        <v>0</v>
      </c>
      <c r="D63" s="10">
        <v>0</v>
      </c>
      <c r="E63" s="274">
        <f t="shared" si="0"/>
        <v>3621.3458939250004</v>
      </c>
      <c r="F63" s="176">
        <f>'Ground load all'!D97</f>
        <v>110364.09778665798</v>
      </c>
      <c r="G63" s="177">
        <f t="shared" si="1"/>
        <v>106742.75189273298</v>
      </c>
    </row>
    <row r="64" spans="1:7" ht="14.45">
      <c r="A64" s="10">
        <v>27</v>
      </c>
      <c r="B64" s="67">
        <f>'Wing inertia load'!$D$31/60*'Wing Ground load'!$B$3*9.81</f>
        <v>7242.6917878500008</v>
      </c>
      <c r="C64" s="173">
        <v>0</v>
      </c>
      <c r="D64" s="10">
        <v>0</v>
      </c>
      <c r="E64" s="274">
        <f t="shared" si="0"/>
        <v>3621.3458939250004</v>
      </c>
      <c r="F64" s="176">
        <f>'Ground load all'!D98</f>
        <v>100511.8808146184</v>
      </c>
      <c r="G64" s="177">
        <f t="shared" si="1"/>
        <v>96890.534920693404</v>
      </c>
    </row>
    <row r="65" spans="1:7" ht="14.45">
      <c r="A65" s="10">
        <v>27.5</v>
      </c>
      <c r="B65" s="67">
        <f>'Wing inertia load'!$D$31/60*'Wing Ground load'!$B$3*9.81</f>
        <v>7242.6917878500008</v>
      </c>
      <c r="C65" s="173">
        <v>0</v>
      </c>
      <c r="D65" s="10">
        <v>0</v>
      </c>
      <c r="E65" s="274">
        <f t="shared" si="0"/>
        <v>3621.3458939250004</v>
      </c>
      <c r="F65" s="176">
        <f>'Ground load all'!D99</f>
        <v>89365.590253650284</v>
      </c>
      <c r="G65" s="177">
        <f t="shared" si="1"/>
        <v>85744.244359725286</v>
      </c>
    </row>
    <row r="66" spans="1:7" ht="14.45">
      <c r="A66" s="10">
        <v>28</v>
      </c>
      <c r="B66" s="67">
        <f>'Wing inertia load'!$D$31/60*'Wing Ground load'!$B$3*9.81</f>
        <v>7242.6917878500008</v>
      </c>
      <c r="C66" s="173">
        <v>0</v>
      </c>
      <c r="D66" s="10">
        <v>0</v>
      </c>
      <c r="E66" s="274">
        <f t="shared" si="0"/>
        <v>3621.3458939250004</v>
      </c>
      <c r="F66" s="176">
        <f>'Ground load all'!D100</f>
        <v>76360.629186360238</v>
      </c>
      <c r="G66" s="177">
        <f t="shared" si="1"/>
        <v>72739.283292435241</v>
      </c>
    </row>
    <row r="67" spans="1:7" ht="14.45">
      <c r="A67" s="10">
        <v>28.5</v>
      </c>
      <c r="B67" s="67">
        <f>'Wing inertia load'!$D$31/60*'Wing Ground load'!$B$3*9.81</f>
        <v>7242.6917878500008</v>
      </c>
      <c r="C67" s="173">
        <v>0</v>
      </c>
      <c r="D67" s="10">
        <v>0</v>
      </c>
      <c r="E67" s="274">
        <f t="shared" si="0"/>
        <v>3621.3458939250004</v>
      </c>
      <c r="F67" s="176">
        <f>'Ground load all'!D101</f>
        <v>60306.293949740633</v>
      </c>
      <c r="G67" s="177">
        <f t="shared" si="1"/>
        <v>56684.948055815636</v>
      </c>
    </row>
    <row r="68" spans="1:7" ht="14.45">
      <c r="A68" s="10">
        <v>29</v>
      </c>
      <c r="B68" s="67">
        <f>'Wing inertia load'!$D$31/60*'Wing Ground load'!$B$3*9.81</f>
        <v>7242.6917878500008</v>
      </c>
      <c r="C68" s="173">
        <v>0</v>
      </c>
      <c r="D68" s="10">
        <v>0</v>
      </c>
      <c r="E68" s="274">
        <f t="shared" si="0"/>
        <v>2245.2344542334909</v>
      </c>
      <c r="F68" s="176">
        <f>'Ground load all'!D102</f>
        <v>37468.906069305689</v>
      </c>
      <c r="G68" s="177">
        <f t="shared" si="1"/>
        <v>35223.671615072199</v>
      </c>
    </row>
    <row r="69" spans="1:7" ht="14.45">
      <c r="A69" s="10">
        <v>29.31</v>
      </c>
      <c r="B69" s="67">
        <f>'Wing inertia load'!$D$31/60*'Wing Ground load'!$B$3*9.81</f>
        <v>7242.6917878500008</v>
      </c>
      <c r="C69" s="173">
        <v>0</v>
      </c>
      <c r="D69" s="10">
        <v>0</v>
      </c>
      <c r="E69" s="274">
        <v>0</v>
      </c>
      <c r="F69" s="176">
        <f>'Ground load all'!D103</f>
        <v>0</v>
      </c>
      <c r="G69" s="177">
        <f t="shared" si="1"/>
        <v>0</v>
      </c>
    </row>
    <row r="70" spans="1:7">
      <c r="G70" s="177"/>
    </row>
  </sheetData>
  <mergeCells count="1">
    <mergeCell ref="A1:C1"/>
  </mergeCells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10"/>
  <sheetViews>
    <sheetView tabSelected="1" zoomScale="55" zoomScaleNormal="55" workbookViewId="0">
      <pane xSplit="1" ySplit="1" topLeftCell="C2" activePane="bottomRight" state="frozen"/>
      <selection pane="bottomRight" activeCell="M37" sqref="M37"/>
      <selection pane="bottomLeft" activeCell="A2" sqref="A2"/>
      <selection pane="topRight" activeCell="B1" sqref="B1"/>
    </sheetView>
  </sheetViews>
  <sheetFormatPr defaultColWidth="8.875" defaultRowHeight="14.45"/>
  <cols>
    <col min="1" max="1" width="25.625" style="41" customWidth="1"/>
    <col min="2" max="2" width="9.125" style="4"/>
    <col min="3" max="3" width="23.875" style="4" bestFit="1" customWidth="1"/>
    <col min="4" max="4" width="12.875" style="4" bestFit="1" customWidth="1"/>
    <col min="5" max="5" width="17.875" style="4" bestFit="1" customWidth="1"/>
    <col min="6" max="6" width="19.375" style="4" bestFit="1" customWidth="1"/>
    <col min="7" max="7" width="19" style="4" bestFit="1" customWidth="1"/>
    <col min="8" max="8" width="20.875" style="4" bestFit="1" customWidth="1"/>
    <col min="9" max="9" width="14.875" style="4" bestFit="1" customWidth="1"/>
    <col min="10" max="10" width="15" style="4" bestFit="1" customWidth="1"/>
    <col min="11" max="11" width="18.25" style="4" bestFit="1" customWidth="1"/>
    <col min="12" max="12" width="15.875" style="4" customWidth="1"/>
    <col min="13" max="13" width="16.375" style="4" bestFit="1" customWidth="1"/>
    <col min="14" max="15" width="14.625" style="4" bestFit="1" customWidth="1"/>
    <col min="16" max="16" width="9.625" style="4" customWidth="1"/>
    <col min="17" max="17" width="9.625" style="4" bestFit="1" customWidth="1"/>
    <col min="18" max="18" width="17" style="4" customWidth="1"/>
    <col min="19" max="19" width="9" style="4" bestFit="1" customWidth="1"/>
    <col min="20" max="20" width="10.625" style="4" bestFit="1" customWidth="1"/>
    <col min="21" max="21" width="9.125" style="4" customWidth="1"/>
    <col min="22" max="22" width="9.625" style="4" customWidth="1"/>
    <col min="23" max="23" width="9" style="4" bestFit="1" customWidth="1"/>
    <col min="24" max="25" width="9.125" style="4" bestFit="1" customWidth="1"/>
    <col min="26" max="26" width="10.125" style="4" customWidth="1"/>
    <col min="27" max="33" width="8.875" style="4" bestFit="1" customWidth="1"/>
    <col min="34" max="16384" width="8.875" style="4"/>
  </cols>
  <sheetData>
    <row r="1" spans="1:26" s="30" customFormat="1" ht="39" customHeight="1" thickBot="1">
      <c r="A1" s="128"/>
      <c r="B1" s="208" t="s">
        <v>11</v>
      </c>
      <c r="C1" s="208"/>
      <c r="D1" s="208"/>
      <c r="E1" s="209"/>
      <c r="F1" s="210" t="s">
        <v>1</v>
      </c>
      <c r="G1" s="211"/>
      <c r="H1" s="204" t="s">
        <v>170</v>
      </c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</row>
    <row r="2" spans="1:26">
      <c r="A2" s="112"/>
      <c r="V2" s="53"/>
    </row>
    <row r="3" spans="1:26">
      <c r="A3" s="126" t="s">
        <v>38</v>
      </c>
    </row>
    <row r="4" spans="1:26">
      <c r="A4" s="230" t="s">
        <v>171</v>
      </c>
    </row>
    <row r="5" spans="1:26">
      <c r="A5" s="196"/>
    </row>
    <row r="6" spans="1:26">
      <c r="A6" s="196"/>
    </row>
    <row r="7" spans="1:26">
      <c r="A7" s="236"/>
    </row>
    <row r="8" spans="1:26">
      <c r="A8" s="236"/>
    </row>
    <row r="9" spans="1:26">
      <c r="A9" s="236"/>
    </row>
    <row r="10" spans="1:26">
      <c r="A10" s="236"/>
    </row>
    <row r="11" spans="1:26">
      <c r="A11" s="236"/>
    </row>
    <row r="12" spans="1:26">
      <c r="A12" s="236"/>
    </row>
    <row r="13" spans="1:26">
      <c r="A13" s="236"/>
    </row>
    <row r="14" spans="1:26" ht="15.95" customHeight="1">
      <c r="A14" s="236"/>
    </row>
    <row r="15" spans="1:26">
      <c r="A15" s="236"/>
    </row>
    <row r="16" spans="1:26">
      <c r="A16" s="236"/>
    </row>
    <row r="17" spans="1:22">
      <c r="A17" s="236"/>
    </row>
    <row r="18" spans="1:22">
      <c r="A18" s="236"/>
    </row>
    <row r="19" spans="1:22" s="111" customFormat="1">
      <c r="A19" s="237"/>
    </row>
    <row r="21" spans="1:22">
      <c r="A21" s="126" t="s">
        <v>32</v>
      </c>
      <c r="C21" s="225" t="s">
        <v>172</v>
      </c>
      <c r="D21" s="226"/>
      <c r="E21" s="226"/>
      <c r="F21" s="226"/>
      <c r="I21" s="205" t="s">
        <v>173</v>
      </c>
      <c r="J21" s="198"/>
      <c r="K21" s="198"/>
      <c r="L21" s="199"/>
      <c r="N21" s="205" t="s">
        <v>174</v>
      </c>
      <c r="O21" s="198"/>
      <c r="P21" s="198"/>
      <c r="Q21" s="199"/>
    </row>
    <row r="22" spans="1:22">
      <c r="A22" s="230" t="s">
        <v>175</v>
      </c>
      <c r="C22" s="55" t="s">
        <v>19</v>
      </c>
      <c r="D22" s="55" t="s">
        <v>176</v>
      </c>
      <c r="E22" s="55" t="s">
        <v>20</v>
      </c>
      <c r="F22" s="55" t="s">
        <v>47</v>
      </c>
      <c r="G22" s="6" t="s">
        <v>177</v>
      </c>
      <c r="I22" s="13" t="s">
        <v>19</v>
      </c>
      <c r="J22" s="13" t="s">
        <v>176</v>
      </c>
      <c r="K22" s="13" t="s">
        <v>20</v>
      </c>
      <c r="L22" s="13" t="s">
        <v>47</v>
      </c>
      <c r="N22" s="13" t="s">
        <v>19</v>
      </c>
      <c r="O22" s="13" t="s">
        <v>176</v>
      </c>
      <c r="P22" s="13" t="s">
        <v>20</v>
      </c>
      <c r="Q22" s="13" t="s">
        <v>47</v>
      </c>
      <c r="V22" s="42"/>
    </row>
    <row r="23" spans="1:22">
      <c r="A23" s="231"/>
      <c r="C23" s="6" t="s">
        <v>178</v>
      </c>
      <c r="D23" s="6" t="s">
        <v>179</v>
      </c>
      <c r="E23" s="43">
        <v>400</v>
      </c>
      <c r="F23" s="6" t="s">
        <v>180</v>
      </c>
      <c r="G23" s="54" t="s">
        <v>69</v>
      </c>
      <c r="I23" s="6" t="s">
        <v>181</v>
      </c>
      <c r="J23" s="6" t="s">
        <v>182</v>
      </c>
      <c r="K23" s="43">
        <f>' n-V diagram'!G8*9.81/2</f>
        <v>2108659.5</v>
      </c>
      <c r="L23" s="6" t="s">
        <v>125</v>
      </c>
      <c r="N23" s="6" t="s">
        <v>183</v>
      </c>
      <c r="O23" s="6" t="s">
        <v>184</v>
      </c>
      <c r="P23" s="6">
        <v>61686.7</v>
      </c>
      <c r="Q23" s="6" t="s">
        <v>185</v>
      </c>
    </row>
    <row r="24" spans="1:22">
      <c r="A24" s="231"/>
      <c r="C24" s="6" t="s">
        <v>186</v>
      </c>
      <c r="D24" s="6" t="s">
        <v>187</v>
      </c>
      <c r="E24" s="43">
        <v>15709</v>
      </c>
      <c r="F24" s="6" t="s">
        <v>188</v>
      </c>
      <c r="I24" s="6" t="s">
        <v>189</v>
      </c>
      <c r="J24" s="6" t="s">
        <v>190</v>
      </c>
      <c r="K24" s="43">
        <f>'Wing inertia load'!D33*'Wing inertia load'!D38/1000</f>
        <v>35040.300000000003</v>
      </c>
      <c r="L24" s="6" t="s">
        <v>188</v>
      </c>
      <c r="N24" s="47" t="s">
        <v>191</v>
      </c>
      <c r="O24" s="6" t="s">
        <v>192</v>
      </c>
      <c r="P24" s="6">
        <v>206516.3</v>
      </c>
      <c r="Q24" s="6" t="s">
        <v>185</v>
      </c>
    </row>
    <row r="25" spans="1:22">
      <c r="A25" s="231"/>
      <c r="C25" s="6" t="s">
        <v>193</v>
      </c>
      <c r="D25" s="6" t="s">
        <v>194</v>
      </c>
      <c r="E25" s="43">
        <v>400</v>
      </c>
      <c r="F25" s="6" t="s">
        <v>180</v>
      </c>
      <c r="I25" s="6" t="s">
        <v>195</v>
      </c>
      <c r="J25" s="6" t="s">
        <v>196</v>
      </c>
      <c r="K25" s="43">
        <f>'Wing inertia load'!I32/9.81</f>
        <v>6125</v>
      </c>
      <c r="L25" s="6" t="s">
        <v>188</v>
      </c>
      <c r="N25" s="114" t="s">
        <v>197</v>
      </c>
      <c r="O25" s="46" t="s">
        <v>198</v>
      </c>
      <c r="P25" s="6">
        <v>791</v>
      </c>
      <c r="Q25" s="6" t="s">
        <v>180</v>
      </c>
    </row>
    <row r="26" spans="1:22">
      <c r="A26" s="231"/>
      <c r="C26" s="6" t="s">
        <v>199</v>
      </c>
      <c r="D26" s="47" t="s">
        <v>200</v>
      </c>
      <c r="E26" s="43">
        <v>300</v>
      </c>
      <c r="F26" s="6" t="s">
        <v>180</v>
      </c>
      <c r="I26" s="6" t="s">
        <v>201</v>
      </c>
      <c r="J26" s="6" t="s">
        <v>202</v>
      </c>
      <c r="K26" s="43">
        <v>3.75</v>
      </c>
      <c r="L26" s="6"/>
      <c r="N26" s="115" t="s">
        <v>197</v>
      </c>
      <c r="O26" s="46" t="s">
        <v>203</v>
      </c>
      <c r="P26" s="6">
        <v>2647.6</v>
      </c>
      <c r="Q26" s="6" t="s">
        <v>180</v>
      </c>
    </row>
    <row r="27" spans="1:22">
      <c r="A27" s="231"/>
      <c r="C27" s="56" t="s">
        <v>204</v>
      </c>
      <c r="D27" s="6" t="s">
        <v>205</v>
      </c>
      <c r="E27" s="57">
        <v>870</v>
      </c>
      <c r="F27" s="6" t="s">
        <v>180</v>
      </c>
      <c r="N27" s="48" t="s">
        <v>206</v>
      </c>
      <c r="O27" s="6" t="s">
        <v>207</v>
      </c>
      <c r="P27" s="6">
        <v>260</v>
      </c>
      <c r="Q27" s="6" t="s">
        <v>180</v>
      </c>
    </row>
    <row r="28" spans="1:22">
      <c r="A28" s="231"/>
      <c r="C28" s="6" t="s">
        <v>208</v>
      </c>
      <c r="D28" s="48" t="s">
        <v>209</v>
      </c>
      <c r="E28" s="43">
        <f>VLOOKUP('Wing Torque'!G23,' n-V diagram'!H42:K47,3,FALSE)</f>
        <v>6785762.8465562463</v>
      </c>
      <c r="F28" s="6" t="s">
        <v>210</v>
      </c>
      <c r="N28" s="6" t="s">
        <v>211</v>
      </c>
      <c r="O28" s="6" t="s">
        <v>212</v>
      </c>
      <c r="P28" s="6">
        <v>120</v>
      </c>
      <c r="Q28" s="6" t="s">
        <v>180</v>
      </c>
    </row>
    <row r="29" spans="1:22">
      <c r="A29" s="231"/>
      <c r="C29" s="6" t="s">
        <v>213</v>
      </c>
      <c r="D29" s="6" t="s">
        <v>214</v>
      </c>
      <c r="E29" s="43">
        <f>E23*K23+E25*E24*9.81*K26-K24*E26*9.81*K26-K25*E27*9.81*K26+E28*1000</f>
        <v>7277639680.0562458</v>
      </c>
      <c r="F29" s="6" t="s">
        <v>215</v>
      </c>
      <c r="N29" s="6" t="s">
        <v>216</v>
      </c>
      <c r="O29" s="6" t="s">
        <v>217</v>
      </c>
      <c r="P29" s="6">
        <f>P30*1000/P28</f>
        <v>60646997333.802048</v>
      </c>
      <c r="Q29" s="6" t="s">
        <v>125</v>
      </c>
    </row>
    <row r="30" spans="1:22">
      <c r="A30" s="231"/>
      <c r="C30" s="6" t="s">
        <v>218</v>
      </c>
      <c r="D30" s="6" t="s">
        <v>219</v>
      </c>
      <c r="E30" s="43">
        <v>15</v>
      </c>
      <c r="F30" s="6" t="s">
        <v>180</v>
      </c>
      <c r="N30" s="6" t="s">
        <v>220</v>
      </c>
      <c r="O30" s="6" t="s">
        <v>214</v>
      </c>
      <c r="P30" s="6">
        <f>E29</f>
        <v>7277639680.0562458</v>
      </c>
      <c r="Q30" s="6" t="s">
        <v>210</v>
      </c>
    </row>
    <row r="31" spans="1:22">
      <c r="A31" s="231"/>
      <c r="C31" s="47" t="s">
        <v>221</v>
      </c>
      <c r="D31" s="47" t="s">
        <v>222</v>
      </c>
      <c r="E31" s="119">
        <v>7</v>
      </c>
      <c r="F31" s="47" t="s">
        <v>180</v>
      </c>
    </row>
    <row r="32" spans="1:22" ht="15" customHeight="1">
      <c r="A32" s="231"/>
      <c r="C32" s="115" t="s">
        <v>221</v>
      </c>
      <c r="D32" s="115" t="s">
        <v>223</v>
      </c>
      <c r="E32" s="117">
        <v>7</v>
      </c>
      <c r="F32" s="115" t="s">
        <v>180</v>
      </c>
      <c r="S32" s="53"/>
    </row>
    <row r="33" spans="1:25">
      <c r="A33" s="232"/>
    </row>
    <row r="34" spans="1:25" s="127" customFormat="1" ht="15" thickBot="1">
      <c r="A34" s="41"/>
    </row>
    <row r="35" spans="1:25" ht="15" thickBot="1">
      <c r="A35" s="130" t="s">
        <v>34</v>
      </c>
      <c r="B35" s="178" t="s">
        <v>224</v>
      </c>
      <c r="D35" s="233" t="s">
        <v>225</v>
      </c>
      <c r="E35" s="234"/>
      <c r="F35" s="234"/>
      <c r="G35" s="235"/>
      <c r="H35" s="233" t="s">
        <v>226</v>
      </c>
      <c r="I35" s="234"/>
      <c r="J35" s="234"/>
      <c r="K35" s="234"/>
      <c r="L35" s="234"/>
      <c r="M35" s="235"/>
      <c r="N35" s="118"/>
    </row>
    <row r="36" spans="1:25" ht="57.95">
      <c r="A36" s="230" t="s">
        <v>227</v>
      </c>
      <c r="B36" s="179" t="s">
        <v>228</v>
      </c>
      <c r="C36" s="280" t="s">
        <v>229</v>
      </c>
      <c r="D36" s="170" t="s">
        <v>230</v>
      </c>
      <c r="E36" s="281" t="s">
        <v>231</v>
      </c>
      <c r="F36" s="281" t="s">
        <v>232</v>
      </c>
      <c r="G36" s="282" t="s">
        <v>233</v>
      </c>
      <c r="H36" s="170" t="s">
        <v>234</v>
      </c>
      <c r="I36" s="281" t="s">
        <v>235</v>
      </c>
      <c r="J36" s="281" t="s">
        <v>236</v>
      </c>
      <c r="K36" s="281" t="s">
        <v>237</v>
      </c>
      <c r="L36" s="283" t="s">
        <v>238</v>
      </c>
      <c r="M36" s="171" t="s">
        <v>239</v>
      </c>
      <c r="N36" s="167" t="s">
        <v>240</v>
      </c>
      <c r="Y36" s="167" t="s">
        <v>241</v>
      </c>
    </row>
    <row r="37" spans="1:25">
      <c r="A37" s="238"/>
      <c r="B37">
        <v>1</v>
      </c>
      <c r="C37" s="116">
        <v>0</v>
      </c>
      <c r="D37" s="62">
        <f>'Wing aero load'!D44*'Wing Torque'!$E$23*B37</f>
        <v>137401671.53436419</v>
      </c>
      <c r="E37" s="43">
        <f>$E$28*'Wing aero load'!E44/(2*SUM('Wing aero load'!$E$44:$E$80)*0.1)</f>
        <v>987117.88385688979</v>
      </c>
      <c r="F37" s="43">
        <f>$E$25*B37*$E$24*9.81*$K$26/'Wing aero load'!$D$31</f>
        <v>7886657.6253838288</v>
      </c>
      <c r="G37" s="168">
        <f>'Wing inertia load'!E46*'Wing Torque'!$E$26*B37/1.65</f>
        <v>0</v>
      </c>
      <c r="H37" s="62">
        <f>53198.2*200</f>
        <v>10639640</v>
      </c>
      <c r="I37" s="43">
        <f>(D38+D37)*(C38-C37)/2</f>
        <v>67977780.967998952</v>
      </c>
      <c r="J37" s="43">
        <f>(E38+E37)*(C38-C37)/2</f>
        <v>493487.10042050213</v>
      </c>
      <c r="K37" s="43">
        <f>(F38+F37)*(C38-C37)/2</f>
        <v>3902107.4206963778</v>
      </c>
      <c r="L37" s="43">
        <f>(G38+G37)*(C38-C37)/2</f>
        <v>0</v>
      </c>
      <c r="M37" s="168" t="s">
        <v>169</v>
      </c>
      <c r="N37" s="57">
        <f>SUM(M37:$M$96)</f>
        <v>23631570437.685516</v>
      </c>
      <c r="Y37" s="4">
        <f>N37/1000</f>
        <v>23631570.437685516</v>
      </c>
    </row>
    <row r="38" spans="1:25">
      <c r="A38" s="238"/>
      <c r="B38">
        <v>0.9790930992805561</v>
      </c>
      <c r="C38" s="116">
        <v>0.5</v>
      </c>
      <c r="D38" s="62">
        <f>'Wing aero load'!D45*'Wing Torque'!$E$23*B38</f>
        <v>134509452.33763158</v>
      </c>
      <c r="E38" s="43">
        <f>$E$28*'Wing aero load'!E45/(2*SUM('Wing aero load'!$E$44:$E$80)*0.1)</f>
        <v>986830.51782511873</v>
      </c>
      <c r="F38" s="43">
        <f>$E$25*B38*$E$24*9.81*$K$26/'Wing aero load'!$D$31</f>
        <v>7721772.0574016832</v>
      </c>
      <c r="G38" s="168">
        <f>'Wing inertia load'!E47*'Wing Torque'!$E$26*B38/1.65</f>
        <v>0</v>
      </c>
      <c r="H38" s="62">
        <f t="shared" ref="H38:H41" si="0">53198.2*200</f>
        <v>10639640</v>
      </c>
      <c r="I38" s="43">
        <f t="shared" ref="I38:I96" si="1">(D39+D38)*(C39-C38)/2</f>
        <v>66522297.154645965</v>
      </c>
      <c r="J38" s="43">
        <f t="shared" ref="J38:J96" si="2">(E39+E38)*(C39-C38)/2</f>
        <v>493271.51308082137</v>
      </c>
      <c r="K38" s="43">
        <f t="shared" ref="K38:K96" si="3">(F39+F38)*(C39-C38)/2</f>
        <v>3819664.6367053064</v>
      </c>
      <c r="L38" s="43">
        <f t="shared" ref="L38:L96" si="4">(G39+G38)*(C39-C38)/2</f>
        <v>0</v>
      </c>
      <c r="M38" s="168">
        <f t="shared" ref="M38:M96" si="5">I38+J38*1000+K38-L38-H38</f>
        <v>552973834.87217259</v>
      </c>
      <c r="N38" s="57">
        <f>SUM(M38:$M$96)</f>
        <v>23631570437.685516</v>
      </c>
      <c r="Y38" s="4">
        <f t="shared" ref="Y38:Y96" si="6">N38/1000</f>
        <v>23631570.437685516</v>
      </c>
    </row>
    <row r="39" spans="1:25">
      <c r="A39" s="238"/>
      <c r="B39">
        <v>0.95818619856111253</v>
      </c>
      <c r="C39" s="116">
        <v>1</v>
      </c>
      <c r="D39" s="62">
        <f>'Wing aero load'!D46*'Wing Torque'!$E$23*B39</f>
        <v>131579736.28095229</v>
      </c>
      <c r="E39" s="43">
        <f>$E$28*'Wing aero load'!E46/(2*SUM('Wing aero load'!$E$44:$E$80)*0.1)</f>
        <v>986255.53449816664</v>
      </c>
      <c r="F39" s="43">
        <f>$E$25*B39*$E$24*9.81*$K$26/'Wing aero load'!$D$31</f>
        <v>7556886.4894195423</v>
      </c>
      <c r="G39" s="168">
        <f>'Wing inertia load'!E48*'Wing Torque'!$E$26*B39/1.65</f>
        <v>0</v>
      </c>
      <c r="H39" s="62">
        <f t="shared" si="0"/>
        <v>10639640</v>
      </c>
      <c r="I39" s="43">
        <f t="shared" si="1"/>
        <v>65048679.910960667</v>
      </c>
      <c r="J39" s="43">
        <f t="shared" si="2"/>
        <v>492911.99118674302</v>
      </c>
      <c r="K39" s="43">
        <f t="shared" si="3"/>
        <v>3737221.852714234</v>
      </c>
      <c r="L39" s="43">
        <f t="shared" si="4"/>
        <v>0</v>
      </c>
      <c r="M39" s="168">
        <f t="shared" si="5"/>
        <v>551058252.95041788</v>
      </c>
      <c r="N39" s="57">
        <f>SUM(M39:$M$96)</f>
        <v>23078596602.813347</v>
      </c>
      <c r="Y39" s="4">
        <f t="shared" si="6"/>
        <v>23078596.602813348</v>
      </c>
    </row>
    <row r="40" spans="1:25">
      <c r="A40" s="238"/>
      <c r="B40">
        <v>0.93727929784166797</v>
      </c>
      <c r="C40" s="116">
        <v>1.5</v>
      </c>
      <c r="D40" s="62">
        <f>'Wing aero load'!D47*'Wing Torque'!$E$23*B40</f>
        <v>128614983.36289038</v>
      </c>
      <c r="E40" s="43">
        <f>$E$28*'Wing aero load'!E47/(2*SUM('Wing aero load'!$E$44:$E$80)*0.1)</f>
        <v>985392.43024880555</v>
      </c>
      <c r="F40" s="43">
        <f>$E$25*B40*$E$24*9.81*$K$26/'Wing aero load'!$D$31</f>
        <v>7392000.9214373929</v>
      </c>
      <c r="G40" s="168">
        <f>'Wing inertia load'!E49*'Wing Torque'!$E$26*B40/1.65</f>
        <v>0</v>
      </c>
      <c r="H40" s="62">
        <f t="shared" si="0"/>
        <v>10639640</v>
      </c>
      <c r="I40" s="43">
        <f t="shared" si="1"/>
        <v>63558152.260085881</v>
      </c>
      <c r="J40" s="43">
        <f t="shared" si="2"/>
        <v>492408.2192806775</v>
      </c>
      <c r="K40" s="43">
        <f t="shared" si="3"/>
        <v>3654779.0687231603</v>
      </c>
      <c r="L40" s="43">
        <f t="shared" si="4"/>
        <v>0</v>
      </c>
      <c r="M40" s="168">
        <f t="shared" si="5"/>
        <v>548981510.60948658</v>
      </c>
      <c r="N40" s="57">
        <f>SUM(M40:$M$96)</f>
        <v>22527538349.86293</v>
      </c>
      <c r="Y40" s="4">
        <f t="shared" si="6"/>
        <v>22527538.349862929</v>
      </c>
    </row>
    <row r="41" spans="1:25">
      <c r="A41" s="238"/>
      <c r="B41">
        <v>0.91637239712222418</v>
      </c>
      <c r="C41" s="116">
        <v>2</v>
      </c>
      <c r="D41" s="62">
        <f>'Wing aero load'!D48*'Wing Torque'!$E$23*B41</f>
        <v>125617625.67745316</v>
      </c>
      <c r="E41" s="43">
        <f>$E$28*'Wing aero load'!E48/(2*SUM('Wing aero load'!$E$44:$E$80)*0.1)</f>
        <v>984240.44687390432</v>
      </c>
      <c r="F41" s="43">
        <f>$E$25*B41*$E$24*9.81*$K$26/'Wing aero load'!$D$31</f>
        <v>7227115.3534552483</v>
      </c>
      <c r="G41" s="168">
        <f>'Wing inertia load'!E50*'Wing Torque'!$E$26*B41/1.65</f>
        <v>0</v>
      </c>
      <c r="H41" s="62">
        <f t="shared" si="0"/>
        <v>10639640</v>
      </c>
      <c r="I41" s="43">
        <f t="shared" si="1"/>
        <v>62051924.107461423</v>
      </c>
      <c r="J41" s="43">
        <f t="shared" si="2"/>
        <v>491759.75378045416</v>
      </c>
      <c r="K41" s="43">
        <f t="shared" si="3"/>
        <v>3572336.2847320884</v>
      </c>
      <c r="L41" s="43">
        <f t="shared" si="4"/>
        <v>0</v>
      </c>
      <c r="M41" s="168">
        <f t="shared" si="5"/>
        <v>546744374.17264771</v>
      </c>
      <c r="N41" s="57">
        <f>SUM(M41:$M$96)</f>
        <v>21978556839.253445</v>
      </c>
      <c r="Y41" s="4">
        <f t="shared" si="6"/>
        <v>21978556.839253444</v>
      </c>
    </row>
    <row r="42" spans="1:25">
      <c r="A42" s="238"/>
      <c r="B42">
        <v>0.89546549640278061</v>
      </c>
      <c r="C42" s="116">
        <v>2.5</v>
      </c>
      <c r="D42" s="62">
        <f>'Wing aero load'!D49*'Wing Torque'!$E$23*B42</f>
        <v>122590070.75239255</v>
      </c>
      <c r="E42" s="43">
        <f>$E$28*'Wing aero load'!E49/(2*SUM('Wing aero load'!$E$44:$E$80)*0.1)</f>
        <v>982798.56824791234</v>
      </c>
      <c r="F42" s="43">
        <f>$E$25*B42*$E$24*9.81*$K$26/'Wing aero load'!$D$31</f>
        <v>7062229.7854731046</v>
      </c>
      <c r="G42" s="168">
        <f>'Wing inertia load'!E51*'Wing Torque'!$E$26*B42/1.65</f>
        <v>0</v>
      </c>
      <c r="H42" s="62">
        <f>53198.2*200</f>
        <v>10639640</v>
      </c>
      <c r="I42" s="43">
        <f t="shared" si="1"/>
        <v>60531193.887118511</v>
      </c>
      <c r="J42" s="43">
        <f t="shared" si="2"/>
        <v>490966.021013794</v>
      </c>
      <c r="K42" s="43">
        <f t="shared" si="3"/>
        <v>3489893.5007410161</v>
      </c>
      <c r="L42" s="43">
        <f t="shared" si="4"/>
        <v>0</v>
      </c>
      <c r="M42" s="168">
        <f t="shared" si="5"/>
        <v>544347468.40165353</v>
      </c>
      <c r="N42" s="57">
        <f>SUM(M42:$M$96)</f>
        <v>21431812465.080795</v>
      </c>
      <c r="Y42" s="4">
        <f t="shared" si="6"/>
        <v>21431812.465080794</v>
      </c>
    </row>
    <row r="43" spans="1:25">
      <c r="A43" s="238"/>
      <c r="B43">
        <v>0.87455859568333671</v>
      </c>
      <c r="C43" s="116">
        <v>3</v>
      </c>
      <c r="D43" s="62">
        <f>'Wing aero load'!D50*'Wing Torque'!$E$23*B43</f>
        <v>119534704.7960815</v>
      </c>
      <c r="E43" s="43">
        <f>$E$28*'Wing aero load'!E50/(2*SUM('Wing aero load'!$E$44:$E$80)*0.1)</f>
        <v>981065.51580726367</v>
      </c>
      <c r="F43" s="43">
        <f>$E$25*B43*$E$24*9.81*$K$26/'Wing aero load'!$D$31</f>
        <v>6897344.2174909599</v>
      </c>
      <c r="G43" s="168">
        <f>'Wing inertia load'!E52*'Wing Torque'!$E$26*B43/1.65</f>
        <v>0</v>
      </c>
      <c r="H43" s="62">
        <v>0</v>
      </c>
      <c r="I43" s="43">
        <f t="shared" si="1"/>
        <v>58997150.166900724</v>
      </c>
      <c r="J43" s="43">
        <f t="shared" si="2"/>
        <v>490026.31465643813</v>
      </c>
      <c r="K43" s="43">
        <f t="shared" si="3"/>
        <v>3407450.7167499438</v>
      </c>
      <c r="L43" s="43">
        <f t="shared" si="4"/>
        <v>0</v>
      </c>
      <c r="M43" s="168">
        <f t="shared" si="5"/>
        <v>552430915.54008877</v>
      </c>
      <c r="N43" s="57">
        <f>SUM(M43:$M$96)</f>
        <v>20887464996.679142</v>
      </c>
      <c r="Y43" s="4">
        <f t="shared" si="6"/>
        <v>20887464.996679142</v>
      </c>
    </row>
    <row r="44" spans="1:25">
      <c r="A44" s="238"/>
      <c r="B44">
        <v>0.85365169496389304</v>
      </c>
      <c r="C44" s="116">
        <v>3.5</v>
      </c>
      <c r="D44" s="62">
        <f>'Wing aero load'!D51*'Wing Torque'!$E$23*B44</f>
        <v>116453895.87152141</v>
      </c>
      <c r="E44" s="43">
        <f>$E$28*'Wing aero load'!E51/(2*SUM('Wing aero load'!$E$44:$E$80)*0.1)</f>
        <v>979039.74281848886</v>
      </c>
      <c r="F44" s="43">
        <f>$E$25*B44*$E$24*9.81*$K$26/'Wing aero load'!$D$31</f>
        <v>6732458.6495088162</v>
      </c>
      <c r="G44" s="168">
        <f>'Wing inertia load'!E53*'Wing Torque'!$E$26*B44/1.65</f>
        <v>0</v>
      </c>
      <c r="H44" s="62">
        <v>0</v>
      </c>
      <c r="I44" s="43">
        <f t="shared" si="1"/>
        <v>57450973.221752346</v>
      </c>
      <c r="J44" s="43">
        <f t="shared" si="2"/>
        <v>488939.79254696856</v>
      </c>
      <c r="K44" s="43">
        <f t="shared" si="3"/>
        <v>3325007.9327588729</v>
      </c>
      <c r="L44" s="43">
        <f t="shared" si="4"/>
        <v>0</v>
      </c>
      <c r="M44" s="168">
        <f t="shared" si="5"/>
        <v>549715773.70147979</v>
      </c>
      <c r="N44" s="57">
        <f>SUM(M44:$M$96)</f>
        <v>20335034081.139053</v>
      </c>
      <c r="Y44" s="4">
        <f t="shared" si="6"/>
        <v>20335034.081139054</v>
      </c>
    </row>
    <row r="45" spans="1:25">
      <c r="B45">
        <v>0.83274479424444947</v>
      </c>
      <c r="C45" s="116">
        <v>4</v>
      </c>
      <c r="D45" s="62">
        <f>'Wing aero load'!D52*'Wing Torque'!$E$23*B45</f>
        <v>113349997.01548795</v>
      </c>
      <c r="E45" s="43">
        <f>$E$28*'Wing aero load'!E52/(2*SUM('Wing aero load'!$E$44:$E$80)*0.1)</f>
        <v>976719.42736938538</v>
      </c>
      <c r="F45" s="43">
        <f>$E$25*B45*$E$24*9.81*$K$26/'Wing aero load'!$D$31</f>
        <v>6567573.0815266753</v>
      </c>
      <c r="G45" s="168">
        <f>'Wing inertia load'!E54*'Wing Torque'!$E$26*B45/1.65</f>
        <v>0</v>
      </c>
      <c r="H45" s="62">
        <v>0</v>
      </c>
      <c r="I45" s="43">
        <f t="shared" si="1"/>
        <v>55941459.056260929</v>
      </c>
      <c r="J45" s="43">
        <f t="shared" si="2"/>
        <v>487705.47284434061</v>
      </c>
      <c r="K45" s="43">
        <f t="shared" si="3"/>
        <v>3245331.4072592854</v>
      </c>
      <c r="L45" s="43">
        <f t="shared" si="4"/>
        <v>0</v>
      </c>
      <c r="M45" s="168">
        <f t="shared" si="5"/>
        <v>546892263.30786085</v>
      </c>
      <c r="N45" s="57">
        <f>SUM(M45:$M$96)</f>
        <v>19785318307.437576</v>
      </c>
      <c r="Y45" s="4">
        <f t="shared" si="6"/>
        <v>19785318.307437576</v>
      </c>
    </row>
    <row r="46" spans="1:25">
      <c r="B46">
        <v>0.81324090028547691</v>
      </c>
      <c r="C46" s="116">
        <v>4.5</v>
      </c>
      <c r="D46" s="62">
        <f>'Wing aero load'!D53*'Wing Torque'!$E$23*B46</f>
        <v>110415839.20955576</v>
      </c>
      <c r="E46" s="43">
        <f>$E$28*'Wing aero load'!E53/(2*SUM('Wing aero load'!$E$44:$E$80)*0.1)</f>
        <v>974102.46400797716</v>
      </c>
      <c r="F46" s="43">
        <f>$E$25*B46*$E$24*9.81*$K$26/'Wing aero load'!$D$31</f>
        <v>6413752.5475104665</v>
      </c>
      <c r="G46" s="168">
        <f>'Wing inertia load'!E55*'Wing Torque'!$E$26*B46/1.65</f>
        <v>0</v>
      </c>
      <c r="H46" s="62">
        <v>0</v>
      </c>
      <c r="I46" s="43">
        <f t="shared" si="1"/>
        <v>54732232.708572805</v>
      </c>
      <c r="J46" s="43">
        <f t="shared" si="2"/>
        <v>486322.22948646615</v>
      </c>
      <c r="K46" s="43">
        <f t="shared" si="3"/>
        <v>3183725.6094360868</v>
      </c>
      <c r="L46" s="43">
        <f t="shared" si="4"/>
        <v>0</v>
      </c>
      <c r="M46" s="168">
        <f t="shared" si="5"/>
        <v>544238187.80447507</v>
      </c>
      <c r="N46" s="57">
        <f>SUM(M46:$M$96)</f>
        <v>19238426044.129715</v>
      </c>
      <c r="Y46" s="4">
        <f t="shared" si="6"/>
        <v>19238426.044129714</v>
      </c>
    </row>
    <row r="47" spans="1:25">
      <c r="B47">
        <v>0.80149921430451876</v>
      </c>
      <c r="C47" s="116">
        <v>5</v>
      </c>
      <c r="D47" s="62">
        <f>'Wing aero load'!D54*'Wing Torque'!$E$23*B47</f>
        <v>108513091.62473547</v>
      </c>
      <c r="E47" s="43">
        <f>$E$28*'Wing aero load'!E54/(2*SUM('Wing aero load'!$E$44:$E$80)*0.1)</f>
        <v>971186.45393788745</v>
      </c>
      <c r="F47" s="43">
        <f>$E$25*B47*$E$24*9.81*$K$26/'Wing aero load'!$D$31</f>
        <v>6321149.8902338808</v>
      </c>
      <c r="G47" s="168">
        <f>'Wing inertia load'!E56*'Wing Torque'!$E$26*B47/1.65</f>
        <v>0</v>
      </c>
      <c r="H47" s="62">
        <v>0</v>
      </c>
      <c r="I47" s="43">
        <f t="shared" si="1"/>
        <v>53799500.539549381</v>
      </c>
      <c r="J47" s="43">
        <f t="shared" si="2"/>
        <v>484788.78689968132</v>
      </c>
      <c r="K47" s="43">
        <f t="shared" si="3"/>
        <v>3138863.8397971038</v>
      </c>
      <c r="L47" s="43">
        <f t="shared" si="4"/>
        <v>0</v>
      </c>
      <c r="M47" s="168">
        <f t="shared" si="5"/>
        <v>541727151.27902782</v>
      </c>
      <c r="N47" s="57">
        <f>SUM(M47:$M$96)</f>
        <v>18694187856.325237</v>
      </c>
      <c r="Y47" s="4">
        <f t="shared" si="6"/>
        <v>18694187.856325239</v>
      </c>
    </row>
    <row r="48" spans="1:25">
      <c r="B48">
        <v>0.7904876520680868</v>
      </c>
      <c r="C48" s="116">
        <v>5.5</v>
      </c>
      <c r="D48" s="62">
        <f>'Wing aero load'!D55*'Wing Torque'!$E$23*B48</f>
        <v>106684910.53346203</v>
      </c>
      <c r="E48" s="43">
        <f>$E$28*'Wing aero load'!E55/(2*SUM('Wing aero load'!$E$44:$E$80)*0.1)</f>
        <v>967968.69366083795</v>
      </c>
      <c r="F48" s="43">
        <f>$E$25*B48*$E$24*9.81*$K$26/'Wing aero load'!$D$31</f>
        <v>6234305.4689545352</v>
      </c>
      <c r="G48" s="168">
        <f>'Wing inertia load'!E57*'Wing Torque'!$E$26*B48/1.65</f>
        <v>0</v>
      </c>
      <c r="H48" s="62">
        <f>K25*9.81*K26*E27</f>
        <v>196031390.625</v>
      </c>
      <c r="I48" s="43">
        <f t="shared" si="1"/>
        <v>52879536.587583065</v>
      </c>
      <c r="J48" s="43">
        <f t="shared" si="2"/>
        <v>483103.71389940794</v>
      </c>
      <c r="K48" s="43">
        <f t="shared" si="3"/>
        <v>3095441.6291574333</v>
      </c>
      <c r="L48" s="43">
        <f t="shared" si="4"/>
        <v>0</v>
      </c>
      <c r="M48" s="168">
        <f t="shared" si="5"/>
        <v>343047301.49114847</v>
      </c>
      <c r="N48" s="57">
        <f>SUM(M48:$M$96)</f>
        <v>18152460705.046211</v>
      </c>
      <c r="Y48" s="4">
        <f t="shared" si="6"/>
        <v>18152460.70504621</v>
      </c>
    </row>
    <row r="49" spans="2:28">
      <c r="B49">
        <v>0.77947608983165562</v>
      </c>
      <c r="C49" s="116">
        <v>6</v>
      </c>
      <c r="D49" s="62">
        <f>'Wing aero load'!D56*'Wing Torque'!$E$23*B49</f>
        <v>104833235.81687024</v>
      </c>
      <c r="E49" s="43">
        <f>$E$28*'Wing aero load'!E56/(2*SUM('Wing aero load'!$E$44:$E$80)*0.1)</f>
        <v>964446.16193679383</v>
      </c>
      <c r="F49" s="43">
        <f>$E$25*B49*$E$24*9.81*$K$26/'Wing aero load'!$D$31</f>
        <v>6147461.0476751979</v>
      </c>
      <c r="G49" s="168">
        <f>'Wing inertia load'!E58*'Wing Torque'!$E$26*B49/1.65</f>
        <v>0</v>
      </c>
      <c r="H49" s="62">
        <v>0</v>
      </c>
      <c r="I49" s="43">
        <f t="shared" si="1"/>
        <v>51948089.194062151</v>
      </c>
      <c r="J49" s="43">
        <f t="shared" si="2"/>
        <v>481265.41671154194</v>
      </c>
      <c r="K49" s="43">
        <f t="shared" si="3"/>
        <v>3052019.4185177637</v>
      </c>
      <c r="L49" s="43">
        <f t="shared" si="4"/>
        <v>0</v>
      </c>
      <c r="M49" s="168">
        <f t="shared" si="5"/>
        <v>536265525.32412189</v>
      </c>
      <c r="N49" s="57">
        <f>SUM(M49:$M$96)</f>
        <v>17809413403.555061</v>
      </c>
      <c r="Y49" s="4">
        <f t="shared" si="6"/>
        <v>17809413.403555062</v>
      </c>
    </row>
    <row r="50" spans="2:28">
      <c r="B50">
        <v>0.76846452759522432</v>
      </c>
      <c r="C50" s="116">
        <v>6.5</v>
      </c>
      <c r="D50" s="62">
        <f>'Wing aero load'!D57*'Wing Torque'!$E$23*B50</f>
        <v>102959120.95937836</v>
      </c>
      <c r="E50" s="43">
        <f>$E$28*'Wing aero load'!E57/(2*SUM('Wing aero load'!$E$44:$E$80)*0.1)</f>
        <v>960615.50490937405</v>
      </c>
      <c r="F50" s="43">
        <f>$E$25*B50*$E$24*9.81*$K$26/'Wing aero load'!$D$31</f>
        <v>6060616.626395857</v>
      </c>
      <c r="G50" s="168">
        <f>'Wing inertia load'!E59*'Wing Torque'!$E$26*B50/1.65</f>
        <v>0</v>
      </c>
      <c r="H50" s="62">
        <v>0</v>
      </c>
      <c r="I50" s="43">
        <f t="shared" si="1"/>
        <v>51005681.00525333</v>
      </c>
      <c r="J50" s="43">
        <f t="shared" si="2"/>
        <v>479272.13103181863</v>
      </c>
      <c r="K50" s="43">
        <f t="shared" si="3"/>
        <v>3008597.2078780928</v>
      </c>
      <c r="L50" s="43">
        <f t="shared" si="4"/>
        <v>0</v>
      </c>
      <c r="M50" s="168">
        <f t="shared" si="5"/>
        <v>533286409.24495006</v>
      </c>
      <c r="N50" s="57">
        <f>SUM(M50:$M$96)</f>
        <v>17273147878.230938</v>
      </c>
      <c r="Y50" s="4">
        <f t="shared" si="6"/>
        <v>17273147.878230937</v>
      </c>
    </row>
    <row r="51" spans="2:28">
      <c r="B51">
        <v>0.75745296535879258</v>
      </c>
      <c r="C51" s="116">
        <v>7</v>
      </c>
      <c r="D51" s="62">
        <f>'Wing aero load'!D58*'Wing Torque'!$E$23*B51</f>
        <v>101063603.06163497</v>
      </c>
      <c r="E51" s="43">
        <f>$E$28*'Wing aero load'!E58/(2*SUM('Wing aero load'!$E$44:$E$80)*0.1)</f>
        <v>956473.01921790047</v>
      </c>
      <c r="F51" s="43">
        <f>$E$25*B51*$E$24*9.81*$K$26/'Wing aero load'!$D$31</f>
        <v>5973772.2051165141</v>
      </c>
      <c r="G51" s="168">
        <f>'Wing inertia load'!E60*'Wing Torque'!$E$26*B51/1.65</f>
        <v>0</v>
      </c>
      <c r="H51" s="62">
        <v>0</v>
      </c>
      <c r="I51" s="43">
        <f t="shared" si="1"/>
        <v>50052826.661898255</v>
      </c>
      <c r="J51" s="43">
        <f t="shared" si="2"/>
        <v>477121.91302628169</v>
      </c>
      <c r="K51" s="43">
        <f t="shared" si="3"/>
        <v>2965174.9972384218</v>
      </c>
      <c r="L51" s="43">
        <f t="shared" si="4"/>
        <v>0</v>
      </c>
      <c r="M51" s="168">
        <f t="shared" si="5"/>
        <v>530139914.68541837</v>
      </c>
      <c r="N51" s="57">
        <f>SUM(M51:$M$96)</f>
        <v>16739861468.985989</v>
      </c>
      <c r="Y51" s="4">
        <f t="shared" si="6"/>
        <v>16739861.468985988</v>
      </c>
    </row>
    <row r="52" spans="2:28">
      <c r="B52">
        <v>0.74644140312236096</v>
      </c>
      <c r="C52" s="116">
        <v>7.5</v>
      </c>
      <c r="D52" s="62">
        <f>'Wing aero load'!D59*'Wing Torque'!$E$23*B52</f>
        <v>99147703.585958034</v>
      </c>
      <c r="E52" s="43">
        <f>$E$28*'Wing aero load'!E59/(2*SUM('Wing aero load'!$E$44:$E$80)*0.1)</f>
        <v>952014.6328872263</v>
      </c>
      <c r="F52" s="43">
        <f>$E$25*B52*$E$24*9.81*$K$26/'Wing aero load'!$D$31</f>
        <v>5886927.7838371722</v>
      </c>
      <c r="G52" s="168">
        <f>'Wing inertia load'!E61*'Wing Torque'!$E$26*B52/1.65</f>
        <v>0</v>
      </c>
      <c r="H52" s="62">
        <v>0</v>
      </c>
      <c r="I52" s="43">
        <f t="shared" si="1"/>
        <v>49090033.153435633</v>
      </c>
      <c r="J52" s="43">
        <f t="shared" si="2"/>
        <v>474812.62915964506</v>
      </c>
      <c r="K52" s="43">
        <f t="shared" si="3"/>
        <v>2921752.7865987509</v>
      </c>
      <c r="L52" s="43">
        <f t="shared" si="4"/>
        <v>0</v>
      </c>
      <c r="M52" s="168">
        <f t="shared" si="5"/>
        <v>526824415.09967947</v>
      </c>
      <c r="N52" s="57">
        <f>SUM(M52:$M$96)</f>
        <v>16209721554.300568</v>
      </c>
      <c r="Y52" s="4">
        <f t="shared" si="6"/>
        <v>16209721.554300567</v>
      </c>
    </row>
    <row r="53" spans="2:28">
      <c r="B53">
        <v>0.73542984088592944</v>
      </c>
      <c r="C53" s="116">
        <v>8</v>
      </c>
      <c r="D53" s="62">
        <f>'Wing aero load'!D60*'Wing Torque'!$E$23*B53</f>
        <v>97212429.027784497</v>
      </c>
      <c r="E53" s="43">
        <f>$E$28*'Wing aero load'!E60/(2*SUM('Wing aero load'!$E$44:$E$80)*0.1)</f>
        <v>947235.88375135383</v>
      </c>
      <c r="F53" s="43">
        <f>$E$25*B53*$E$24*9.81*$K$26/'Wing aero load'!$D$31</f>
        <v>5800083.3625578312</v>
      </c>
      <c r="G53" s="168">
        <f>'Wing inertia load'!E62*'Wing Torque'!$E$26*B53/1.65</f>
        <v>0</v>
      </c>
      <c r="H53" s="62">
        <v>0</v>
      </c>
      <c r="I53" s="43">
        <f t="shared" si="1"/>
        <v>48117800.134864718</v>
      </c>
      <c r="J53" s="43">
        <f t="shared" si="2"/>
        <v>472341.94471930177</v>
      </c>
      <c r="K53" s="43">
        <f t="shared" si="3"/>
        <v>2878330.5759590799</v>
      </c>
      <c r="L53" s="43">
        <f t="shared" si="4"/>
        <v>0</v>
      </c>
      <c r="M53" s="168">
        <f t="shared" si="5"/>
        <v>523338075.43012559</v>
      </c>
      <c r="N53" s="57">
        <f>SUM(M53:$M$96)</f>
        <v>15682897139.20089</v>
      </c>
      <c r="V53" s="61"/>
      <c r="Y53" s="4">
        <f t="shared" si="6"/>
        <v>15682897.13920089</v>
      </c>
    </row>
    <row r="54" spans="2:28">
      <c r="B54">
        <v>0.72441827864949793</v>
      </c>
      <c r="C54" s="116">
        <v>8.5</v>
      </c>
      <c r="D54" s="62">
        <f>'Wing aero load'!D61*'Wing Torque'!$E$23*B54</f>
        <v>95258771.511674374</v>
      </c>
      <c r="E54" s="43">
        <f>$E$28*'Wing aero load'!E61/(2*SUM('Wing aero load'!$E$44:$E$80)*0.1)</f>
        <v>942131.89512585313</v>
      </c>
      <c r="F54" s="43">
        <f>$E$25*B54*$E$24*9.81*$K$26/'Wing aero load'!$D$31</f>
        <v>5713238.9412784893</v>
      </c>
      <c r="G54" s="168">
        <f>'Wing inertia load'!E63*'Wing Torque'!$E$26*B54/1.65</f>
        <v>0</v>
      </c>
      <c r="H54" s="62">
        <v>0</v>
      </c>
      <c r="I54" s="43">
        <f t="shared" si="1"/>
        <v>47136620.205229364</v>
      </c>
      <c r="J54" s="43">
        <f t="shared" si="2"/>
        <v>469707.31088044378</v>
      </c>
      <c r="K54" s="43">
        <f t="shared" si="3"/>
        <v>2834908.3653194094</v>
      </c>
      <c r="L54" s="43">
        <f t="shared" si="4"/>
        <v>0</v>
      </c>
      <c r="M54" s="168">
        <f t="shared" si="5"/>
        <v>519678839.45099252</v>
      </c>
      <c r="N54" s="57">
        <f>SUM(M54:$M$96)</f>
        <v>15159559063.770763</v>
      </c>
      <c r="Y54" s="4">
        <f t="shared" si="6"/>
        <v>15159559.063770764</v>
      </c>
    </row>
    <row r="55" spans="2:28">
      <c r="B55">
        <v>0.71340671641306641</v>
      </c>
      <c r="C55" s="116">
        <v>9</v>
      </c>
      <c r="D55" s="62">
        <f>'Wing aero load'!D62*'Wing Torque'!$E$23*B55</f>
        <v>93287709.309243083</v>
      </c>
      <c r="E55" s="43">
        <f>$E$28*'Wing aero load'!E62/(2*SUM('Wing aero load'!$E$44:$E$80)*0.1)</f>
        <v>936697.3483959221</v>
      </c>
      <c r="F55" s="43">
        <f>$E$25*B55*$E$24*9.81*$K$26/'Wing aero load'!$D$31</f>
        <v>5626394.5199991483</v>
      </c>
      <c r="G55" s="168">
        <f>'Wing inertia load'!E64*'Wing Torque'!$E$26*B55/1.65</f>
        <v>0</v>
      </c>
      <c r="H55" s="62">
        <v>0</v>
      </c>
      <c r="I55" s="43">
        <f t="shared" si="1"/>
        <v>46146979.146077864</v>
      </c>
      <c r="J55" s="43">
        <f t="shared" si="2"/>
        <v>466905.95013148902</v>
      </c>
      <c r="K55" s="43">
        <f t="shared" si="3"/>
        <v>2791486.1546797389</v>
      </c>
      <c r="L55" s="43">
        <f t="shared" si="4"/>
        <v>0</v>
      </c>
      <c r="M55" s="168">
        <f t="shared" si="5"/>
        <v>515844415.43224663</v>
      </c>
      <c r="N55" s="57">
        <f>SUM(M55:$M$96)</f>
        <v>14639880224.319775</v>
      </c>
      <c r="Y55" s="4">
        <f t="shared" si="6"/>
        <v>14639880.224319775</v>
      </c>
    </row>
    <row r="56" spans="2:28">
      <c r="B56">
        <v>0.70239515417663489</v>
      </c>
      <c r="C56" s="116">
        <v>9.5</v>
      </c>
      <c r="D56" s="62">
        <f>'Wing aero load'!D63*'Wing Torque'!$E$23*B56</f>
        <v>91300207.275068372</v>
      </c>
      <c r="E56" s="43">
        <f>$E$28*'Wing aero load'!E63/(2*SUM('Wing aero load'!$E$44:$E$80)*0.1)</f>
        <v>930926.45213003398</v>
      </c>
      <c r="F56" s="43">
        <f>$E$25*B56*$E$24*9.81*$K$26/'Wing aero load'!$D$31</f>
        <v>5539550.0987198064</v>
      </c>
      <c r="G56" s="168">
        <f>'Wing inertia load'!E65*'Wing Torque'!$E$26*B56/1.65</f>
        <v>0</v>
      </c>
      <c r="H56" s="62">
        <v>0</v>
      </c>
      <c r="I56" s="43">
        <f t="shared" si="1"/>
        <v>45149356.117538817</v>
      </c>
      <c r="J56" s="43">
        <f t="shared" si="2"/>
        <v>463934.83984790236</v>
      </c>
      <c r="K56" s="43">
        <f t="shared" si="3"/>
        <v>2748063.9440400684</v>
      </c>
      <c r="L56" s="43">
        <f t="shared" si="4"/>
        <v>0</v>
      </c>
      <c r="M56" s="168">
        <f t="shared" si="5"/>
        <v>511832259.90948123</v>
      </c>
      <c r="N56" s="57">
        <f>SUM(M56:$M$96)</f>
        <v>14124035808.887527</v>
      </c>
      <c r="Y56" s="4">
        <f t="shared" si="6"/>
        <v>14124035.808887528</v>
      </c>
    </row>
    <row r="57" spans="2:28">
      <c r="B57">
        <v>0.69138359194020338</v>
      </c>
      <c r="C57" s="116">
        <v>10</v>
      </c>
      <c r="D57" s="62">
        <f>'Wing aero load'!D64*'Wing Torque'!$E$23*B57</f>
        <v>89297217.195086896</v>
      </c>
      <c r="E57" s="43">
        <f>$E$28*'Wing aero load'!E64/(2*SUM('Wing aero load'!$E$44:$E$80)*0.1)</f>
        <v>924812.90726157546</v>
      </c>
      <c r="F57" s="43">
        <f>$E$25*B57*$E$24*9.81*$K$26/'Wing aero load'!$D$31</f>
        <v>5452705.6774404673</v>
      </c>
      <c r="G57" s="168">
        <f>'Wing inertia load'!E66*'Wing Torque'!$E$26*B57/1.65</f>
        <v>0</v>
      </c>
      <c r="H57" s="62">
        <v>0</v>
      </c>
      <c r="I57" s="43">
        <f t="shared" si="1"/>
        <v>44144223.808822677</v>
      </c>
      <c r="J57" s="43">
        <f t="shared" si="2"/>
        <v>460790.6937654565</v>
      </c>
      <c r="K57" s="43">
        <f t="shared" si="3"/>
        <v>2704641.7334003979</v>
      </c>
      <c r="L57" s="43">
        <f t="shared" si="4"/>
        <v>0</v>
      </c>
      <c r="M57" s="168">
        <f t="shared" si="5"/>
        <v>507639559.30767959</v>
      </c>
      <c r="N57" s="57">
        <f>SUM(M57:$M$96)</f>
        <v>13612203548.978046</v>
      </c>
      <c r="Y57" s="4">
        <f t="shared" si="6"/>
        <v>13612203.548978046</v>
      </c>
    </row>
    <row r="58" spans="2:28">
      <c r="B58">
        <v>0.68037202970377186</v>
      </c>
      <c r="C58" s="116">
        <v>10.5</v>
      </c>
      <c r="D58" s="62">
        <f>'Wing aero load'!D65*'Wing Torque'!$E$23*B58</f>
        <v>87279678.040203795</v>
      </c>
      <c r="E58" s="43">
        <f>$E$28*'Wing aero load'!E65/(2*SUM('Wing aero load'!$E$44:$E$80)*0.1)</f>
        <v>918349.86780025053</v>
      </c>
      <c r="F58" s="43">
        <f>$E$25*B58*$E$24*9.81*$K$26/'Wing aero load'!$D$31</f>
        <v>5365861.2561611235</v>
      </c>
      <c r="G58" s="168">
        <f>'Wing inertia load'!E67*'Wing Torque'!$E$26*B58/1.65</f>
        <v>0</v>
      </c>
      <c r="H58" s="62">
        <v>0</v>
      </c>
      <c r="I58" s="43">
        <f t="shared" si="1"/>
        <v>43132048.538980082</v>
      </c>
      <c r="J58" s="43">
        <f t="shared" si="2"/>
        <v>457469.94105963688</v>
      </c>
      <c r="K58" s="43">
        <f t="shared" si="3"/>
        <v>2661219.5227607265</v>
      </c>
      <c r="L58" s="43">
        <f t="shared" si="4"/>
        <v>0</v>
      </c>
      <c r="M58" s="168">
        <f t="shared" si="5"/>
        <v>503263209.12137771</v>
      </c>
      <c r="N58" s="57">
        <f>SUM(M58:$M$96)</f>
        <v>13104563989.670364</v>
      </c>
      <c r="Y58" s="4">
        <f t="shared" si="6"/>
        <v>13104563.989670364</v>
      </c>
      <c r="AA58" s="44"/>
      <c r="AB58" s="44"/>
    </row>
    <row r="59" spans="2:28">
      <c r="B59">
        <v>0.66936046746734001</v>
      </c>
      <c r="C59" s="116">
        <v>11</v>
      </c>
      <c r="D59" s="62">
        <f>'Wing aero load'!D66*'Wing Torque'!$E$23*B59</f>
        <v>85248516.115716547</v>
      </c>
      <c r="E59" s="43">
        <f>$E$28*'Wing aero load'!E66/(2*SUM('Wing aero load'!$E$44:$E$80)*0.1)</f>
        <v>911529.89643829712</v>
      </c>
      <c r="F59" s="43">
        <f>$E$25*B59*$E$24*9.81*$K$26/'Wing aero load'!$D$31</f>
        <v>5279016.8348817816</v>
      </c>
      <c r="G59" s="168">
        <f>'Wing inertia load'!E68*'Wing Torque'!$E$26*B59/1.65</f>
        <v>0</v>
      </c>
      <c r="H59" s="62">
        <v>0</v>
      </c>
      <c r="I59" s="43">
        <f t="shared" si="1"/>
        <v>42113290.302582338</v>
      </c>
      <c r="J59" s="43">
        <f t="shared" si="2"/>
        <v>453968.70268454164</v>
      </c>
      <c r="K59" s="43">
        <f t="shared" si="3"/>
        <v>2617797.3121210551</v>
      </c>
      <c r="L59" s="43">
        <f t="shared" si="4"/>
        <v>0</v>
      </c>
      <c r="M59" s="168">
        <f t="shared" si="5"/>
        <v>498699790.299245</v>
      </c>
      <c r="N59" s="57">
        <f>SUM(M59:$M$96)</f>
        <v>12601300780.548988</v>
      </c>
      <c r="Y59" s="4">
        <f t="shared" si="6"/>
        <v>12601300.780548988</v>
      </c>
      <c r="AA59" s="44"/>
      <c r="AB59" s="44"/>
    </row>
    <row r="60" spans="2:28">
      <c r="B60">
        <v>0.6583489052309085</v>
      </c>
      <c r="C60" s="116">
        <v>11.5</v>
      </c>
      <c r="D60" s="62">
        <f>'Wing aero load'!D67*'Wing Torque'!$E$23*B60</f>
        <v>83204645.094612807</v>
      </c>
      <c r="E60" s="43">
        <f>$E$28*'Wing aero load'!E67/(2*SUM('Wing aero load'!$E$44:$E$80)*0.1)</f>
        <v>904344.91429986944</v>
      </c>
      <c r="F60" s="43">
        <f>$E$25*B60*$E$24*9.81*$K$26/'Wing aero load'!$D$31</f>
        <v>5192172.4136024397</v>
      </c>
      <c r="G60" s="168">
        <f>'Wing inertia load'!E69*'Wing Torque'!$E$26*B60/1.65</f>
        <v>0</v>
      </c>
      <c r="H60" s="62">
        <v>0</v>
      </c>
      <c r="I60" s="43">
        <f t="shared" si="1"/>
        <v>41088402.753584363</v>
      </c>
      <c r="J60" s="43">
        <f t="shared" si="2"/>
        <v>450282.76456007565</v>
      </c>
      <c r="K60" s="43">
        <f t="shared" si="3"/>
        <v>2574375.1014813846</v>
      </c>
      <c r="L60" s="43">
        <f t="shared" si="4"/>
        <v>0</v>
      </c>
      <c r="M60" s="168">
        <f t="shared" si="5"/>
        <v>493945542.4151414</v>
      </c>
      <c r="N60" s="57">
        <f>SUM(M60:$M$96)</f>
        <v>12102600990.249741</v>
      </c>
      <c r="Y60" s="4">
        <f t="shared" si="6"/>
        <v>12102600.99024974</v>
      </c>
      <c r="AA60" s="45"/>
      <c r="AB60" s="45"/>
    </row>
    <row r="61" spans="2:28">
      <c r="B61">
        <v>0.64733734299447709</v>
      </c>
      <c r="C61" s="116">
        <v>12</v>
      </c>
      <c r="D61" s="62">
        <f>'Wing aero load'!D68*'Wing Torque'!$E$23*B61</f>
        <v>81148965.919724643</v>
      </c>
      <c r="E61" s="43">
        <f>$E$28*'Wing aero load'!E68/(2*SUM('Wing aero load'!$E$44:$E$80)*0.1)</f>
        <v>896786.14394043316</v>
      </c>
      <c r="F61" s="43">
        <f>$E$25*B61*$E$24*9.81*$K$26/'Wing aero load'!$D$31</f>
        <v>5105327.9923230987</v>
      </c>
      <c r="G61" s="168">
        <f>'Wing inertia load'!E70*'Wing Torque'!$E$26*B61/1.65</f>
        <v>0</v>
      </c>
      <c r="H61" s="62">
        <v>0</v>
      </c>
      <c r="I61" s="43">
        <f t="shared" si="1"/>
        <v>40057833.118923396</v>
      </c>
      <c r="J61" s="43">
        <f t="shared" si="2"/>
        <v>446407.54711771593</v>
      </c>
      <c r="K61" s="43">
        <f t="shared" si="3"/>
        <v>2530952.8908417141</v>
      </c>
      <c r="L61" s="43">
        <f t="shared" si="4"/>
        <v>0</v>
      </c>
      <c r="M61" s="168">
        <f t="shared" si="5"/>
        <v>488996333.1274811</v>
      </c>
      <c r="N61" s="57">
        <f>SUM(M61:$M$96)</f>
        <v>11608655447.8346</v>
      </c>
      <c r="Y61" s="4">
        <f t="shared" si="6"/>
        <v>11608655.4478346</v>
      </c>
      <c r="AA61" s="45"/>
      <c r="AB61" s="45"/>
    </row>
    <row r="62" spans="2:28">
      <c r="B62">
        <v>0.63632578075804558</v>
      </c>
      <c r="C62" s="116">
        <v>12.5</v>
      </c>
      <c r="D62" s="62">
        <f>'Wing aero load'!D69*'Wing Torque'!$E$23*B62</f>
        <v>79082366.555968925</v>
      </c>
      <c r="E62" s="43">
        <f>$E$28*'Wing aero load'!E69/(2*SUM('Wing aero load'!$E$44:$E$80)*0.1)</f>
        <v>888844.04453043069</v>
      </c>
      <c r="F62" s="43">
        <f>$E$25*B62*$E$24*9.81*$K$26/'Wing aero load'!$D$31</f>
        <v>5018483.5710437587</v>
      </c>
      <c r="G62" s="168">
        <f>'Wing inertia load'!E71*'Wing Torque'!$E$26*B62/1.65</f>
        <v>0</v>
      </c>
      <c r="H62" s="62">
        <v>0</v>
      </c>
      <c r="I62" s="43">
        <f t="shared" si="1"/>
        <v>39022022.031311989</v>
      </c>
      <c r="J62" s="43">
        <f t="shared" si="2"/>
        <v>442338.07061904785</v>
      </c>
      <c r="K62" s="43">
        <f t="shared" si="3"/>
        <v>2487530.6802020441</v>
      </c>
      <c r="L62" s="43">
        <f t="shared" si="4"/>
        <v>0</v>
      </c>
      <c r="M62" s="168">
        <f t="shared" si="5"/>
        <v>483847623.33056194</v>
      </c>
      <c r="N62" s="57">
        <f>SUM(M62:$M$96)</f>
        <v>11119659114.707117</v>
      </c>
      <c r="Y62" s="4">
        <f t="shared" si="6"/>
        <v>11119659.114707118</v>
      </c>
      <c r="AA62" s="45"/>
      <c r="AB62" s="45"/>
    </row>
    <row r="63" spans="2:28">
      <c r="B63">
        <v>0.62531421852161406</v>
      </c>
      <c r="C63" s="116">
        <v>13</v>
      </c>
      <c r="D63" s="62">
        <f>'Wing aero load'!D70*'Wing Torque'!$E$23*B63</f>
        <v>77005721.569279045</v>
      </c>
      <c r="E63" s="43">
        <f>$E$28*'Wing aero load'!E70/(2*SUM('Wing aero load'!$E$44:$E$80)*0.1)</f>
        <v>880508.23794576072</v>
      </c>
      <c r="F63" s="43">
        <f>$E$25*B63*$E$24*9.81*$K$26/'Wing aero load'!$D$31</f>
        <v>4931639.1497644177</v>
      </c>
      <c r="G63" s="168">
        <f>'Wing inertia load'!E72*'Wing Torque'!$E$26*B63/1.65</f>
        <v>0</v>
      </c>
      <c r="H63" s="62">
        <v>0</v>
      </c>
      <c r="I63" s="43">
        <f t="shared" si="1"/>
        <v>37981403.268093981</v>
      </c>
      <c r="J63" s="43">
        <f t="shared" si="2"/>
        <v>438068.91554302839</v>
      </c>
      <c r="K63" s="43">
        <f t="shared" si="3"/>
        <v>2444108.4695623736</v>
      </c>
      <c r="L63" s="43">
        <f t="shared" si="4"/>
        <v>0</v>
      </c>
      <c r="M63" s="168">
        <f t="shared" si="5"/>
        <v>478494427.28068477</v>
      </c>
      <c r="N63" s="57">
        <f>SUM(M63:$M$96)</f>
        <v>10635811491.376556</v>
      </c>
      <c r="Y63" s="4">
        <f t="shared" si="6"/>
        <v>10635811.491376556</v>
      </c>
      <c r="AA63" s="45"/>
      <c r="AB63" s="45"/>
    </row>
    <row r="64" spans="2:28">
      <c r="B64">
        <v>0.61430265628518255</v>
      </c>
      <c r="C64" s="116">
        <v>13.5</v>
      </c>
      <c r="D64" s="62">
        <f>'Wing aero load'!D71*'Wing Torque'!$E$23*B64</f>
        <v>74919891.503096879</v>
      </c>
      <c r="E64" s="43">
        <f>$E$28*'Wing aero load'!E71/(2*SUM('Wing aero load'!$E$44:$E$80)*0.1)</f>
        <v>871767.42422635271</v>
      </c>
      <c r="F64" s="43">
        <f>$E$25*B64*$E$24*9.81*$K$26/'Wing aero load'!$D$31</f>
        <v>4844794.7284850767</v>
      </c>
      <c r="G64" s="168">
        <f>'Wing inertia load'!E73*'Wing Torque'!$E$26*B64/1.65</f>
        <v>0</v>
      </c>
      <c r="H64" s="62">
        <v>0</v>
      </c>
      <c r="I64" s="43">
        <f t="shared" si="1"/>
        <v>36936403.379804634</v>
      </c>
      <c r="J64" s="43">
        <f t="shared" si="2"/>
        <v>433594.17719148961</v>
      </c>
      <c r="K64" s="43">
        <f t="shared" si="3"/>
        <v>2400686.2589227026</v>
      </c>
      <c r="L64" s="43">
        <f t="shared" si="4"/>
        <v>0</v>
      </c>
      <c r="M64" s="168">
        <f t="shared" si="5"/>
        <v>472931266.83021694</v>
      </c>
      <c r="N64" s="57">
        <f>SUM(M64:$M$96)</f>
        <v>10157317064.095871</v>
      </c>
      <c r="Y64" s="4">
        <f t="shared" si="6"/>
        <v>10157317.064095872</v>
      </c>
      <c r="AA64" s="45"/>
      <c r="AB64" s="45"/>
    </row>
    <row r="65" spans="1:28">
      <c r="B65">
        <v>0.60329109404875092</v>
      </c>
      <c r="C65" s="116">
        <v>14</v>
      </c>
      <c r="D65" s="62">
        <f>'Wing aero load'!D72*'Wing Torque'!$E$23*B65</f>
        <v>72825722.016121656</v>
      </c>
      <c r="E65" s="43">
        <f>$E$28*'Wing aero load'!E72/(2*SUM('Wing aero load'!$E$44:$E$80)*0.1)</f>
        <v>862609.28453960572</v>
      </c>
      <c r="F65" s="43">
        <f>$E$25*B65*$E$24*9.81*$K$26/'Wing aero load'!$D$31</f>
        <v>4757950.3072057348</v>
      </c>
      <c r="G65" s="168">
        <f>'Wing inertia load'!E74*'Wing Torque'!$E$26*B65/1.65</f>
        <v>0</v>
      </c>
      <c r="H65" s="62">
        <v>0</v>
      </c>
      <c r="I65" s="43">
        <f t="shared" si="1"/>
        <v>35887441.188023776</v>
      </c>
      <c r="J65" s="43">
        <f t="shared" si="2"/>
        <v>428907.41347983654</v>
      </c>
      <c r="K65" s="43">
        <f t="shared" si="3"/>
        <v>2357264.0482830321</v>
      </c>
      <c r="L65" s="43">
        <f t="shared" si="4"/>
        <v>0</v>
      </c>
      <c r="M65" s="168">
        <f t="shared" si="5"/>
        <v>467152118.71614331</v>
      </c>
      <c r="N65" s="57">
        <f>SUM(M65:$M$96)</f>
        <v>9684385797.2656517</v>
      </c>
      <c r="Y65" s="4">
        <f t="shared" si="6"/>
        <v>9684385.7972656526</v>
      </c>
      <c r="AA65" s="45"/>
      <c r="AB65" s="45"/>
    </row>
    <row r="66" spans="1:28">
      <c r="B66">
        <v>0.59227953181231929</v>
      </c>
      <c r="C66" s="116">
        <v>14.5</v>
      </c>
      <c r="D66" s="62">
        <f>'Wing aero load'!D73*'Wing Torque'!$E$23*B66</f>
        <v>70724042.735973448</v>
      </c>
      <c r="E66" s="43">
        <f>$E$28*'Wing aero load'!E73/(2*SUM('Wing aero load'!$E$44:$E$80)*0.1)</f>
        <v>853020.36937974056</v>
      </c>
      <c r="F66" s="43">
        <f>$E$25*B66*$E$24*9.81*$K$26/'Wing aero load'!$D$31</f>
        <v>4671105.8859263929</v>
      </c>
      <c r="G66" s="168">
        <f>'Wing inertia load'!E75*'Wing Torque'!$E$26*B66/1.65</f>
        <v>0</v>
      </c>
      <c r="H66" s="62">
        <v>0</v>
      </c>
      <c r="I66" s="43">
        <f t="shared" si="1"/>
        <v>34834927.126982391</v>
      </c>
      <c r="J66" s="43">
        <f t="shared" si="2"/>
        <v>424001.58465073758</v>
      </c>
      <c r="K66" s="43">
        <f t="shared" si="3"/>
        <v>2313841.8376433607</v>
      </c>
      <c r="L66" s="43">
        <f t="shared" si="4"/>
        <v>0</v>
      </c>
      <c r="M66" s="168">
        <f t="shared" si="5"/>
        <v>461150353.61536336</v>
      </c>
      <c r="N66" s="57">
        <f>SUM(M66:$M$96)</f>
        <v>9217233678.549509</v>
      </c>
      <c r="Y66" s="4">
        <f t="shared" si="6"/>
        <v>9217233.6785495095</v>
      </c>
      <c r="AA66" s="45"/>
      <c r="AB66" s="45"/>
    </row>
    <row r="67" spans="1:28">
      <c r="B67">
        <v>0.58126796957588789</v>
      </c>
      <c r="C67" s="116">
        <v>15</v>
      </c>
      <c r="D67" s="62">
        <f>'Wing aero load'!D74*'Wing Torque'!$E$23*B67</f>
        <v>68615665.771956101</v>
      </c>
      <c r="E67" s="43">
        <f>$E$28*'Wing aero load'!E74/(2*SUM('Wing aero load'!$E$44:$E$80)*0.1)</f>
        <v>842985.96922320977</v>
      </c>
      <c r="F67" s="43">
        <f>$E$25*B67*$E$24*9.81*$K$26/'Wing aero load'!$D$31</f>
        <v>4584261.4646470509</v>
      </c>
      <c r="G67" s="168">
        <f>'Wing inertia load'!E76*'Wing Torque'!$E$26*B67/1.65</f>
        <v>0</v>
      </c>
      <c r="H67" s="62">
        <v>0</v>
      </c>
      <c r="I67" s="43">
        <f t="shared" si="1"/>
        <v>33779262.396845348</v>
      </c>
      <c r="J67" s="43">
        <f t="shared" si="2"/>
        <v>418868.98335883964</v>
      </c>
      <c r="K67" s="43">
        <f t="shared" si="3"/>
        <v>2270419.6270036902</v>
      </c>
      <c r="L67" s="43">
        <f t="shared" si="4"/>
        <v>0</v>
      </c>
      <c r="M67" s="168">
        <f t="shared" si="5"/>
        <v>454918665.38268864</v>
      </c>
      <c r="N67" s="57">
        <f>SUM(M67:$M$96)</f>
        <v>8756083324.9341469</v>
      </c>
      <c r="Y67" s="4">
        <f t="shared" si="6"/>
        <v>8756083.3249341473</v>
      </c>
      <c r="AA67" s="45"/>
      <c r="AB67" s="45"/>
    </row>
    <row r="68" spans="1:28">
      <c r="B68">
        <v>0.57025640733945637</v>
      </c>
      <c r="C68" s="116">
        <v>15.5</v>
      </c>
      <c r="D68" s="62">
        <f>'Wing aero load'!D75*'Wing Torque'!$E$23*B68</f>
        <v>66501383.815425292</v>
      </c>
      <c r="E68" s="43">
        <f>$E$28*'Wing aero load'!E75/(2*SUM('Wing aero load'!$E$44:$E$80)*0.1)</f>
        <v>832489.9642121488</v>
      </c>
      <c r="F68" s="43">
        <f>$E$25*B68*$E$24*9.81*$K$26/'Wing aero load'!$D$31</f>
        <v>4497417.04336771</v>
      </c>
      <c r="G68" s="168">
        <f>'Wing inertia load'!E77*'Wing Torque'!$E$26*B68/1.65</f>
        <v>0</v>
      </c>
      <c r="H68" s="62">
        <v>0</v>
      </c>
      <c r="I68" s="43">
        <f t="shared" si="1"/>
        <v>32720837.888190247</v>
      </c>
      <c r="J68" s="43">
        <f t="shared" si="2"/>
        <v>413501.15320526913</v>
      </c>
      <c r="K68" s="43">
        <f t="shared" si="3"/>
        <v>2226997.4163640197</v>
      </c>
      <c r="L68" s="43">
        <f t="shared" si="4"/>
        <v>0</v>
      </c>
      <c r="M68" s="168">
        <f t="shared" si="5"/>
        <v>448448988.50982344</v>
      </c>
      <c r="N68" s="57">
        <f>SUM(M68:$M$96)</f>
        <v>8301164659.5514555</v>
      </c>
      <c r="Y68" s="4">
        <f t="shared" si="6"/>
        <v>8301164.6595514556</v>
      </c>
      <c r="AA68" s="45"/>
      <c r="AB68" s="45"/>
    </row>
    <row r="69" spans="1:28">
      <c r="B69">
        <v>0.55924484510302475</v>
      </c>
      <c r="C69" s="116">
        <v>16</v>
      </c>
      <c r="D69" s="62">
        <f>'Wing aero load'!D76*'Wing Torque'!$E$23*B69</f>
        <v>64381967.737335704</v>
      </c>
      <c r="E69" s="43">
        <f>$E$28*'Wing aero load'!E76/(2*SUM('Wing aero load'!$E$44:$E$80)*0.1)</f>
        <v>821514.64860892761</v>
      </c>
      <c r="F69" s="43">
        <f>$E$25*B69*$E$24*9.81*$K$26/'Wing aero load'!$D$31</f>
        <v>4410572.622088369</v>
      </c>
      <c r="G69" s="168">
        <f>'Wing inertia load'!E78*'Wing Torque'!$E$26*B69/1.65</f>
        <v>0</v>
      </c>
      <c r="H69" s="62">
        <v>0</v>
      </c>
      <c r="I69" s="43">
        <f t="shared" si="1"/>
        <v>31660032.826313972</v>
      </c>
      <c r="J69" s="43">
        <f t="shared" si="2"/>
        <v>407888.79332615773</v>
      </c>
      <c r="K69" s="43">
        <f t="shared" si="3"/>
        <v>2183575.2057243488</v>
      </c>
      <c r="L69" s="43">
        <f t="shared" si="4"/>
        <v>0</v>
      </c>
      <c r="M69" s="168">
        <f t="shared" si="5"/>
        <v>441732401.35819608</v>
      </c>
      <c r="N69" s="57">
        <f>SUM(M69:$M$96)</f>
        <v>7852715671.0416317</v>
      </c>
      <c r="Y69" s="4">
        <f t="shared" si="6"/>
        <v>7852715.6710416321</v>
      </c>
      <c r="AA69" s="45"/>
      <c r="AB69" s="45"/>
    </row>
    <row r="70" spans="1:28">
      <c r="B70">
        <v>0.54823328286659312</v>
      </c>
      <c r="C70" s="116">
        <v>16.5</v>
      </c>
      <c r="D70" s="62">
        <f>'Wing aero load'!D77*'Wing Torque'!$E$23*B70</f>
        <v>62258163.567920178</v>
      </c>
      <c r="E70" s="43">
        <f>$E$28*'Wing aero load'!E77/(2*SUM('Wing aero load'!$E$44:$E$80)*0.1)</f>
        <v>810040.52469570318</v>
      </c>
      <c r="F70" s="43">
        <f>$E$25*B70*$E$24*9.81*$K$26/'Wing aero load'!$D$31</f>
        <v>4323728.2008090261</v>
      </c>
      <c r="G70" s="168">
        <f>'Wing inertia load'!E79*'Wing Torque'!$E$26*B70/1.65</f>
        <v>0</v>
      </c>
      <c r="H70" s="62">
        <v>0</v>
      </c>
      <c r="I70" s="43">
        <f t="shared" si="1"/>
        <v>30597213.069767278</v>
      </c>
      <c r="J70" s="43">
        <f t="shared" si="2"/>
        <v>402021.64602423634</v>
      </c>
      <c r="K70" s="43">
        <f t="shared" si="3"/>
        <v>2140152.9950846778</v>
      </c>
      <c r="L70" s="43">
        <f t="shared" si="4"/>
        <v>0</v>
      </c>
      <c r="M70" s="168">
        <f t="shared" si="5"/>
        <v>434759012.08908832</v>
      </c>
      <c r="N70" s="57">
        <f>SUM(M70:$M$96)</f>
        <v>7410983269.6834354</v>
      </c>
      <c r="Y70" s="4">
        <f t="shared" si="6"/>
        <v>7410983.2696834356</v>
      </c>
      <c r="AA70" s="45"/>
      <c r="AB70" s="45"/>
    </row>
    <row r="71" spans="1:28">
      <c r="B71">
        <v>0.5372217206301616</v>
      </c>
      <c r="C71" s="116">
        <v>17</v>
      </c>
      <c r="D71" s="62">
        <f>'Wing aero load'!D78*'Wing Torque'!$E$23*B71</f>
        <v>60130688.711148933</v>
      </c>
      <c r="E71" s="43">
        <f>$E$28*'Wing aero load'!E78/(2*SUM('Wing aero load'!$E$44:$E$80)*0.1)</f>
        <v>798046.05940124218</v>
      </c>
      <c r="F71" s="43">
        <f>$E$25*B71*$E$24*9.81*$K$26/'Wing aero load'!$D$31</f>
        <v>4236883.7795296852</v>
      </c>
      <c r="G71" s="168">
        <f>'Wing inertia load'!E80*'Wing Torque'!$E$26*B71/1.65</f>
        <v>0</v>
      </c>
      <c r="H71" s="62">
        <f>K25*9.81*K26*E27</f>
        <v>196031390.625</v>
      </c>
      <c r="I71" s="43">
        <f t="shared" si="1"/>
        <v>29532728.978745051</v>
      </c>
      <c r="J71" s="43">
        <f t="shared" si="2"/>
        <v>395888.36362731364</v>
      </c>
      <c r="K71" s="43">
        <f t="shared" si="3"/>
        <v>2096730.7844450073</v>
      </c>
      <c r="L71" s="43">
        <f t="shared" si="4"/>
        <v>0</v>
      </c>
      <c r="M71" s="168">
        <f t="shared" si="5"/>
        <v>231486432.76550364</v>
      </c>
      <c r="N71" s="57">
        <f>SUM(M71:$M$96)</f>
        <v>6976224257.594347</v>
      </c>
      <c r="Y71" s="4">
        <f t="shared" si="6"/>
        <v>6976224.257594347</v>
      </c>
      <c r="AA71" s="45"/>
      <c r="AB71" s="45"/>
    </row>
    <row r="72" spans="1:28">
      <c r="B72">
        <v>0.52621015839373009</v>
      </c>
      <c r="C72" s="116">
        <v>17.5</v>
      </c>
      <c r="D72" s="62">
        <f>'Wing aero load'!D79*'Wing Torque'!$E$23*B72</f>
        <v>58000227.203831278</v>
      </c>
      <c r="E72" s="43">
        <f>$E$28*'Wing aero load'!E79/(2*SUM('Wing aero load'!$E$44:$E$80)*0.1)</f>
        <v>785507.39510801248</v>
      </c>
      <c r="F72" s="43">
        <f>$E$25*B72*$E$24*9.81*$K$26/'Wing aero load'!$D$31</f>
        <v>4150039.3582503437</v>
      </c>
      <c r="G72" s="168">
        <f>'Wing inertia load'!E81*'Wing Torque'!$E$26*B72/1.65</f>
        <v>0</v>
      </c>
      <c r="H72" s="62">
        <v>0</v>
      </c>
      <c r="I72" s="43">
        <f t="shared" si="1"/>
        <v>28466912.743953206</v>
      </c>
      <c r="J72" s="43">
        <f t="shared" si="2"/>
        <v>389476.34969264711</v>
      </c>
      <c r="K72" s="43">
        <f t="shared" si="3"/>
        <v>2053308.5738053366</v>
      </c>
      <c r="L72" s="43">
        <f t="shared" si="4"/>
        <v>0</v>
      </c>
      <c r="M72" s="168">
        <f t="shared" si="5"/>
        <v>419996571.01040566</v>
      </c>
      <c r="N72" s="57">
        <f>SUM(M72:$M$96)</f>
        <v>6744737824.8288441</v>
      </c>
      <c r="Y72" s="4">
        <f t="shared" si="6"/>
        <v>6744737.8248288445</v>
      </c>
      <c r="AA72" s="45"/>
      <c r="AB72" s="45"/>
    </row>
    <row r="73" spans="1:28" ht="15" thickBot="1">
      <c r="B73">
        <v>0.51519859615729857</v>
      </c>
      <c r="C73" s="116">
        <v>18</v>
      </c>
      <c r="D73" s="62">
        <f>'Wing aero load'!D80*'Wing Torque'!$E$23*B73</f>
        <v>55867423.771981552</v>
      </c>
      <c r="E73" s="43">
        <f>$E$28*'Wing aero load'!E80/(2*SUM('Wing aero load'!$E$44:$E$80)*0.1)</f>
        <v>772398.00366257608</v>
      </c>
      <c r="F73" s="43">
        <f>$E$25*B73*$E$24*9.81*$K$26/'Wing aero load'!$D$31</f>
        <v>4063194.9369710027</v>
      </c>
      <c r="G73" s="168">
        <f>'Wing inertia load'!E82*'Wing Torque'!$E$26*B73/1.65</f>
        <v>0</v>
      </c>
      <c r="H73" s="63">
        <v>0</v>
      </c>
      <c r="I73" s="64">
        <f t="shared" si="1"/>
        <v>27400075.03291177</v>
      </c>
      <c r="J73" s="64">
        <f t="shared" si="2"/>
        <v>382771.56825248274</v>
      </c>
      <c r="K73" s="43">
        <f t="shared" si="3"/>
        <v>2009886.3631656659</v>
      </c>
      <c r="L73" s="64">
        <f t="shared" si="4"/>
        <v>0</v>
      </c>
      <c r="M73" s="169">
        <f t="shared" si="5"/>
        <v>412181529.64856023</v>
      </c>
      <c r="N73" s="57">
        <f>SUM(M73:$M$96)</f>
        <v>6324741253.8184395</v>
      </c>
      <c r="Y73" s="4">
        <f t="shared" si="6"/>
        <v>6324741.2538184393</v>
      </c>
      <c r="AA73" s="45"/>
      <c r="AB73" s="45"/>
    </row>
    <row r="74" spans="1:28" ht="15" thickBot="1">
      <c r="B74">
        <v>0.50418703392086706</v>
      </c>
      <c r="C74" s="116">
        <v>18.5</v>
      </c>
      <c r="D74" s="62">
        <f>'Wing aero load'!D81*'Wing Torque'!$E$23*B74</f>
        <v>53732876.35966552</v>
      </c>
      <c r="E74" s="43">
        <f>$E$28*'Wing aero load'!E81/(2*SUM('Wing aero load'!$E$44:$E$80)*0.1)</f>
        <v>758688.26934735489</v>
      </c>
      <c r="F74" s="43">
        <f>$E$25*B74*$E$24*9.81*$K$26/'Wing aero load'!$D$31</f>
        <v>3976350.5156916613</v>
      </c>
      <c r="G74" s="168">
        <f>'Wing inertia load'!E83*'Wing Torque'!$E$26*B74/1.65</f>
        <v>0</v>
      </c>
      <c r="H74" s="63">
        <v>0</v>
      </c>
      <c r="I74" s="43">
        <f t="shared" si="1"/>
        <v>26332500.764826499</v>
      </c>
      <c r="J74" s="43">
        <f t="shared" si="2"/>
        <v>375758.31286943762</v>
      </c>
      <c r="K74" s="43">
        <f t="shared" si="3"/>
        <v>1966464.1525259952</v>
      </c>
      <c r="L74" s="43">
        <f t="shared" si="4"/>
        <v>0</v>
      </c>
      <c r="M74" s="168">
        <f t="shared" si="5"/>
        <v>404057277.78679013</v>
      </c>
      <c r="N74" s="57">
        <f>SUM(M74:$M$96)</f>
        <v>5912559724.169879</v>
      </c>
      <c r="Y74" s="4">
        <f t="shared" si="6"/>
        <v>5912559.7241698792</v>
      </c>
      <c r="AA74" s="45"/>
      <c r="AB74" s="45"/>
    </row>
    <row r="75" spans="1:28" ht="15" thickBot="1">
      <c r="B75">
        <v>0.49317547168443543</v>
      </c>
      <c r="C75" s="116">
        <v>19</v>
      </c>
      <c r="D75" s="62">
        <f>'Wing aero load'!D82*'Wing Torque'!$E$23*B75</f>
        <v>51597126.699640468</v>
      </c>
      <c r="E75" s="43">
        <f>$E$28*'Wing aero load'!E82/(2*SUM('Wing aero load'!$E$44:$E$80)*0.1)</f>
        <v>744344.9821303956</v>
      </c>
      <c r="F75" s="43">
        <f>$E$25*B75*$E$24*9.81*$K$26/'Wing aero load'!$D$31</f>
        <v>3889506.0944123194</v>
      </c>
      <c r="G75" s="168">
        <f>'Wing inertia load'!E84*'Wing Torque'!$E$26*B75/1.65</f>
        <v>0</v>
      </c>
      <c r="H75" s="63">
        <v>0</v>
      </c>
      <c r="I75" s="43">
        <f t="shared" si="1"/>
        <v>25264443.762003049</v>
      </c>
      <c r="J75" s="43">
        <f t="shared" si="2"/>
        <v>368418.92462914309</v>
      </c>
      <c r="K75" s="43">
        <f t="shared" si="3"/>
        <v>1923041.9418863244</v>
      </c>
      <c r="L75" s="43">
        <f t="shared" si="4"/>
        <v>0</v>
      </c>
      <c r="M75" s="168">
        <f t="shared" si="5"/>
        <v>395606410.33303249</v>
      </c>
      <c r="N75" s="57">
        <f>SUM(M75:$M$96)</f>
        <v>5508502446.3830891</v>
      </c>
      <c r="Y75" s="4">
        <f t="shared" si="6"/>
        <v>5508502.4463830888</v>
      </c>
      <c r="AA75" s="45"/>
      <c r="AB75" s="45"/>
    </row>
    <row r="76" spans="1:28" ht="15" thickBot="1">
      <c r="B76">
        <v>0.48216390944800391</v>
      </c>
      <c r="C76" s="116">
        <v>19.5</v>
      </c>
      <c r="D76" s="62">
        <f>'Wing aero load'!D83*'Wing Torque'!$E$23*B76</f>
        <v>49460648.348371722</v>
      </c>
      <c r="E76" s="43">
        <f>$E$28*'Wing aero load'!E83/(2*SUM('Wing aero load'!$E$44:$E$80)*0.1)</f>
        <v>729330.71638617665</v>
      </c>
      <c r="F76" s="43">
        <f>$E$25*B76*$E$24*9.81*$K$26/'Wing aero load'!$D$31</f>
        <v>3802661.6731329784</v>
      </c>
      <c r="G76" s="168">
        <f>'Wing inertia load'!E85*'Wing Torque'!$E$26*B76/1.65</f>
        <v>0</v>
      </c>
      <c r="H76" s="63">
        <v>0</v>
      </c>
      <c r="I76" s="43">
        <f t="shared" si="1"/>
        <v>24196119.937567048</v>
      </c>
      <c r="J76" s="43">
        <f t="shared" si="2"/>
        <v>360733.44452472549</v>
      </c>
      <c r="K76" s="43">
        <f t="shared" si="3"/>
        <v>1879619.7312466537</v>
      </c>
      <c r="L76" s="43">
        <f t="shared" si="4"/>
        <v>0</v>
      </c>
      <c r="M76" s="168">
        <f t="shared" si="5"/>
        <v>386809184.1935392</v>
      </c>
      <c r="N76" s="57">
        <f>SUM(M76:$M$96)</f>
        <v>5112896036.0500565</v>
      </c>
      <c r="Y76" s="4">
        <f t="shared" si="6"/>
        <v>5112896.0360500561</v>
      </c>
      <c r="AA76" s="45"/>
      <c r="AB76" s="45"/>
    </row>
    <row r="77" spans="1:28" ht="15" thickBot="1">
      <c r="B77">
        <v>0.4711523472115724</v>
      </c>
      <c r="C77" s="116">
        <v>20</v>
      </c>
      <c r="D77" s="62">
        <f>'Wing aero load'!D84*'Wing Torque'!$E$23*B77</f>
        <v>47323831.401896469</v>
      </c>
      <c r="E77" s="43">
        <f>$E$28*'Wing aero load'!E84/(2*SUM('Wing aero load'!$E$44:$E$80)*0.1)</f>
        <v>713603.06171272532</v>
      </c>
      <c r="F77" s="43">
        <f>$E$25*B77*$E$24*9.81*$K$26/'Wing aero load'!$D$31</f>
        <v>3715817.2518536365</v>
      </c>
      <c r="G77" s="168">
        <f>'Wing inertia load'!E86*'Wing Torque'!$E$26*B77/1.65</f>
        <v>0</v>
      </c>
      <c r="H77" s="63">
        <v>0</v>
      </c>
      <c r="I77" s="64">
        <f t="shared" si="1"/>
        <v>23127698.554248288</v>
      </c>
      <c r="J77" s="64">
        <f t="shared" si="2"/>
        <v>352679.18050020578</v>
      </c>
      <c r="K77" s="43">
        <f t="shared" si="3"/>
        <v>1836197.520606983</v>
      </c>
      <c r="L77" s="43">
        <f t="shared" si="4"/>
        <v>0</v>
      </c>
      <c r="M77" s="168">
        <f t="shared" si="5"/>
        <v>377643076.57506102</v>
      </c>
      <c r="N77" s="57">
        <f>SUM(M77:$M$96)</f>
        <v>4726086851.8565178</v>
      </c>
      <c r="Y77" s="4">
        <f t="shared" si="6"/>
        <v>4726086.8518565176</v>
      </c>
      <c r="AA77" s="45"/>
      <c r="AB77" s="45"/>
    </row>
    <row r="78" spans="1:28" ht="15" thickBot="1">
      <c r="B78">
        <v>0.46014078497514083</v>
      </c>
      <c r="C78" s="116">
        <v>20.5</v>
      </c>
      <c r="D78" s="62">
        <f>'Wing aero load'!D85*'Wing Torque'!$E$23*B78</f>
        <v>45186962.815096691</v>
      </c>
      <c r="E78" s="43">
        <f>$E$28*'Wing aero load'!E85/(2*SUM('Wing aero load'!$E$44:$E$80)*0.1)</f>
        <v>697113.6602880978</v>
      </c>
      <c r="F78" s="43">
        <f>$E$25*B78*$E$24*9.81*$K$26/'Wing aero load'!$D$31</f>
        <v>3628972.8305742955</v>
      </c>
      <c r="G78" s="168">
        <f>'Wing inertia load'!E87*'Wing Torque'!$E$26*B78/1.65</f>
        <v>0</v>
      </c>
      <c r="H78" s="63">
        <v>0</v>
      </c>
      <c r="I78" s="43">
        <f t="shared" si="1"/>
        <v>22059290.908987049</v>
      </c>
      <c r="J78" s="43">
        <f t="shared" si="2"/>
        <v>344230.16196636995</v>
      </c>
      <c r="K78" s="43">
        <f t="shared" si="3"/>
        <v>1792775.309967312</v>
      </c>
      <c r="L78" s="64">
        <f t="shared" si="4"/>
        <v>0</v>
      </c>
      <c r="M78" s="169">
        <f t="shared" si="5"/>
        <v>368082228.18532431</v>
      </c>
      <c r="N78" s="57">
        <f>SUM(M78:$M$96)</f>
        <v>4348443775.2814579</v>
      </c>
      <c r="Y78" s="4">
        <f t="shared" si="6"/>
        <v>4348443.7752814582</v>
      </c>
      <c r="AA78" s="45"/>
      <c r="AB78" s="45"/>
    </row>
    <row r="79" spans="1:28" ht="15" thickBot="1">
      <c r="A79" s="110"/>
      <c r="B79">
        <v>0.4491292227387092</v>
      </c>
      <c r="C79" s="116">
        <v>21</v>
      </c>
      <c r="D79" s="62">
        <f>'Wing aero load'!D86*'Wing Torque'!$E$23*B79</f>
        <v>43050200.820851505</v>
      </c>
      <c r="E79" s="43">
        <f>$E$28*'Wing aero load'!E86/(2*SUM('Wing aero load'!$E$44:$E$80)*0.1)</f>
        <v>679806.98757738213</v>
      </c>
      <c r="F79" s="43">
        <f>$E$25*B79*$E$24*9.81*$K$26/'Wing aero load'!$D$31</f>
        <v>3542128.4092949531</v>
      </c>
      <c r="G79" s="168">
        <f>'Wing inertia load'!E88*'Wing Torque'!$E$26*B79/1.65</f>
        <v>0</v>
      </c>
      <c r="H79" s="63">
        <v>0</v>
      </c>
      <c r="I79" s="43">
        <f t="shared" si="1"/>
        <v>20990935.534324102</v>
      </c>
      <c r="J79" s="43">
        <f t="shared" si="2"/>
        <v>335356.44368801976</v>
      </c>
      <c r="K79" s="43">
        <f t="shared" si="3"/>
        <v>1749353.0993276415</v>
      </c>
      <c r="L79" s="43">
        <f t="shared" si="4"/>
        <v>0</v>
      </c>
      <c r="M79" s="168">
        <f t="shared" si="5"/>
        <v>358096732.32167149</v>
      </c>
      <c r="N79" s="57">
        <f>SUM(M79:$M$96)</f>
        <v>3980361547.0961337</v>
      </c>
      <c r="Y79" s="4">
        <f t="shared" si="6"/>
        <v>3980361.5470961337</v>
      </c>
      <c r="AA79" s="45"/>
      <c r="AB79" s="45"/>
    </row>
    <row r="80" spans="1:28" s="127" customFormat="1" ht="15" thickBot="1">
      <c r="B80">
        <v>0.43811766050227785</v>
      </c>
      <c r="C80" s="116">
        <v>21.5</v>
      </c>
      <c r="D80" s="62">
        <f>'Wing aero load'!D87*'Wing Torque'!$E$23*B80</f>
        <v>40913541.316444911</v>
      </c>
      <c r="E80" s="43">
        <f>$E$28*'Wing aero load'!E87/(2*SUM('Wing aero load'!$E$44:$E$80)*0.1)</f>
        <v>661618.78717469703</v>
      </c>
      <c r="F80" s="43">
        <f>$E$25*B80*$E$24*9.81*$K$26/'Wing aero load'!$D$31</f>
        <v>3455283.9880156135</v>
      </c>
      <c r="G80" s="168">
        <f>'Wing inertia load'!E89*'Wing Torque'!$E$26*B80/1.65</f>
        <v>0</v>
      </c>
      <c r="H80" s="63">
        <v>0</v>
      </c>
      <c r="I80" s="43">
        <f t="shared" si="1"/>
        <v>19922578.613304503</v>
      </c>
      <c r="J80" s="43">
        <f t="shared" si="2"/>
        <v>326023.20461717062</v>
      </c>
      <c r="K80" s="43">
        <f t="shared" si="3"/>
        <v>1705930.888687971</v>
      </c>
      <c r="L80" s="43">
        <f t="shared" si="4"/>
        <v>0</v>
      </c>
      <c r="M80" s="168">
        <f t="shared" si="5"/>
        <v>347651714.1191631</v>
      </c>
      <c r="N80" s="57">
        <f>SUM(M80:$M$96)</f>
        <v>3622264814.7744622</v>
      </c>
      <c r="Y80" s="4">
        <f t="shared" si="6"/>
        <v>3622264.814774462</v>
      </c>
      <c r="AA80" s="129"/>
      <c r="AB80" s="129"/>
    </row>
    <row r="81" spans="1:28" ht="15" thickBot="1">
      <c r="B81">
        <v>0.42710609826584617</v>
      </c>
      <c r="C81" s="116">
        <v>22</v>
      </c>
      <c r="D81" s="62">
        <f>'Wing aero load'!D88*'Wing Torque'!$E$23*B81</f>
        <v>38776773.136773109</v>
      </c>
      <c r="E81" s="43">
        <f>$E$28*'Wing aero load'!E88/(2*SUM('Wing aero load'!$E$44:$E$80)*0.1)</f>
        <v>642474.03129398555</v>
      </c>
      <c r="F81" s="43">
        <f>$E$25*B81*$E$24*9.81*$K$26/'Wing aero load'!$D$31</f>
        <v>3368439.5667362707</v>
      </c>
      <c r="G81" s="168">
        <f>'Wing inertia load'!E90*'Wing Torque'!$E$26*B81/1.65</f>
        <v>0</v>
      </c>
      <c r="H81" s="63">
        <v>0</v>
      </c>
      <c r="I81" s="64">
        <f t="shared" si="1"/>
        <v>18854047.702476621</v>
      </c>
      <c r="J81" s="64">
        <f t="shared" si="2"/>
        <v>316189.56224630028</v>
      </c>
      <c r="K81" s="43">
        <f t="shared" si="3"/>
        <v>1662508.6780483001</v>
      </c>
      <c r="L81" s="43">
        <f t="shared" si="4"/>
        <v>0</v>
      </c>
      <c r="M81" s="168">
        <f t="shared" si="5"/>
        <v>336706118.62682521</v>
      </c>
      <c r="N81" s="57">
        <f>SUM(M81:$M$96)</f>
        <v>3274613100.6552992</v>
      </c>
      <c r="Y81" s="4">
        <f t="shared" si="6"/>
        <v>3274613.1006552991</v>
      </c>
      <c r="AA81" s="45"/>
      <c r="AB81" s="45"/>
    </row>
    <row r="82" spans="1:28" ht="15" thickBot="1">
      <c r="B82">
        <v>0.41609453602941465</v>
      </c>
      <c r="C82" s="116">
        <v>22.5</v>
      </c>
      <c r="D82" s="62">
        <f>'Wing aero load'!D89*'Wing Torque'!$E$23*B82</f>
        <v>36639417.673133366</v>
      </c>
      <c r="E82" s="43">
        <f>$E$28*'Wing aero load'!E89/(2*SUM('Wing aero load'!$E$44:$E$80)*0.1)</f>
        <v>622284.21769121569</v>
      </c>
      <c r="F82" s="43">
        <f>$E$25*B82*$E$24*9.81*$K$26/'Wing aero load'!$D$31</f>
        <v>3281595.1454569292</v>
      </c>
      <c r="G82" s="168">
        <f>'Wing inertia load'!E91*'Wing Torque'!$E$26*B82/1.65</f>
        <v>0</v>
      </c>
      <c r="H82" s="63">
        <v>0</v>
      </c>
      <c r="I82" s="43">
        <f t="shared" si="1"/>
        <v>17785015.915043257</v>
      </c>
      <c r="J82" s="43">
        <f t="shared" si="2"/>
        <v>305806.98373011732</v>
      </c>
      <c r="K82" s="43">
        <f t="shared" si="3"/>
        <v>1619086.4674086291</v>
      </c>
      <c r="L82" s="43">
        <f t="shared" si="4"/>
        <v>0</v>
      </c>
      <c r="M82" s="168">
        <f t="shared" si="5"/>
        <v>325211086.11256921</v>
      </c>
      <c r="N82" s="57">
        <f>SUM(M82:$M$96)</f>
        <v>2937906982.0284739</v>
      </c>
      <c r="Y82" s="4">
        <f t="shared" si="6"/>
        <v>2937906.9820284736</v>
      </c>
      <c r="AA82" s="45"/>
      <c r="AB82" s="45"/>
    </row>
    <row r="83" spans="1:28" ht="15" thickBot="1">
      <c r="B83">
        <v>0.40508297379298308</v>
      </c>
      <c r="C83" s="116">
        <v>23</v>
      </c>
      <c r="D83" s="62">
        <f>'Wing aero load'!D90*'Wing Torque'!$E$23*B83</f>
        <v>34500645.987039663</v>
      </c>
      <c r="E83" s="43">
        <f>$E$28*'Wing aero load'!E90/(2*SUM('Wing aero load'!$E$44:$E$80)*0.1)</f>
        <v>600943.7172292535</v>
      </c>
      <c r="F83" s="43">
        <f>$E$25*B83*$E$24*9.81*$K$26/'Wing aero load'!$D$31</f>
        <v>3194750.7241775873</v>
      </c>
      <c r="G83" s="168">
        <f>'Wing inertia load'!E92*'Wing Torque'!$E$26*B83/1.65</f>
        <v>0</v>
      </c>
      <c r="H83" s="63">
        <v>0</v>
      </c>
      <c r="I83" s="43">
        <f t="shared" si="1"/>
        <v>16714952.199449379</v>
      </c>
      <c r="J83" s="43">
        <f t="shared" si="2"/>
        <v>294817.111251825</v>
      </c>
      <c r="K83" s="43">
        <f t="shared" si="3"/>
        <v>1575664.2567689586</v>
      </c>
      <c r="L83" s="64">
        <f t="shared" si="4"/>
        <v>0</v>
      </c>
      <c r="M83" s="169">
        <f t="shared" si="5"/>
        <v>313107727.70804328</v>
      </c>
      <c r="N83" s="57">
        <f>SUM(M83:$M$96)</f>
        <v>2612695895.915904</v>
      </c>
      <c r="Y83" s="4">
        <f t="shared" si="6"/>
        <v>2612695.8959159041</v>
      </c>
      <c r="AA83" s="45"/>
      <c r="AB83" s="45"/>
    </row>
    <row r="84" spans="1:28" ht="15" thickBot="1">
      <c r="B84">
        <v>0.39407141155655162</v>
      </c>
      <c r="C84" s="116">
        <v>23.5</v>
      </c>
      <c r="D84" s="62">
        <f>'Wing aero load'!D91*'Wing Torque'!$E$23*B84</f>
        <v>32359162.810757853</v>
      </c>
      <c r="E84" s="43">
        <f>$E$28*'Wing aero load'!E91/(2*SUM('Wing aero load'!$E$44:$E$80)*0.1)</f>
        <v>578324.72777804662</v>
      </c>
      <c r="F84" s="43">
        <f>$E$25*B84*$E$24*9.81*$K$26/'Wing aero load'!$D$31</f>
        <v>3107906.3028982468</v>
      </c>
      <c r="G84" s="168">
        <f>'Wing inertia load'!E93*'Wing Torque'!$E$26*B84/1.65</f>
        <v>0</v>
      </c>
      <c r="H84" s="63">
        <v>0</v>
      </c>
      <c r="I84" s="43">
        <f t="shared" si="1"/>
        <v>15643050.829313051</v>
      </c>
      <c r="J84" s="43">
        <f t="shared" si="2"/>
        <v>283148.71200395067</v>
      </c>
      <c r="K84" s="43">
        <f t="shared" si="3"/>
        <v>1532242.0461292877</v>
      </c>
      <c r="L84" s="43">
        <f t="shared" si="4"/>
        <v>0</v>
      </c>
      <c r="M84" s="168">
        <f t="shared" si="5"/>
        <v>300324004.87939298</v>
      </c>
      <c r="N84" s="57">
        <f>SUM(M84:$M$96)</f>
        <v>2299588168.2078605</v>
      </c>
      <c r="Y84" s="4">
        <f t="shared" si="6"/>
        <v>2299588.1682078606</v>
      </c>
      <c r="AA84" s="45"/>
      <c r="AB84" s="45"/>
    </row>
    <row r="85" spans="1:28" ht="15" thickBot="1">
      <c r="B85">
        <v>0.38305984932011994</v>
      </c>
      <c r="C85" s="116">
        <v>24</v>
      </c>
      <c r="D85" s="62">
        <f>'Wing aero load'!D92*'Wing Torque'!$E$23*B85</f>
        <v>30213040.506494347</v>
      </c>
      <c r="E85" s="43">
        <f>$E$28*'Wing aero load'!E92/(2*SUM('Wing aero load'!$E$44:$E$80)*0.1)</f>
        <v>554270.12023775605</v>
      </c>
      <c r="F85" s="43">
        <f>$E$25*B85*$E$24*9.81*$K$26/'Wing aero load'!$D$31</f>
        <v>3021061.8816189044</v>
      </c>
      <c r="G85" s="168">
        <f>'Wing inertia load'!E94*'Wing Torque'!$E$26*B85/1.65</f>
        <v>0</v>
      </c>
      <c r="H85" s="63">
        <v>0</v>
      </c>
      <c r="I85" s="64">
        <f t="shared" si="1"/>
        <v>14568128.880311891</v>
      </c>
      <c r="J85" s="64">
        <f t="shared" si="2"/>
        <v>270713.27577557025</v>
      </c>
      <c r="K85" s="43">
        <f t="shared" si="3"/>
        <v>1488819.835489617</v>
      </c>
      <c r="L85" s="43">
        <f t="shared" si="4"/>
        <v>0</v>
      </c>
      <c r="M85" s="168">
        <f t="shared" si="5"/>
        <v>286770224.49137181</v>
      </c>
      <c r="N85" s="57">
        <f>SUM(M85:$M$96)</f>
        <v>1999264163.3284676</v>
      </c>
      <c r="Y85" s="4">
        <f t="shared" si="6"/>
        <v>1999264.1633284676</v>
      </c>
      <c r="AA85" s="45"/>
      <c r="AB85" s="45"/>
    </row>
    <row r="86" spans="1:28" ht="15" thickBot="1">
      <c r="B86">
        <v>0.37204828708368842</v>
      </c>
      <c r="C86" s="116">
        <v>24.5</v>
      </c>
      <c r="D86" s="62">
        <f>'Wing aero load'!D93*'Wing Torque'!$E$23*B86</f>
        <v>28059475.014753215</v>
      </c>
      <c r="E86" s="43">
        <f>$E$28*'Wing aero load'!E93/(2*SUM('Wing aero load'!$E$44:$E$80)*0.1)</f>
        <v>528582.98286452494</v>
      </c>
      <c r="F86" s="43">
        <f>$E$25*B86*$E$24*9.81*$K$26/'Wing aero load'!$D$31</f>
        <v>2934217.4603395634</v>
      </c>
      <c r="G86" s="168">
        <f>'Wing inertia load'!E95*'Wing Torque'!$E$26*B86/1.65</f>
        <v>0</v>
      </c>
      <c r="H86" s="63">
        <v>0</v>
      </c>
      <c r="I86" s="43">
        <f t="shared" si="1"/>
        <v>13488472.666838117</v>
      </c>
      <c r="J86" s="43">
        <f t="shared" si="2"/>
        <v>257398.43913208222</v>
      </c>
      <c r="K86" s="43">
        <f t="shared" si="3"/>
        <v>1445397.6248499462</v>
      </c>
      <c r="L86" s="43">
        <f t="shared" si="4"/>
        <v>0</v>
      </c>
      <c r="M86" s="168">
        <f t="shared" si="5"/>
        <v>272332309.42377031</v>
      </c>
      <c r="N86" s="57">
        <f>SUM(M86:$M$96)</f>
        <v>1712493938.837096</v>
      </c>
      <c r="Y86" s="4">
        <f t="shared" si="6"/>
        <v>1712493.9388370959</v>
      </c>
      <c r="AA86" s="45"/>
      <c r="AB86" s="45"/>
    </row>
    <row r="87" spans="1:28" ht="15" thickBot="1">
      <c r="B87">
        <v>0.36103672484725691</v>
      </c>
      <c r="C87" s="116">
        <v>25</v>
      </c>
      <c r="D87" s="62">
        <f>'Wing aero load'!D94*'Wing Torque'!$E$23*B87</f>
        <v>25894415.652599256</v>
      </c>
      <c r="E87" s="43">
        <f>$E$28*'Wing aero load'!E94/(2*SUM('Wing aero load'!$E$44:$E$80)*0.1)</f>
        <v>501010.77366380394</v>
      </c>
      <c r="F87" s="43">
        <f>$E$25*B87*$E$24*9.81*$K$26/'Wing aero load'!$D$31</f>
        <v>2847373.039060222</v>
      </c>
      <c r="G87" s="168">
        <f>'Wing inertia load'!E96*'Wing Torque'!$E$26*B87/1.65</f>
        <v>0</v>
      </c>
      <c r="H87" s="63">
        <v>0</v>
      </c>
      <c r="I87" s="43">
        <f t="shared" si="1"/>
        <v>12401599.357650584</v>
      </c>
      <c r="J87" s="43">
        <f t="shared" si="2"/>
        <v>243057.74591288436</v>
      </c>
      <c r="K87" s="43">
        <f t="shared" si="3"/>
        <v>1401975.4142102757</v>
      </c>
      <c r="L87" s="43">
        <f t="shared" si="4"/>
        <v>0</v>
      </c>
      <c r="M87" s="168">
        <f t="shared" si="5"/>
        <v>256861320.68474522</v>
      </c>
      <c r="N87" s="57">
        <f>SUM(M87:$M$96)</f>
        <v>1440161629.413326</v>
      </c>
      <c r="Y87" s="4">
        <f t="shared" si="6"/>
        <v>1440161.629413326</v>
      </c>
      <c r="AA87" s="45"/>
      <c r="AB87" s="45"/>
    </row>
    <row r="88" spans="1:28" ht="15" thickBot="1">
      <c r="B88">
        <v>0.35002516261082539</v>
      </c>
      <c r="C88" s="116">
        <v>25.5</v>
      </c>
      <c r="D88" s="62">
        <f>'Wing aero load'!D95*'Wing Torque'!$E$23*B88</f>
        <v>23711981.778003078</v>
      </c>
      <c r="E88" s="43">
        <f>$E$28*'Wing aero load'!E95/(2*SUM('Wing aero load'!$E$44:$E$80)*0.1)</f>
        <v>471220.20998773357</v>
      </c>
      <c r="F88" s="43">
        <f>$E$25*B88*$E$24*9.81*$K$26/'Wing aero load'!$D$31</f>
        <v>2760528.6177808805</v>
      </c>
      <c r="G88" s="168">
        <f>'Wing inertia load'!E97*'Wing Torque'!$E$26*B88/1.65</f>
        <v>0</v>
      </c>
      <c r="H88" s="63">
        <v>0</v>
      </c>
      <c r="I88" s="43">
        <f t="shared" si="1"/>
        <v>11303870.343757629</v>
      </c>
      <c r="J88" s="43">
        <f t="shared" si="2"/>
        <v>227493.85546389068</v>
      </c>
      <c r="K88" s="43">
        <f t="shared" si="3"/>
        <v>1358553.2035706048</v>
      </c>
      <c r="L88" s="64">
        <f t="shared" si="4"/>
        <v>0</v>
      </c>
      <c r="M88" s="169">
        <f t="shared" si="5"/>
        <v>240156279.01121891</v>
      </c>
      <c r="N88" s="57">
        <f>SUM(M88:$M$96)</f>
        <v>1183300308.7285805</v>
      </c>
      <c r="Y88" s="4">
        <f t="shared" si="6"/>
        <v>1183300.3087285804</v>
      </c>
    </row>
    <row r="89" spans="1:28" s="127" customFormat="1" ht="15" thickBot="1">
      <c r="A89" s="112"/>
      <c r="B89">
        <v>0.33901360037439382</v>
      </c>
      <c r="C89" s="116">
        <v>26</v>
      </c>
      <c r="D89" s="62">
        <f>'Wing aero load'!D96*'Wing Torque'!$E$23*B89</f>
        <v>21503499.597027443</v>
      </c>
      <c r="E89" s="43">
        <f>$E$28*'Wing aero load'!E96/(2*SUM('Wing aero load'!$E$44:$E$80)*0.1)</f>
        <v>438755.21186782914</v>
      </c>
      <c r="F89" s="43">
        <f>$E$25*B89*$E$24*9.81*$K$26/'Wing aero load'!$D$31</f>
        <v>2673684.1965015391</v>
      </c>
      <c r="G89" s="168">
        <f>'Wing inertia load'!E98*'Wing Torque'!$E$26*B89/1.65</f>
        <v>0</v>
      </c>
      <c r="H89" s="63">
        <v>0</v>
      </c>
      <c r="I89" s="64">
        <f t="shared" si="1"/>
        <v>10189828.720041445</v>
      </c>
      <c r="J89" s="64">
        <f t="shared" si="2"/>
        <v>210429.11208643258</v>
      </c>
      <c r="K89" s="43">
        <f t="shared" si="3"/>
        <v>1315130.9929309343</v>
      </c>
      <c r="L89" s="43">
        <f t="shared" si="4"/>
        <v>0</v>
      </c>
      <c r="M89" s="168">
        <f t="shared" si="5"/>
        <v>221934071.79940498</v>
      </c>
      <c r="N89" s="57">
        <f>SUM(M89:$M$96)</f>
        <v>943144029.71736169</v>
      </c>
      <c r="Y89" s="4">
        <f t="shared" si="6"/>
        <v>943144.02971736167</v>
      </c>
    </row>
    <row r="90" spans="1:28" ht="15" thickBot="1">
      <c r="B90">
        <v>0.3280020381379623</v>
      </c>
      <c r="C90" s="116">
        <v>26.5</v>
      </c>
      <c r="D90" s="62">
        <f>'Wing aero load'!D97*'Wing Torque'!$E$23*B90</f>
        <v>19255815.283138335</v>
      </c>
      <c r="E90" s="43">
        <f>$E$28*'Wing aero load'!E97/(2*SUM('Wing aero load'!$E$44:$E$80)*0.1)</f>
        <v>402961.23647790117</v>
      </c>
      <c r="F90" s="43">
        <f>$E$25*B90*$E$24*9.81*$K$26/'Wing aero load'!$D$31</f>
        <v>2586839.7752221976</v>
      </c>
      <c r="G90" s="168">
        <f>'Wing inertia load'!E99*'Wing Torque'!$E$26*B90/1.65</f>
        <v>0</v>
      </c>
      <c r="H90" s="63">
        <v>0</v>
      </c>
      <c r="I90" s="43">
        <f t="shared" si="1"/>
        <v>9050980.2578724008</v>
      </c>
      <c r="J90" s="43">
        <f t="shared" si="2"/>
        <v>191449.14782703319</v>
      </c>
      <c r="K90" s="43">
        <f t="shared" si="3"/>
        <v>1271708.7822912638</v>
      </c>
      <c r="L90" s="43">
        <f t="shared" si="4"/>
        <v>0</v>
      </c>
      <c r="M90" s="168">
        <f t="shared" si="5"/>
        <v>201771836.86719686</v>
      </c>
      <c r="N90" s="57">
        <f>SUM(M90:$M$96)</f>
        <v>721209957.91795671</v>
      </c>
      <c r="Y90" s="4">
        <f t="shared" si="6"/>
        <v>721209.95791795675</v>
      </c>
    </row>
    <row r="91" spans="1:28" ht="15" thickBot="1">
      <c r="B91">
        <v>0.31699047590153079</v>
      </c>
      <c r="C91" s="116">
        <v>27</v>
      </c>
      <c r="D91" s="62">
        <f>'Wing aero load'!D98*'Wing Torque'!$E$23*B91</f>
        <v>16948105.748351268</v>
      </c>
      <c r="E91" s="43">
        <f>$E$28*'Wing aero load'!E98/(2*SUM('Wing aero load'!$E$44:$E$80)*0.1)</f>
        <v>362835.35483023158</v>
      </c>
      <c r="F91" s="43">
        <f>$E$25*B91*$E$24*9.81*$K$26/'Wing aero load'!$D$31</f>
        <v>2499995.3539428571</v>
      </c>
      <c r="G91" s="168">
        <f>'Wing inertia load'!E100*'Wing Torque'!$E$26*B91/1.65</f>
        <v>0</v>
      </c>
      <c r="H91" s="63">
        <v>0</v>
      </c>
      <c r="I91" s="43">
        <f t="shared" si="1"/>
        <v>7873323.7647659639</v>
      </c>
      <c r="J91" s="43">
        <f t="shared" si="2"/>
        <v>169880.06857606792</v>
      </c>
      <c r="K91" s="43">
        <f t="shared" si="3"/>
        <v>1228286.5716515929</v>
      </c>
      <c r="L91" s="43">
        <f t="shared" si="4"/>
        <v>0</v>
      </c>
      <c r="M91" s="168">
        <f t="shared" si="5"/>
        <v>178981678.91248548</v>
      </c>
      <c r="N91" s="57">
        <f>SUM(M91:$M$96)</f>
        <v>519438121.05075979</v>
      </c>
      <c r="Y91" s="4">
        <f t="shared" si="6"/>
        <v>519438.1210507598</v>
      </c>
    </row>
    <row r="92" spans="1:28" ht="15" thickBot="1">
      <c r="B92">
        <v>0.30597891366509916</v>
      </c>
      <c r="C92" s="116">
        <v>27.5</v>
      </c>
      <c r="D92" s="62">
        <f>'Wing aero load'!D99*'Wing Torque'!$E$23*B92</f>
        <v>14545189.310712587</v>
      </c>
      <c r="E92" s="43">
        <f>$E$28*'Wing aero load'!E99/(2*SUM('Wing aero load'!$E$44:$E$80)*0.1)</f>
        <v>316684.91947404004</v>
      </c>
      <c r="F92" s="43">
        <f>$E$25*B92*$E$24*9.81*$K$26/'Wing aero load'!$D$31</f>
        <v>2413150.9326635143</v>
      </c>
      <c r="G92" s="168">
        <f>'Wing inertia load'!E101*'Wing Torque'!$E$26*B92/1.65</f>
        <v>0</v>
      </c>
      <c r="H92" s="63">
        <v>0</v>
      </c>
      <c r="I92" s="43">
        <f t="shared" si="1"/>
        <v>6631602.0208224915</v>
      </c>
      <c r="J92" s="43">
        <f t="shared" si="2"/>
        <v>144460.16497842412</v>
      </c>
      <c r="K92" s="43">
        <f t="shared" si="3"/>
        <v>1184864.3610119224</v>
      </c>
      <c r="L92" s="43">
        <f t="shared" si="4"/>
        <v>0</v>
      </c>
      <c r="M92" s="168">
        <f t="shared" si="5"/>
        <v>152276631.36025852</v>
      </c>
      <c r="N92" s="57">
        <f>SUM(M92:$M$96)</f>
        <v>340456442.13827431</v>
      </c>
      <c r="Y92" s="4">
        <f t="shared" si="6"/>
        <v>340456.44213827432</v>
      </c>
    </row>
    <row r="93" spans="1:28" ht="15" thickBot="1">
      <c r="B93">
        <v>0.29496735142866776</v>
      </c>
      <c r="C93" s="116">
        <v>28</v>
      </c>
      <c r="D93" s="62">
        <f>'Wing aero load'!D100*'Wing Torque'!$E$23*B93</f>
        <v>11981218.772577381</v>
      </c>
      <c r="E93" s="43">
        <f>$E$28*'Wing aero load'!E100/(2*SUM('Wing aero load'!$E$44:$E$80)*0.1)</f>
        <v>261155.74043965642</v>
      </c>
      <c r="F93" s="43">
        <f>$E$25*B93*$E$24*9.81*$K$26/'Wing aero load'!$D$31</f>
        <v>2326306.5113841747</v>
      </c>
      <c r="G93" s="168">
        <f>'Wing inertia load'!E102*'Wing Torque'!$E$26*B93/1.65</f>
        <v>0</v>
      </c>
      <c r="H93" s="63">
        <v>0</v>
      </c>
      <c r="I93" s="64">
        <f t="shared" si="1"/>
        <v>5272555.8312730342</v>
      </c>
      <c r="J93" s="64">
        <f t="shared" si="2"/>
        <v>111998.39884054329</v>
      </c>
      <c r="K93" s="43">
        <f t="shared" si="3"/>
        <v>1141442.1503722514</v>
      </c>
      <c r="L93" s="64">
        <f t="shared" si="4"/>
        <v>0</v>
      </c>
      <c r="M93" s="169">
        <f t="shared" si="5"/>
        <v>118412396.82218857</v>
      </c>
      <c r="N93" s="57">
        <f>SUM(M93:$M$96)</f>
        <v>188179810.77801579</v>
      </c>
      <c r="Y93" s="4">
        <f t="shared" si="6"/>
        <v>188179.81077801579</v>
      </c>
    </row>
    <row r="94" spans="1:28" ht="15" thickBot="1">
      <c r="B94">
        <v>0.28395578919223607</v>
      </c>
      <c r="C94" s="116">
        <v>28.5</v>
      </c>
      <c r="D94" s="62">
        <f>'Wing aero load'!D101*'Wing Torque'!$E$23*B94</f>
        <v>9109004.5525147561</v>
      </c>
      <c r="E94" s="43">
        <f>$E$28*'Wing aero load'!E101/(2*SUM('Wing aero load'!$E$44:$E$80)*0.1)</f>
        <v>186837.85492251671</v>
      </c>
      <c r="F94" s="43">
        <f>$E$25*B94*$E$24*9.81*$K$26/'Wing aero load'!$D$31</f>
        <v>2239462.0901048314</v>
      </c>
      <c r="G94" s="168">
        <f>'Wing inertia load'!E103*'Wing Torque'!$E$26*B94/1.65</f>
        <v>0</v>
      </c>
      <c r="H94" s="63">
        <v>0</v>
      </c>
      <c r="I94" s="43">
        <f t="shared" si="1"/>
        <v>3637262.3444613116</v>
      </c>
      <c r="J94" s="43">
        <f t="shared" si="2"/>
        <v>57449.319084929644</v>
      </c>
      <c r="K94" s="43">
        <f t="shared" si="3"/>
        <v>1098019.9397325804</v>
      </c>
      <c r="L94" s="43">
        <f t="shared" si="4"/>
        <v>0</v>
      </c>
      <c r="M94" s="168">
        <f t="shared" si="5"/>
        <v>62184601.369123541</v>
      </c>
      <c r="N94" s="57">
        <f>SUM(M94:$M$96)</f>
        <v>69767413.955827236</v>
      </c>
      <c r="Y94" s="4">
        <f t="shared" si="6"/>
        <v>69767.413955827229</v>
      </c>
    </row>
    <row r="95" spans="1:28" ht="15" thickBot="1">
      <c r="B95">
        <v>0.27294422695580461</v>
      </c>
      <c r="C95" s="116">
        <v>29</v>
      </c>
      <c r="D95" s="62">
        <f>'Wing aero load'!D102*'Wing Torque'!$E$23*B95</f>
        <v>5440044.8253304893</v>
      </c>
      <c r="E95" s="43">
        <f>$E$28*'Wing aero load'!E102/(2*SUM('Wing aero load'!$E$44:$E$80)*0.1)</f>
        <v>42959.421417201869</v>
      </c>
      <c r="F95" s="43">
        <f>$E$25*B95*$E$24*9.81*$K$26/'Wing aero load'!$D$31</f>
        <v>2152617.6688254909</v>
      </c>
      <c r="G95" s="168">
        <f>'Wing inertia load'!E104*'Wing Torque'!$E$26*B95/1.65</f>
        <v>0</v>
      </c>
      <c r="H95" s="63">
        <v>0</v>
      </c>
      <c r="I95" s="43">
        <f t="shared" si="1"/>
        <v>816006.72379957535</v>
      </c>
      <c r="J95" s="43">
        <f t="shared" si="2"/>
        <v>6443.9132125802953</v>
      </c>
      <c r="K95" s="43">
        <f t="shared" si="3"/>
        <v>322892.65032382437</v>
      </c>
      <c r="L95" s="43">
        <f t="shared" si="4"/>
        <v>0</v>
      </c>
      <c r="M95" s="168">
        <f t="shared" si="5"/>
        <v>7582812.5867036944</v>
      </c>
      <c r="N95" s="57">
        <f>SUM(M95:$M$96)</f>
        <v>7582812.5867036944</v>
      </c>
      <c r="Y95" s="4">
        <f t="shared" si="6"/>
        <v>7582.8125867036943</v>
      </c>
    </row>
    <row r="96" spans="1:28" ht="15" thickBot="1">
      <c r="B96">
        <v>0</v>
      </c>
      <c r="C96" s="116">
        <v>29.3</v>
      </c>
      <c r="D96" s="62">
        <f>'Wing aero load'!D103*'Wing Torque'!$E$23*B96</f>
        <v>0</v>
      </c>
      <c r="E96" s="43">
        <f>$E$28*'Wing aero load'!E103/(2*SUM('Wing aero load'!$E$44:$E$80)*0.1)</f>
        <v>0</v>
      </c>
      <c r="F96" s="43">
        <f>$E$25*B96*$E$24*9.81*$K$26/'Wing aero load'!$D$31</f>
        <v>0</v>
      </c>
      <c r="G96" s="168">
        <f>'Wing inertia load'!E105*'Wing Torque'!$E$26*B96/1.65</f>
        <v>0</v>
      </c>
      <c r="H96" s="63">
        <v>0</v>
      </c>
      <c r="I96" s="43">
        <f t="shared" si="1"/>
        <v>0</v>
      </c>
      <c r="J96" s="43">
        <f t="shared" si="2"/>
        <v>0</v>
      </c>
      <c r="K96" s="43">
        <f t="shared" si="3"/>
        <v>0</v>
      </c>
      <c r="L96" s="43">
        <f t="shared" si="4"/>
        <v>0</v>
      </c>
      <c r="M96" s="168">
        <f t="shared" si="5"/>
        <v>0</v>
      </c>
      <c r="N96" s="57">
        <f>SUM(M96:$M$96)</f>
        <v>0</v>
      </c>
      <c r="Y96" s="4">
        <f t="shared" si="6"/>
        <v>0</v>
      </c>
    </row>
    <row r="102" spans="1:11">
      <c r="B102" s="127"/>
      <c r="C102" s="127"/>
      <c r="D102" s="127"/>
      <c r="E102" s="127"/>
      <c r="F102" s="127"/>
      <c r="G102" s="127"/>
      <c r="H102" s="127"/>
      <c r="I102" s="127"/>
      <c r="J102" s="127"/>
    </row>
    <row r="103" spans="1:11">
      <c r="A103" s="131" t="s">
        <v>162</v>
      </c>
      <c r="C103" s="227" t="s">
        <v>242</v>
      </c>
      <c r="D103" s="229"/>
      <c r="E103" s="229"/>
      <c r="F103" s="228"/>
      <c r="H103" s="227" t="s">
        <v>243</v>
      </c>
      <c r="I103" s="228"/>
    </row>
    <row r="104" spans="1:11">
      <c r="A104" s="230" t="s">
        <v>244</v>
      </c>
      <c r="C104" s="113" t="s">
        <v>19</v>
      </c>
      <c r="D104" s="113" t="s">
        <v>176</v>
      </c>
      <c r="E104" s="113" t="s">
        <v>20</v>
      </c>
      <c r="F104" s="113" t="s">
        <v>47</v>
      </c>
      <c r="H104" s="113" t="s">
        <v>19</v>
      </c>
      <c r="I104" s="113" t="s">
        <v>245</v>
      </c>
      <c r="K104" s="180"/>
    </row>
    <row r="105" spans="1:11">
      <c r="A105" s="231"/>
      <c r="C105" s="6" t="s">
        <v>235</v>
      </c>
      <c r="D105" s="6" t="s">
        <v>246</v>
      </c>
      <c r="E105" s="43">
        <f>K23*E23</f>
        <v>843463800</v>
      </c>
      <c r="F105" s="6" t="s">
        <v>215</v>
      </c>
      <c r="H105" s="6" t="s">
        <v>235</v>
      </c>
      <c r="I105" s="43">
        <f>SUM(I37:I96)</f>
        <v>2043617590.2742243</v>
      </c>
    </row>
    <row r="106" spans="1:11">
      <c r="A106" s="231"/>
      <c r="C106" s="6" t="s">
        <v>247</v>
      </c>
      <c r="D106" s="6" t="s">
        <v>248</v>
      </c>
      <c r="E106" s="43">
        <f>E28/2</f>
        <v>3392881.4232781231</v>
      </c>
      <c r="F106" s="6" t="s">
        <v>249</v>
      </c>
      <c r="H106" s="6" t="s">
        <v>247</v>
      </c>
      <c r="I106" s="43">
        <f>SUM(J37:J77)</f>
        <v>18364889.575286742</v>
      </c>
    </row>
    <row r="107" spans="1:11">
      <c r="A107" s="231"/>
      <c r="C107" s="6" t="s">
        <v>250</v>
      </c>
      <c r="D107" s="6" t="s">
        <v>251</v>
      </c>
      <c r="E107" s="43">
        <f>E24*9.81*E25</f>
        <v>61642116</v>
      </c>
      <c r="F107" s="6" t="s">
        <v>215</v>
      </c>
      <c r="H107" s="6" t="s">
        <v>250</v>
      </c>
      <c r="I107" s="43">
        <f>SUM(K37:K96)</f>
        <v>137345621.78955248</v>
      </c>
    </row>
    <row r="108" spans="1:11">
      <c r="A108" s="231"/>
      <c r="C108" s="6" t="s">
        <v>252</v>
      </c>
      <c r="D108" s="6" t="s">
        <v>253</v>
      </c>
      <c r="E108" s="43">
        <f>K24*9.81*E26</f>
        <v>103123602.90000002</v>
      </c>
      <c r="F108" s="6" t="s">
        <v>215</v>
      </c>
      <c r="H108" s="6" t="s">
        <v>252</v>
      </c>
      <c r="I108" s="43">
        <f>SUM(L37:L96)</f>
        <v>0</v>
      </c>
    </row>
    <row r="109" spans="1:11">
      <c r="A109" s="231"/>
      <c r="C109" s="6" t="s">
        <v>254</v>
      </c>
      <c r="D109" s="6" t="s">
        <v>255</v>
      </c>
      <c r="E109" s="43">
        <f>K25*9.81*E27*K26</f>
        <v>196031390.625</v>
      </c>
      <c r="F109" s="6" t="s">
        <v>215</v>
      </c>
      <c r="H109" s="6" t="s">
        <v>254</v>
      </c>
      <c r="I109" s="43">
        <f>SUM(H37:H96)</f>
        <v>455900621.25</v>
      </c>
    </row>
    <row r="110" spans="1:11">
      <c r="A110" s="232"/>
    </row>
  </sheetData>
  <mergeCells count="14">
    <mergeCell ref="H103:I103"/>
    <mergeCell ref="C103:F103"/>
    <mergeCell ref="A104:A110"/>
    <mergeCell ref="H35:M35"/>
    <mergeCell ref="A4:A19"/>
    <mergeCell ref="A22:A33"/>
    <mergeCell ref="A36:A44"/>
    <mergeCell ref="D35:G35"/>
    <mergeCell ref="B1:E1"/>
    <mergeCell ref="F1:G1"/>
    <mergeCell ref="H1:Z1"/>
    <mergeCell ref="C21:F21"/>
    <mergeCell ref="I21:L21"/>
    <mergeCell ref="N21:Q21"/>
  </mergeCells>
  <phoneticPr fontId="3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' n-V diagram'!$H$42:$H$45</xm:f>
          </x14:formula1>
          <xm:sqref>G23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2D556-ABBB-40C6-A9A1-3EFA7C61F33B}">
  <dimension ref="A1"/>
  <sheetViews>
    <sheetView workbookViewId="0"/>
  </sheetViews>
  <sheetFormatPr defaultRowHeight="14.1"/>
  <sheetData/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C0F1-5E54-4632-A988-DC19E7F7EFC3}">
  <dimension ref="A1:AF91"/>
  <sheetViews>
    <sheetView zoomScale="60" zoomScaleNormal="97" workbookViewId="0">
      <pane xSplit="1" ySplit="1" topLeftCell="B2" activePane="bottomRight" state="frozen"/>
      <selection pane="bottomRight" activeCell="Q75" sqref="Q75"/>
      <selection pane="bottomLeft" activeCell="A2" sqref="A2"/>
      <selection pane="topRight" activeCell="B1" sqref="B1"/>
    </sheetView>
  </sheetViews>
  <sheetFormatPr defaultColWidth="8.875" defaultRowHeight="14.45"/>
  <cols>
    <col min="1" max="1" width="25.875" style="83" customWidth="1"/>
    <col min="2" max="2" width="8.875" style="32"/>
    <col min="3" max="3" width="10" style="32" customWidth="1"/>
    <col min="4" max="4" width="11.375" style="32" bestFit="1" customWidth="1"/>
    <col min="5" max="5" width="11.875" style="32" customWidth="1"/>
    <col min="6" max="6" width="11.375" style="32" bestFit="1" customWidth="1"/>
    <col min="7" max="7" width="9" style="32" customWidth="1"/>
    <col min="8" max="8" width="9.125" style="32" bestFit="1" customWidth="1"/>
    <col min="9" max="16" width="9.875" style="32" bestFit="1" customWidth="1"/>
    <col min="17" max="19" width="9.125" style="32" bestFit="1" customWidth="1"/>
    <col min="20" max="20" width="9.375" style="32" customWidth="1"/>
    <col min="21" max="16384" width="8.875" style="32"/>
  </cols>
  <sheetData>
    <row r="1" spans="1:26" s="60" customFormat="1" ht="39" customHeight="1" thickBot="1">
      <c r="A1" s="163"/>
      <c r="B1" s="241" t="s">
        <v>12</v>
      </c>
      <c r="C1" s="241"/>
      <c r="D1" s="241"/>
      <c r="E1" s="242"/>
      <c r="F1" s="252" t="s">
        <v>1</v>
      </c>
      <c r="G1" s="252"/>
      <c r="H1" s="239" t="s">
        <v>256</v>
      </c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</row>
    <row r="3" spans="1:26" ht="18.600000000000001">
      <c r="A3" s="121" t="s">
        <v>38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 t="s">
        <v>257</v>
      </c>
      <c r="S3" s="4" t="s">
        <v>258</v>
      </c>
      <c r="T3" s="4"/>
      <c r="U3" s="4"/>
      <c r="V3" s="4"/>
      <c r="W3" s="4"/>
      <c r="X3" s="4"/>
      <c r="Y3" s="4"/>
      <c r="Z3" s="4"/>
    </row>
    <row r="4" spans="1:26">
      <c r="A4" s="207" t="s">
        <v>259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 t="s">
        <v>260</v>
      </c>
      <c r="S4" s="4" t="s">
        <v>261</v>
      </c>
      <c r="T4" s="4"/>
      <c r="U4" s="4"/>
      <c r="V4" s="4"/>
      <c r="W4" s="4"/>
      <c r="X4" s="4"/>
      <c r="Y4" s="4"/>
      <c r="Z4" s="4"/>
    </row>
    <row r="5" spans="1:26">
      <c r="A5" s="218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218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21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21" spans="1:18">
      <c r="A21" s="24"/>
      <c r="B21" s="4"/>
      <c r="C21" s="4"/>
      <c r="D21" s="284" t="s">
        <v>262</v>
      </c>
      <c r="E21" s="284"/>
      <c r="F21" s="284"/>
      <c r="G21" s="284"/>
      <c r="H21" s="284"/>
      <c r="I21" s="284"/>
      <c r="J21" s="284"/>
      <c r="K21" s="284"/>
      <c r="L21" s="284"/>
      <c r="M21" s="284"/>
      <c r="N21" s="284"/>
      <c r="O21" s="284"/>
      <c r="P21" s="4"/>
      <c r="Q21" s="4"/>
      <c r="R21" s="4"/>
    </row>
    <row r="22" spans="1:18">
      <c r="A22" s="24"/>
      <c r="B22" s="4"/>
      <c r="C22" s="4"/>
      <c r="D22" s="99">
        <v>27.9</v>
      </c>
      <c r="E22" s="99">
        <v>127</v>
      </c>
      <c r="F22" s="99">
        <v>185.4</v>
      </c>
      <c r="G22" s="99">
        <v>203.2</v>
      </c>
      <c r="H22" s="99">
        <v>294.60000000000002</v>
      </c>
      <c r="I22" s="99">
        <v>304.8</v>
      </c>
      <c r="J22" s="99">
        <v>431.8</v>
      </c>
      <c r="K22" s="99">
        <v>508</v>
      </c>
      <c r="L22" s="99">
        <v>584.20000000000005</v>
      </c>
      <c r="M22" s="99">
        <v>660.4</v>
      </c>
      <c r="N22" s="99">
        <v>736.6</v>
      </c>
      <c r="O22" s="99">
        <v>800.1</v>
      </c>
      <c r="P22" s="4"/>
      <c r="Q22" s="4"/>
      <c r="R22" s="4"/>
    </row>
    <row r="23" spans="1:18">
      <c r="A23" s="24"/>
      <c r="B23" s="4"/>
      <c r="C23" s="4"/>
      <c r="D23" s="285"/>
      <c r="E23" s="85"/>
      <c r="F23" s="85" t="s">
        <v>257</v>
      </c>
      <c r="G23" s="85"/>
      <c r="H23" s="85" t="s">
        <v>260</v>
      </c>
      <c r="I23" s="85"/>
      <c r="J23" s="85"/>
      <c r="K23" s="85"/>
      <c r="L23" s="85"/>
      <c r="M23" s="85"/>
      <c r="N23" s="85" t="s">
        <v>263</v>
      </c>
      <c r="O23" s="286"/>
      <c r="P23" s="4"/>
      <c r="Q23" s="4"/>
      <c r="R23" s="4"/>
    </row>
    <row r="24" spans="1:18" s="34" customFormat="1" ht="15" thickBot="1">
      <c r="A24" s="5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</row>
    <row r="25" spans="1:18">
      <c r="A25" s="24"/>
      <c r="B25" s="4"/>
      <c r="C25" s="4"/>
      <c r="D25" s="287"/>
      <c r="E25" s="288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 ht="18.600000000000001">
      <c r="A26" s="121" t="s">
        <v>32</v>
      </c>
      <c r="B26" s="4"/>
      <c r="C26" s="4"/>
      <c r="D26" s="4"/>
      <c r="E26" s="243" t="s">
        <v>262</v>
      </c>
      <c r="F26" s="244"/>
      <c r="G26" s="244"/>
      <c r="H26" s="244"/>
      <c r="I26" s="244"/>
      <c r="J26" s="244"/>
      <c r="K26" s="244"/>
      <c r="L26" s="244"/>
      <c r="M26" s="244"/>
      <c r="N26" s="244"/>
      <c r="O26" s="244"/>
      <c r="P26" s="245"/>
      <c r="Q26" s="4"/>
      <c r="R26" s="4"/>
    </row>
    <row r="27" spans="1:18">
      <c r="A27" s="207" t="s">
        <v>264</v>
      </c>
      <c r="B27" s="4"/>
      <c r="C27" s="205" t="s">
        <v>265</v>
      </c>
      <c r="D27" s="213"/>
      <c r="E27" s="99">
        <v>27.9</v>
      </c>
      <c r="F27" s="99">
        <v>127</v>
      </c>
      <c r="G27" s="99">
        <v>185.4</v>
      </c>
      <c r="H27" s="99">
        <v>203.2</v>
      </c>
      <c r="I27" s="99">
        <v>294.60000000000002</v>
      </c>
      <c r="J27" s="99">
        <v>304.8</v>
      </c>
      <c r="K27" s="99">
        <v>431.8</v>
      </c>
      <c r="L27" s="99">
        <v>508</v>
      </c>
      <c r="M27" s="99">
        <v>584.20000000000005</v>
      </c>
      <c r="N27" s="99">
        <v>660.4</v>
      </c>
      <c r="O27" s="99">
        <v>736.6</v>
      </c>
      <c r="P27" s="99">
        <v>800.1</v>
      </c>
      <c r="Q27" s="99" t="s">
        <v>266</v>
      </c>
      <c r="R27" s="4"/>
    </row>
    <row r="28" spans="1:18">
      <c r="A28" s="218"/>
      <c r="B28" s="4"/>
      <c r="C28" s="205" t="s">
        <v>267</v>
      </c>
      <c r="D28" s="213"/>
      <c r="E28" s="7"/>
      <c r="F28" s="7"/>
      <c r="G28" s="7"/>
      <c r="H28" s="7"/>
      <c r="I28" s="7"/>
      <c r="J28" s="7"/>
      <c r="K28" s="7"/>
      <c r="L28" s="7"/>
      <c r="M28" s="7"/>
      <c r="N28" s="7"/>
      <c r="O28" s="289">
        <v>-100</v>
      </c>
      <c r="P28" s="7"/>
      <c r="Q28" s="7">
        <f>SUM(E28:P28)</f>
        <v>-100</v>
      </c>
      <c r="R28" s="290" t="s">
        <v>268</v>
      </c>
    </row>
    <row r="29" spans="1:18">
      <c r="A29" s="218"/>
      <c r="B29" s="4"/>
      <c r="C29" s="205" t="s">
        <v>269</v>
      </c>
      <c r="D29" s="213"/>
      <c r="E29" s="7">
        <f t="shared" ref="E29:P29" si="0">E28*E27</f>
        <v>0</v>
      </c>
      <c r="F29" s="7">
        <f t="shared" si="0"/>
        <v>0</v>
      </c>
      <c r="G29" s="7">
        <f t="shared" si="0"/>
        <v>0</v>
      </c>
      <c r="H29" s="7">
        <f t="shared" si="0"/>
        <v>0</v>
      </c>
      <c r="I29" s="7">
        <f t="shared" si="0"/>
        <v>0</v>
      </c>
      <c r="J29" s="7">
        <f t="shared" si="0"/>
        <v>0</v>
      </c>
      <c r="K29" s="7">
        <f t="shared" si="0"/>
        <v>0</v>
      </c>
      <c r="L29" s="7">
        <f t="shared" si="0"/>
        <v>0</v>
      </c>
      <c r="M29" s="7">
        <f t="shared" si="0"/>
        <v>0</v>
      </c>
      <c r="N29" s="7">
        <f t="shared" si="0"/>
        <v>0</v>
      </c>
      <c r="O29" s="7">
        <f t="shared" si="0"/>
        <v>-73660</v>
      </c>
      <c r="P29" s="7">
        <f t="shared" si="0"/>
        <v>0</v>
      </c>
      <c r="Q29" s="7">
        <f>SUM(E29:P29)</f>
        <v>-73660</v>
      </c>
      <c r="R29" s="290" t="s">
        <v>270</v>
      </c>
    </row>
    <row r="30" spans="1:18">
      <c r="A30" s="218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>
      <c r="A31" s="218"/>
      <c r="B31" s="4"/>
      <c r="C31" s="4"/>
      <c r="D31" s="82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 s="34" customFormat="1" ht="15" thickBot="1">
      <c r="A32" s="5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</row>
    <row r="34" spans="1:20" ht="18.600000000000001">
      <c r="A34" s="121" t="s">
        <v>34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spans="1:20">
      <c r="A35" s="207" t="s">
        <v>271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spans="1:20">
      <c r="A36" s="21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spans="1:20">
      <c r="A37" s="21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spans="1:20">
      <c r="A38" s="21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spans="1:20">
      <c r="A39" s="214"/>
      <c r="B39" s="4"/>
      <c r="C39" s="4"/>
      <c r="D39" s="58"/>
      <c r="E39" s="61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spans="1:20">
      <c r="A40" s="214"/>
      <c r="B40" s="4"/>
      <c r="C40" s="4"/>
      <c r="D40" s="4"/>
      <c r="E40" s="4"/>
      <c r="F40" s="5" t="s">
        <v>257</v>
      </c>
      <c r="G40" s="5" t="s">
        <v>260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spans="1:20">
      <c r="A41" s="24"/>
      <c r="B41" s="4"/>
      <c r="C41" s="251" t="s">
        <v>272</v>
      </c>
      <c r="D41" s="251"/>
      <c r="E41" s="247"/>
      <c r="F41" s="73">
        <v>185.4</v>
      </c>
      <c r="G41" s="74">
        <v>294.60000000000002</v>
      </c>
      <c r="H41" s="5" t="s">
        <v>257</v>
      </c>
      <c r="I41" s="44" t="s">
        <v>273</v>
      </c>
      <c r="J41" s="80">
        <f>-Q29</f>
        <v>73660</v>
      </c>
      <c r="K41" s="4"/>
      <c r="L41" s="4"/>
      <c r="M41" s="4"/>
      <c r="N41" s="4"/>
      <c r="O41" s="4"/>
      <c r="P41" s="4"/>
      <c r="Q41" s="4"/>
      <c r="R41" s="4"/>
      <c r="S41" s="4"/>
      <c r="T41" s="4"/>
    </row>
    <row r="42" spans="1:20">
      <c r="A42" s="24"/>
      <c r="B42" s="4"/>
      <c r="C42" s="251" t="s">
        <v>274</v>
      </c>
      <c r="D42" s="251"/>
      <c r="E42" s="247"/>
      <c r="F42" s="75">
        <v>1</v>
      </c>
      <c r="G42" s="76">
        <v>1</v>
      </c>
      <c r="H42" s="5" t="s">
        <v>260</v>
      </c>
      <c r="I42" s="44"/>
      <c r="J42" s="81">
        <f>-O28</f>
        <v>100</v>
      </c>
      <c r="K42" s="4"/>
      <c r="L42" s="4"/>
      <c r="M42" s="4"/>
      <c r="N42" s="4"/>
      <c r="O42" s="4"/>
      <c r="P42" s="4"/>
      <c r="Q42" s="4"/>
      <c r="R42" s="4"/>
      <c r="S42" s="4"/>
      <c r="T42" s="4" t="s">
        <v>169</v>
      </c>
    </row>
    <row r="44" spans="1:20">
      <c r="A44" s="24"/>
      <c r="B44" s="4"/>
      <c r="C44" s="206" t="s">
        <v>275</v>
      </c>
      <c r="D44" s="206"/>
      <c r="E44" s="206"/>
      <c r="F44" s="67">
        <f t="array" ref="F44:F45">MMULT(MINVERSE(F41:G42),J41:J42)</f>
        <v>-404.76190476190476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spans="1:20">
      <c r="A45" s="24"/>
      <c r="B45" s="4"/>
      <c r="C45" s="206" t="s">
        <v>276</v>
      </c>
      <c r="D45" s="206"/>
      <c r="E45" s="206"/>
      <c r="F45" s="67">
        <v>504.76190476190482</v>
      </c>
      <c r="G45" s="4"/>
      <c r="H45" s="4"/>
      <c r="I45" s="4"/>
      <c r="J45" s="61"/>
      <c r="K45" s="4"/>
      <c r="L45" s="4"/>
      <c r="M45" s="4"/>
      <c r="N45" s="4"/>
      <c r="O45" s="4"/>
      <c r="P45" s="4"/>
      <c r="Q45" s="4"/>
      <c r="R45" s="4"/>
      <c r="S45" s="4"/>
      <c r="T45" s="4"/>
    </row>
    <row r="47" spans="1:20">
      <c r="A47" s="24"/>
      <c r="B47" s="4"/>
      <c r="C47" s="206" t="s">
        <v>277</v>
      </c>
      <c r="D47" s="206"/>
      <c r="E47" s="206"/>
      <c r="F47" s="67">
        <f>F44*G27</f>
        <v>-75042.857142857145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>
      <c r="A48" s="24"/>
      <c r="B48" s="4"/>
      <c r="C48" s="206" t="s">
        <v>278</v>
      </c>
      <c r="D48" s="206"/>
      <c r="E48" s="206"/>
      <c r="F48" s="67">
        <f>F45*I27</f>
        <v>148702.85714285716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50" spans="1:19" s="34" customFormat="1" ht="15" thickBot="1">
      <c r="A50" s="5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</row>
    <row r="52" spans="1:19" ht="18.600000000000001">
      <c r="A52" s="121" t="s">
        <v>162</v>
      </c>
      <c r="B52" s="4"/>
      <c r="C52" s="206" t="s">
        <v>279</v>
      </c>
      <c r="D52" s="206"/>
      <c r="E52" s="206"/>
      <c r="F52" s="206"/>
      <c r="G52" s="206"/>
      <c r="H52" s="206"/>
      <c r="I52" s="206"/>
      <c r="J52" s="206"/>
      <c r="K52" s="206"/>
      <c r="L52" s="206"/>
      <c r="M52" s="206"/>
      <c r="N52" s="206"/>
      <c r="O52" s="206"/>
      <c r="P52" s="206"/>
      <c r="Q52" s="206"/>
      <c r="R52" s="4"/>
      <c r="S52" s="4"/>
    </row>
    <row r="53" spans="1:19">
      <c r="A53" s="207" t="s">
        <v>280</v>
      </c>
      <c r="B53" s="4"/>
      <c r="C53" s="13" t="s">
        <v>281</v>
      </c>
      <c r="D53" s="98">
        <v>0</v>
      </c>
      <c r="E53" s="98">
        <v>27.9</v>
      </c>
      <c r="F53" s="98">
        <v>127</v>
      </c>
      <c r="G53" s="98">
        <v>185.4</v>
      </c>
      <c r="H53" s="98">
        <v>203.2</v>
      </c>
      <c r="I53" s="98">
        <v>294.60000000000002</v>
      </c>
      <c r="J53" s="98">
        <v>304.8</v>
      </c>
      <c r="K53" s="98">
        <v>431.8</v>
      </c>
      <c r="L53" s="98">
        <v>508</v>
      </c>
      <c r="M53" s="98">
        <v>584.20000000000005</v>
      </c>
      <c r="N53" s="98">
        <v>660.4</v>
      </c>
      <c r="O53" s="98">
        <v>736.6</v>
      </c>
      <c r="P53" s="98">
        <v>800.1</v>
      </c>
      <c r="Q53" s="13" t="s">
        <v>282</v>
      </c>
      <c r="R53" s="4"/>
      <c r="S53" s="4"/>
    </row>
    <row r="54" spans="1:19">
      <c r="A54" s="214"/>
      <c r="B54" s="4"/>
      <c r="C54" s="5" t="s">
        <v>283</v>
      </c>
      <c r="D54" s="291">
        <v>0</v>
      </c>
      <c r="E54" s="291">
        <v>0</v>
      </c>
      <c r="F54" s="291">
        <v>0</v>
      </c>
      <c r="G54" s="291">
        <f>F44*9.81</f>
        <v>-3970.7142857142858</v>
      </c>
      <c r="H54" s="291">
        <v>0</v>
      </c>
      <c r="I54" s="291">
        <f>F45*9.81</f>
        <v>4951.7142857142862</v>
      </c>
      <c r="J54" s="291">
        <v>0</v>
      </c>
      <c r="K54" s="291">
        <v>0</v>
      </c>
      <c r="L54" s="291">
        <v>0</v>
      </c>
      <c r="M54" s="291">
        <v>0</v>
      </c>
      <c r="N54" s="291">
        <v>0</v>
      </c>
      <c r="O54" s="291">
        <f>O28*9.81</f>
        <v>-981</v>
      </c>
      <c r="P54" s="291">
        <v>0</v>
      </c>
      <c r="Q54" s="27">
        <f>SUM(D54:P54)</f>
        <v>4.5474735088646412E-13</v>
      </c>
      <c r="R54" s="4"/>
      <c r="S54" s="4"/>
    </row>
    <row r="55" spans="1:19">
      <c r="A55" s="214"/>
      <c r="B55" s="4"/>
      <c r="C55" s="5" t="s">
        <v>140</v>
      </c>
      <c r="D55" s="291">
        <f>SUM($D$54:D54)</f>
        <v>0</v>
      </c>
      <c r="E55" s="291">
        <f>SUM($D$54:E54)</f>
        <v>0</v>
      </c>
      <c r="F55" s="291">
        <f>SUM($D$54:F54)</f>
        <v>0</v>
      </c>
      <c r="G55" s="291">
        <f>SUM($D$54:G54)</f>
        <v>-3970.7142857142858</v>
      </c>
      <c r="H55" s="291">
        <f>SUM($D$54:H54)</f>
        <v>-3970.7142857142858</v>
      </c>
      <c r="I55" s="291">
        <f>SUM($D$54:I54)</f>
        <v>981.00000000000045</v>
      </c>
      <c r="J55" s="291">
        <f>SUM($D$54:J54)</f>
        <v>981.00000000000045</v>
      </c>
      <c r="K55" s="291">
        <f>SUM($D$54:K54)</f>
        <v>981.00000000000045</v>
      </c>
      <c r="L55" s="291">
        <f>SUM($D$54:L54)</f>
        <v>981.00000000000045</v>
      </c>
      <c r="M55" s="291">
        <f>SUM($D$54:M54)</f>
        <v>981.00000000000045</v>
      </c>
      <c r="N55" s="291">
        <f>SUM($D$54:N54)</f>
        <v>981.00000000000045</v>
      </c>
      <c r="O55" s="291">
        <f>SUM($D$54:O54)</f>
        <v>0</v>
      </c>
      <c r="P55" s="291">
        <f>SUM($D$54:P54)</f>
        <v>4.5474735088646412E-13</v>
      </c>
      <c r="Q55" s="292"/>
      <c r="R55" s="4"/>
      <c r="S55" s="4"/>
    </row>
    <row r="56" spans="1:19">
      <c r="A56" s="214"/>
      <c r="B56" s="4"/>
      <c r="C56" s="5" t="s">
        <v>284</v>
      </c>
      <c r="D56" s="291">
        <v>0</v>
      </c>
      <c r="E56" s="291">
        <f t="shared" ref="E56:P56" si="1">(D55*(E53-D53)+(E55-D55)*(E53-D53)/2)/100</f>
        <v>0</v>
      </c>
      <c r="F56" s="291">
        <f t="shared" si="1"/>
        <v>0</v>
      </c>
      <c r="G56" s="291">
        <f t="shared" si="1"/>
        <v>-1159.4485714285715</v>
      </c>
      <c r="H56" s="291">
        <f t="shared" si="1"/>
        <v>-706.78714285714216</v>
      </c>
      <c r="I56" s="291">
        <f t="shared" si="1"/>
        <v>-1366.299428571429</v>
      </c>
      <c r="J56" s="291">
        <f t="shared" si="1"/>
        <v>100.06199999999994</v>
      </c>
      <c r="K56" s="291">
        <f t="shared" si="1"/>
        <v>1245.8700000000006</v>
      </c>
      <c r="L56" s="291">
        <f t="shared" si="1"/>
        <v>747.52200000000028</v>
      </c>
      <c r="M56" s="291">
        <f t="shared" si="1"/>
        <v>747.52200000000084</v>
      </c>
      <c r="N56" s="291">
        <f t="shared" si="1"/>
        <v>747.52199999999971</v>
      </c>
      <c r="O56" s="291">
        <f t="shared" si="1"/>
        <v>373.76100000000042</v>
      </c>
      <c r="P56" s="291">
        <f t="shared" si="1"/>
        <v>1.4438228390645236E-13</v>
      </c>
      <c r="Q56" s="292"/>
      <c r="R56" s="4"/>
      <c r="S56" s="4"/>
    </row>
    <row r="57" spans="1:19">
      <c r="A57" s="214"/>
      <c r="B57" s="4"/>
      <c r="C57" s="5" t="s">
        <v>285</v>
      </c>
      <c r="D57" s="291">
        <f>SUM($D$56:D56)</f>
        <v>0</v>
      </c>
      <c r="E57" s="291">
        <f>SUM($D$56:E56)</f>
        <v>0</v>
      </c>
      <c r="F57" s="291">
        <f>SUM($D$56:F56)</f>
        <v>0</v>
      </c>
      <c r="G57" s="291">
        <f>SUM($D$56:G56)</f>
        <v>-1159.4485714285715</v>
      </c>
      <c r="H57" s="291">
        <f>SUM($D$56:H56)</f>
        <v>-1866.2357142857136</v>
      </c>
      <c r="I57" s="291">
        <f>SUM($D$56:I56)</f>
        <v>-3232.5351428571425</v>
      </c>
      <c r="J57" s="291">
        <f>SUM($D$56:J56)</f>
        <v>-3132.4731428571426</v>
      </c>
      <c r="K57" s="291">
        <f>SUM($D$56:K56)</f>
        <v>-1886.6031428571421</v>
      </c>
      <c r="L57" s="291">
        <f>SUM($D$56:L56)</f>
        <v>-1139.0811428571419</v>
      </c>
      <c r="M57" s="291">
        <f>SUM($D$56:M56)</f>
        <v>-391.55914285714107</v>
      </c>
      <c r="N57" s="291">
        <f>SUM($D$56:N56)</f>
        <v>355.96285714285864</v>
      </c>
      <c r="O57" s="291">
        <f>SUM($D$56:O56)</f>
        <v>729.72385714285906</v>
      </c>
      <c r="P57" s="291">
        <f>SUM($D$56:P56)</f>
        <v>729.72385714285917</v>
      </c>
      <c r="Q57" s="292"/>
      <c r="R57" s="45"/>
      <c r="S57" s="45"/>
    </row>
    <row r="58" spans="1:19">
      <c r="A58" s="21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5"/>
      <c r="S58" s="45"/>
    </row>
    <row r="62" spans="1:19">
      <c r="A62" s="24"/>
      <c r="B62" s="4"/>
      <c r="C62" s="4"/>
      <c r="D62" s="4"/>
      <c r="E62" s="4"/>
      <c r="F62" s="4"/>
      <c r="G62" s="59"/>
      <c r="H62" s="45"/>
      <c r="I62" s="45"/>
      <c r="J62" s="4"/>
      <c r="K62" s="4"/>
      <c r="L62" s="4"/>
      <c r="M62" s="4"/>
      <c r="N62" s="4"/>
      <c r="O62" s="4"/>
      <c r="P62" s="4"/>
      <c r="Q62" s="4"/>
      <c r="R62" s="4"/>
      <c r="S62" s="4"/>
    </row>
    <row r="63" spans="1:19">
      <c r="A63" s="24"/>
      <c r="B63" s="4"/>
      <c r="C63" s="4"/>
      <c r="D63" s="4"/>
      <c r="E63" s="4"/>
      <c r="F63" s="4"/>
      <c r="G63" s="59"/>
      <c r="H63" s="45"/>
      <c r="I63" s="45"/>
      <c r="J63" s="4"/>
      <c r="K63" s="4"/>
      <c r="L63" s="4"/>
      <c r="M63" s="4"/>
      <c r="N63" s="4"/>
      <c r="O63" s="4"/>
      <c r="P63" s="4"/>
      <c r="Q63" s="4"/>
      <c r="R63" s="4"/>
      <c r="S63" s="4"/>
    </row>
    <row r="64" spans="1:19">
      <c r="A64" s="24"/>
      <c r="B64" s="4"/>
      <c r="C64" s="4"/>
      <c r="D64" s="4"/>
      <c r="E64" s="4"/>
      <c r="F64" s="4"/>
      <c r="G64" s="59"/>
      <c r="H64" s="45"/>
      <c r="I64" s="45"/>
      <c r="J64" s="4"/>
      <c r="K64" s="4"/>
      <c r="L64" s="4"/>
      <c r="M64" s="4"/>
      <c r="N64" s="4"/>
      <c r="O64" s="4"/>
      <c r="P64" s="4"/>
      <c r="Q64" s="4"/>
      <c r="R64" s="4"/>
      <c r="S64" s="4"/>
    </row>
    <row r="65" spans="7:32">
      <c r="G65" s="59"/>
      <c r="H65" s="45"/>
      <c r="I65" s="45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</row>
    <row r="66" spans="7:32">
      <c r="G66" s="59"/>
      <c r="H66" s="45"/>
      <c r="I66" s="45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</row>
    <row r="67" spans="7:32">
      <c r="G67" s="59"/>
      <c r="H67" s="45"/>
      <c r="I67" s="45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</row>
    <row r="68" spans="7:32">
      <c r="G68" s="59"/>
      <c r="H68" s="45"/>
      <c r="I68" s="45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</row>
    <row r="69" spans="7:32"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7:32"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7:32"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</row>
    <row r="72" spans="7:32"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7:32"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7:32"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</row>
    <row r="75" spans="7:32"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</row>
    <row r="76" spans="7:32"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</row>
    <row r="77" spans="7:32"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</row>
    <row r="78" spans="7:32"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</row>
    <row r="79" spans="7:32"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</row>
    <row r="80" spans="7:32"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</row>
    <row r="81" spans="13:32"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</row>
    <row r="82" spans="13:32"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</row>
    <row r="83" spans="13:32"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</row>
    <row r="84" spans="13:32"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</row>
    <row r="85" spans="13:32"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</row>
    <row r="86" spans="13:32"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</row>
    <row r="87" spans="13:32"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</row>
    <row r="88" spans="13:32"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</row>
    <row r="89" spans="13:32"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</row>
    <row r="90" spans="13:32"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</row>
    <row r="91" spans="13:32"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</row>
  </sheetData>
  <mergeCells count="19">
    <mergeCell ref="A35:A40"/>
    <mergeCell ref="A53:A58"/>
    <mergeCell ref="C42:E42"/>
    <mergeCell ref="C41:E41"/>
    <mergeCell ref="C52:Q52"/>
    <mergeCell ref="C44:E44"/>
    <mergeCell ref="C45:E45"/>
    <mergeCell ref="C47:E47"/>
    <mergeCell ref="C48:E48"/>
    <mergeCell ref="H1:Z1"/>
    <mergeCell ref="B1:E1"/>
    <mergeCell ref="D21:O21"/>
    <mergeCell ref="F1:G1"/>
    <mergeCell ref="E26:P26"/>
    <mergeCell ref="C28:D28"/>
    <mergeCell ref="C29:D29"/>
    <mergeCell ref="C27:D27"/>
    <mergeCell ref="A27:A31"/>
    <mergeCell ref="A4:A7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93D7-5530-4D62-AABB-8ECCC9F210BD}">
  <dimension ref="A1:Z74"/>
  <sheetViews>
    <sheetView zoomScale="75" zoomScaleNormal="70" workbookViewId="0">
      <pane xSplit="1" ySplit="1" topLeftCell="B30" activePane="bottomRight" state="frozen"/>
      <selection pane="bottomRight"/>
      <selection pane="bottomLeft" activeCell="A2" sqref="A2"/>
      <selection pane="topRight" activeCell="B1" sqref="B1"/>
    </sheetView>
  </sheetViews>
  <sheetFormatPr defaultColWidth="8.875" defaultRowHeight="14.45"/>
  <cols>
    <col min="1" max="1" width="25.875" style="24" customWidth="1"/>
    <col min="2" max="2" width="8.875" style="4"/>
    <col min="3" max="3" width="13.375" style="4" customWidth="1"/>
    <col min="4" max="4" width="12.375" style="4" customWidth="1"/>
    <col min="5" max="5" width="11.375" style="4" customWidth="1"/>
    <col min="6" max="6" width="10.375" style="4" customWidth="1"/>
    <col min="7" max="7" width="9" style="4" customWidth="1"/>
    <col min="8" max="8" width="9.125" style="4" bestFit="1" customWidth="1"/>
    <col min="9" max="16" width="9.875" style="4" bestFit="1" customWidth="1"/>
    <col min="17" max="17" width="10.875" style="4" bestFit="1" customWidth="1"/>
    <col min="18" max="18" width="9.375" style="4" bestFit="1" customWidth="1"/>
    <col min="19" max="19" width="9.125" style="4" bestFit="1" customWidth="1"/>
    <col min="20" max="20" width="9.375" style="4" customWidth="1"/>
    <col min="21" max="32" width="9" style="4" bestFit="1" customWidth="1"/>
    <col min="33" max="33" width="9.125" style="4" bestFit="1" customWidth="1"/>
    <col min="34" max="16384" width="8.875" style="4"/>
  </cols>
  <sheetData>
    <row r="1" spans="1:26" s="66" customFormat="1" ht="38.25" customHeight="1" thickBot="1">
      <c r="A1" s="38"/>
      <c r="B1" s="210" t="s">
        <v>13</v>
      </c>
      <c r="C1" s="219"/>
      <c r="D1" s="219"/>
      <c r="E1" s="220"/>
      <c r="F1" s="252" t="s">
        <v>286</v>
      </c>
      <c r="G1" s="252"/>
      <c r="H1" s="239" t="s">
        <v>287</v>
      </c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</row>
    <row r="3" spans="1:26" ht="18.600000000000001">
      <c r="A3" s="121" t="s">
        <v>38</v>
      </c>
    </row>
    <row r="4" spans="1:26">
      <c r="A4" s="207" t="s">
        <v>259</v>
      </c>
    </row>
    <row r="5" spans="1:26">
      <c r="A5" s="214"/>
    </row>
    <row r="6" spans="1:26">
      <c r="A6" s="214"/>
    </row>
    <row r="7" spans="1:26">
      <c r="A7" s="214"/>
    </row>
    <row r="21" spans="1:18">
      <c r="C21" s="284" t="s">
        <v>262</v>
      </c>
      <c r="D21" s="284"/>
      <c r="E21" s="284"/>
      <c r="F21" s="284"/>
      <c r="G21" s="284"/>
      <c r="H21" s="284"/>
      <c r="I21" s="284"/>
      <c r="J21" s="284"/>
      <c r="K21" s="284"/>
      <c r="L21" s="284"/>
      <c r="M21" s="284"/>
      <c r="N21" s="284"/>
    </row>
    <row r="22" spans="1:18">
      <c r="C22" s="99">
        <v>27.9</v>
      </c>
      <c r="D22" s="99">
        <v>127</v>
      </c>
      <c r="E22" s="99">
        <v>185.4</v>
      </c>
      <c r="F22" s="99">
        <v>203.2</v>
      </c>
      <c r="G22" s="99">
        <v>294.60000000000002</v>
      </c>
      <c r="H22" s="99">
        <v>304.8</v>
      </c>
      <c r="I22" s="99">
        <v>431.8</v>
      </c>
      <c r="J22" s="99">
        <v>508</v>
      </c>
      <c r="K22" s="99">
        <v>584.20000000000005</v>
      </c>
      <c r="L22" s="99">
        <v>660.4</v>
      </c>
      <c r="M22" s="99">
        <v>736.6</v>
      </c>
      <c r="N22" s="99">
        <v>800.1</v>
      </c>
    </row>
    <row r="23" spans="1:18">
      <c r="C23" s="285"/>
      <c r="D23" s="85"/>
      <c r="E23" s="85" t="s">
        <v>257</v>
      </c>
      <c r="F23" s="85"/>
      <c r="G23" s="85" t="s">
        <v>260</v>
      </c>
      <c r="H23" s="85"/>
      <c r="I23" s="85"/>
      <c r="J23" s="85"/>
      <c r="K23" s="85"/>
      <c r="L23" s="85"/>
      <c r="M23" s="85"/>
      <c r="N23" s="286"/>
    </row>
    <row r="24" spans="1:18" s="21" customFormat="1" ht="15" thickBot="1">
      <c r="A24" s="52"/>
    </row>
    <row r="26" spans="1:18" ht="18.600000000000001">
      <c r="A26" s="121" t="s">
        <v>32</v>
      </c>
      <c r="E26" s="243" t="s">
        <v>262</v>
      </c>
      <c r="F26" s="244"/>
      <c r="G26" s="244"/>
      <c r="H26" s="244"/>
      <c r="I26" s="244"/>
      <c r="J26" s="244"/>
      <c r="K26" s="244"/>
      <c r="L26" s="244"/>
      <c r="M26" s="244"/>
      <c r="N26" s="244"/>
      <c r="O26" s="244"/>
      <c r="P26" s="245"/>
      <c r="Q26" s="255" t="s">
        <v>266</v>
      </c>
      <c r="R26" s="253" t="s">
        <v>288</v>
      </c>
    </row>
    <row r="27" spans="1:18">
      <c r="A27" s="207" t="s">
        <v>289</v>
      </c>
      <c r="C27" s="257" t="s">
        <v>290</v>
      </c>
      <c r="D27" s="258"/>
      <c r="E27" s="100">
        <v>27.9</v>
      </c>
      <c r="F27" s="101">
        <v>127</v>
      </c>
      <c r="G27" s="101">
        <v>185.4</v>
      </c>
      <c r="H27" s="101">
        <v>203.2</v>
      </c>
      <c r="I27" s="101">
        <v>294.60000000000002</v>
      </c>
      <c r="J27" s="101">
        <v>304.8</v>
      </c>
      <c r="K27" s="101">
        <v>431.8</v>
      </c>
      <c r="L27" s="101">
        <v>508</v>
      </c>
      <c r="M27" s="101">
        <v>584.20000000000005</v>
      </c>
      <c r="N27" s="101">
        <v>660.4</v>
      </c>
      <c r="O27" s="101">
        <v>736.6</v>
      </c>
      <c r="P27" s="102">
        <v>800.1</v>
      </c>
      <c r="Q27" s="256"/>
      <c r="R27" s="254"/>
    </row>
    <row r="28" spans="1:18">
      <c r="A28" s="214"/>
      <c r="C28" s="246" t="s">
        <v>291</v>
      </c>
      <c r="D28" s="247"/>
      <c r="E28" s="89">
        <v>396.4</v>
      </c>
      <c r="F28" s="90">
        <v>102.5</v>
      </c>
      <c r="G28" s="90"/>
      <c r="H28" s="90"/>
      <c r="I28" s="90"/>
      <c r="J28" s="90"/>
      <c r="K28" s="90"/>
      <c r="L28" s="90"/>
      <c r="M28" s="90"/>
      <c r="N28" s="90"/>
      <c r="O28" s="90"/>
      <c r="P28" s="91"/>
      <c r="Q28" s="77">
        <f t="shared" ref="Q28:Q37" si="0">SUM(E28:P28)</f>
        <v>498.9</v>
      </c>
      <c r="R28" s="70">
        <v>499</v>
      </c>
    </row>
    <row r="29" spans="1:18">
      <c r="A29" s="214"/>
      <c r="C29" s="246" t="s">
        <v>292</v>
      </c>
      <c r="D29" s="247"/>
      <c r="E29" s="92">
        <v>8.6</v>
      </c>
      <c r="F29" s="93">
        <v>36.299999999999997</v>
      </c>
      <c r="G29" s="93"/>
      <c r="H29" s="93">
        <v>35.4</v>
      </c>
      <c r="I29" s="93"/>
      <c r="J29" s="93">
        <v>29.5</v>
      </c>
      <c r="K29" s="93">
        <v>23.6</v>
      </c>
      <c r="L29" s="93">
        <v>13.6</v>
      </c>
      <c r="M29" s="93">
        <v>4.5</v>
      </c>
      <c r="N29" s="93">
        <v>4.5</v>
      </c>
      <c r="O29" s="93">
        <v>2.7</v>
      </c>
      <c r="P29" s="94">
        <v>0</v>
      </c>
      <c r="Q29" s="78">
        <f t="shared" si="0"/>
        <v>158.69999999999999</v>
      </c>
      <c r="R29" s="71">
        <v>158.80000000000001</v>
      </c>
    </row>
    <row r="30" spans="1:18">
      <c r="A30" s="214"/>
      <c r="C30" s="246" t="s">
        <v>293</v>
      </c>
      <c r="D30" s="247"/>
      <c r="E30" s="92"/>
      <c r="F30" s="93"/>
      <c r="G30" s="93"/>
      <c r="H30" s="93"/>
      <c r="I30" s="93"/>
      <c r="J30" s="93"/>
      <c r="K30" s="93"/>
      <c r="L30" s="93"/>
      <c r="M30" s="93"/>
      <c r="N30" s="93">
        <v>5</v>
      </c>
      <c r="O30" s="93">
        <v>44.9</v>
      </c>
      <c r="P30" s="94"/>
      <c r="Q30" s="78">
        <f t="shared" si="0"/>
        <v>49.9</v>
      </c>
      <c r="R30" s="71">
        <v>49.9</v>
      </c>
    </row>
    <row r="31" spans="1:18" ht="18.600000000000001">
      <c r="A31" s="143"/>
      <c r="C31" s="246" t="s">
        <v>294</v>
      </c>
      <c r="D31" s="247"/>
      <c r="E31" s="92"/>
      <c r="F31" s="93"/>
      <c r="G31" s="93"/>
      <c r="H31" s="93"/>
      <c r="I31" s="93"/>
      <c r="J31" s="93">
        <v>33.1</v>
      </c>
      <c r="K31" s="93">
        <v>5.4</v>
      </c>
      <c r="L31" s="93"/>
      <c r="M31" s="93"/>
      <c r="N31" s="93"/>
      <c r="O31" s="93"/>
      <c r="P31" s="94"/>
      <c r="Q31" s="78">
        <f t="shared" si="0"/>
        <v>38.5</v>
      </c>
      <c r="R31" s="71">
        <v>38.6</v>
      </c>
    </row>
    <row r="32" spans="1:18" ht="18.600000000000001">
      <c r="A32" s="143"/>
      <c r="C32" s="246" t="s">
        <v>295</v>
      </c>
      <c r="D32" s="247"/>
      <c r="E32" s="92"/>
      <c r="F32" s="93">
        <v>37.200000000000003</v>
      </c>
      <c r="G32" s="93"/>
      <c r="H32" s="93">
        <v>21.8</v>
      </c>
      <c r="I32" s="93"/>
      <c r="J32" s="93"/>
      <c r="K32" s="93"/>
      <c r="L32" s="93"/>
      <c r="M32" s="93"/>
      <c r="N32" s="93"/>
      <c r="O32" s="93"/>
      <c r="P32" s="94"/>
      <c r="Q32" s="78">
        <f t="shared" si="0"/>
        <v>59</v>
      </c>
      <c r="R32" s="71">
        <v>59</v>
      </c>
    </row>
    <row r="33" spans="1:18">
      <c r="C33" s="246" t="s">
        <v>296</v>
      </c>
      <c r="D33" s="247"/>
      <c r="E33" s="92"/>
      <c r="F33" s="93"/>
      <c r="G33" s="93"/>
      <c r="H33" s="93"/>
      <c r="I33" s="93"/>
      <c r="J33" s="93"/>
      <c r="K33" s="93"/>
      <c r="L33" s="93"/>
      <c r="M33" s="93"/>
      <c r="N33" s="93"/>
      <c r="O33" s="93">
        <v>5.9</v>
      </c>
      <c r="P33" s="94">
        <v>10</v>
      </c>
      <c r="Q33" s="78">
        <f t="shared" si="0"/>
        <v>15.9</v>
      </c>
      <c r="R33" s="71">
        <v>15.9</v>
      </c>
    </row>
    <row r="34" spans="1:18">
      <c r="C34" s="246" t="s">
        <v>297</v>
      </c>
      <c r="D34" s="247"/>
      <c r="E34" s="92"/>
      <c r="F34" s="93"/>
      <c r="G34" s="93"/>
      <c r="H34" s="93">
        <v>34.5</v>
      </c>
      <c r="I34" s="93"/>
      <c r="J34" s="93">
        <v>45.4</v>
      </c>
      <c r="K34" s="93">
        <v>20</v>
      </c>
      <c r="L34" s="93"/>
      <c r="M34" s="93"/>
      <c r="N34" s="93"/>
      <c r="O34" s="93"/>
      <c r="P34" s="94"/>
      <c r="Q34" s="78">
        <f t="shared" si="0"/>
        <v>99.9</v>
      </c>
      <c r="R34" s="71">
        <v>99.8</v>
      </c>
    </row>
    <row r="35" spans="1:18">
      <c r="C35" s="246" t="s">
        <v>298</v>
      </c>
      <c r="D35" s="247"/>
      <c r="E35" s="92"/>
      <c r="F35" s="93"/>
      <c r="G35" s="93"/>
      <c r="H35" s="93"/>
      <c r="I35" s="93"/>
      <c r="J35" s="93"/>
      <c r="K35" s="93">
        <v>35.799999999999997</v>
      </c>
      <c r="L35" s="93">
        <v>20.9</v>
      </c>
      <c r="M35" s="93"/>
      <c r="N35" s="93"/>
      <c r="O35" s="93"/>
      <c r="P35" s="94"/>
      <c r="Q35" s="78">
        <f t="shared" si="0"/>
        <v>56.699999999999996</v>
      </c>
      <c r="R35" s="71">
        <v>56.7</v>
      </c>
    </row>
    <row r="36" spans="1:18">
      <c r="C36" s="246" t="s">
        <v>299</v>
      </c>
      <c r="D36" s="247"/>
      <c r="E36" s="92"/>
      <c r="F36" s="93"/>
      <c r="G36" s="93"/>
      <c r="H36" s="93"/>
      <c r="I36" s="93"/>
      <c r="J36" s="93">
        <v>34.5</v>
      </c>
      <c r="K36" s="93">
        <v>56.2</v>
      </c>
      <c r="L36" s="93"/>
      <c r="M36" s="93"/>
      <c r="N36" s="93"/>
      <c r="O36" s="93"/>
      <c r="P36" s="94"/>
      <c r="Q36" s="78">
        <f t="shared" si="0"/>
        <v>90.7</v>
      </c>
      <c r="R36" s="71">
        <v>90.7</v>
      </c>
    </row>
    <row r="37" spans="1:18">
      <c r="C37" s="248" t="s">
        <v>300</v>
      </c>
      <c r="D37" s="249"/>
      <c r="E37" s="95"/>
      <c r="F37" s="96"/>
      <c r="G37" s="96"/>
      <c r="H37" s="96">
        <v>47.6</v>
      </c>
      <c r="I37" s="96"/>
      <c r="J37" s="96">
        <v>43.1</v>
      </c>
      <c r="K37" s="96"/>
      <c r="L37" s="96"/>
      <c r="M37" s="96"/>
      <c r="N37" s="96"/>
      <c r="O37" s="96"/>
      <c r="P37" s="97"/>
      <c r="Q37" s="79">
        <f t="shared" si="0"/>
        <v>90.7</v>
      </c>
      <c r="R37" s="72">
        <v>90.7</v>
      </c>
    </row>
    <row r="39" spans="1:18">
      <c r="C39" s="205" t="s">
        <v>301</v>
      </c>
      <c r="D39" s="213"/>
      <c r="E39" s="10">
        <f t="shared" ref="E39:Q39" si="1">SUM(E28:E37)</f>
        <v>405</v>
      </c>
      <c r="F39" s="10">
        <f t="shared" si="1"/>
        <v>176</v>
      </c>
      <c r="G39" s="10">
        <f t="shared" si="1"/>
        <v>0</v>
      </c>
      <c r="H39" s="10">
        <f t="shared" si="1"/>
        <v>139.30000000000001</v>
      </c>
      <c r="I39" s="10">
        <f t="shared" si="1"/>
        <v>0</v>
      </c>
      <c r="J39" s="10">
        <f t="shared" si="1"/>
        <v>185.6</v>
      </c>
      <c r="K39" s="10">
        <f t="shared" si="1"/>
        <v>141</v>
      </c>
      <c r="L39" s="10">
        <f t="shared" si="1"/>
        <v>34.5</v>
      </c>
      <c r="M39" s="10">
        <f t="shared" si="1"/>
        <v>4.5</v>
      </c>
      <c r="N39" s="10">
        <f t="shared" si="1"/>
        <v>9.5</v>
      </c>
      <c r="O39" s="10">
        <f t="shared" si="1"/>
        <v>53.5</v>
      </c>
      <c r="P39" s="10">
        <f t="shared" si="1"/>
        <v>10</v>
      </c>
      <c r="Q39" s="10">
        <f t="shared" si="1"/>
        <v>1158.8999999999999</v>
      </c>
      <c r="R39" s="7" t="s">
        <v>25</v>
      </c>
    </row>
    <row r="40" spans="1:18">
      <c r="C40" s="205" t="s">
        <v>269</v>
      </c>
      <c r="D40" s="213"/>
      <c r="E40" s="10">
        <f t="shared" ref="E40:P40" si="2">E39*E27</f>
        <v>11299.5</v>
      </c>
      <c r="F40" s="10">
        <f t="shared" si="2"/>
        <v>22352</v>
      </c>
      <c r="G40" s="10">
        <f t="shared" si="2"/>
        <v>0</v>
      </c>
      <c r="H40" s="10">
        <f t="shared" si="2"/>
        <v>28305.760000000002</v>
      </c>
      <c r="I40" s="10">
        <f t="shared" si="2"/>
        <v>0</v>
      </c>
      <c r="J40" s="10">
        <f t="shared" si="2"/>
        <v>56570.879999999997</v>
      </c>
      <c r="K40" s="10">
        <f t="shared" si="2"/>
        <v>60883.8</v>
      </c>
      <c r="L40" s="10">
        <f t="shared" si="2"/>
        <v>17526</v>
      </c>
      <c r="M40" s="10">
        <f t="shared" si="2"/>
        <v>2628.9</v>
      </c>
      <c r="N40" s="10">
        <f t="shared" si="2"/>
        <v>6273.8</v>
      </c>
      <c r="O40" s="10">
        <f t="shared" si="2"/>
        <v>39408.1</v>
      </c>
      <c r="P40" s="10">
        <f t="shared" si="2"/>
        <v>8001</v>
      </c>
      <c r="Q40" s="10">
        <f>SUM(E40:P40)</f>
        <v>253249.74</v>
      </c>
      <c r="R40" s="7" t="s">
        <v>302</v>
      </c>
    </row>
    <row r="41" spans="1:18">
      <c r="N41" s="58"/>
      <c r="O41" s="61"/>
    </row>
    <row r="42" spans="1:18">
      <c r="O42" s="205" t="s">
        <v>303</v>
      </c>
      <c r="P42" s="213"/>
      <c r="Q42" s="10">
        <f>Q40/Q39</f>
        <v>218.5259642764691</v>
      </c>
      <c r="R42" s="7" t="s">
        <v>304</v>
      </c>
    </row>
    <row r="43" spans="1:18" s="21" customFormat="1" ht="15" thickBot="1">
      <c r="A43" s="24"/>
    </row>
    <row r="44" spans="1:18">
      <c r="A44" s="164"/>
    </row>
    <row r="45" spans="1:18" ht="18.600000000000001">
      <c r="A45" s="121" t="s">
        <v>34</v>
      </c>
    </row>
    <row r="46" spans="1:18">
      <c r="A46" s="207" t="s">
        <v>271</v>
      </c>
    </row>
    <row r="47" spans="1:18">
      <c r="A47" s="214"/>
    </row>
    <row r="48" spans="1:18">
      <c r="A48" s="214"/>
    </row>
    <row r="49" spans="1:17">
      <c r="A49" s="214"/>
    </row>
    <row r="50" spans="1:17">
      <c r="A50" s="214"/>
    </row>
    <row r="51" spans="1:17">
      <c r="F51" s="5" t="s">
        <v>257</v>
      </c>
      <c r="G51" s="65" t="s">
        <v>260</v>
      </c>
    </row>
    <row r="52" spans="1:17">
      <c r="C52" s="251" t="s">
        <v>272</v>
      </c>
      <c r="D52" s="251"/>
      <c r="E52" s="247"/>
      <c r="F52" s="73">
        <v>185.4</v>
      </c>
      <c r="G52" s="74">
        <v>294.60000000000002</v>
      </c>
      <c r="H52" s="5" t="s">
        <v>257</v>
      </c>
      <c r="I52" s="44" t="s">
        <v>273</v>
      </c>
      <c r="J52" s="80">
        <f>Q40</f>
        <v>253249.74</v>
      </c>
    </row>
    <row r="53" spans="1:17">
      <c r="C53" s="251" t="s">
        <v>274</v>
      </c>
      <c r="D53" s="251"/>
      <c r="E53" s="247"/>
      <c r="F53" s="75">
        <v>1</v>
      </c>
      <c r="G53" s="76">
        <v>1</v>
      </c>
      <c r="H53" s="69" t="s">
        <v>260</v>
      </c>
      <c r="I53" s="44"/>
      <c r="J53" s="81">
        <f>Q39</f>
        <v>1158.8999999999999</v>
      </c>
    </row>
    <row r="55" spans="1:17">
      <c r="C55" s="206" t="s">
        <v>275</v>
      </c>
      <c r="D55" s="206"/>
      <c r="E55" s="206"/>
      <c r="F55" s="10">
        <f t="array" ref="F55:F56">MMULT(MINVERSE(F52:G53),J52:J53)</f>
        <v>807.34615384615427</v>
      </c>
    </row>
    <row r="56" spans="1:17">
      <c r="C56" s="248" t="s">
        <v>276</v>
      </c>
      <c r="D56" s="250"/>
      <c r="E56" s="249"/>
      <c r="F56" s="103">
        <v>351.55384615384583</v>
      </c>
    </row>
    <row r="58" spans="1:17">
      <c r="C58" s="205" t="s">
        <v>277</v>
      </c>
      <c r="D58" s="212"/>
      <c r="E58" s="212"/>
      <c r="F58" s="10">
        <f>F55*G27</f>
        <v>149681.97692307702</v>
      </c>
    </row>
    <row r="59" spans="1:17">
      <c r="C59" s="248" t="s">
        <v>278</v>
      </c>
      <c r="D59" s="250"/>
      <c r="E59" s="250"/>
      <c r="F59" s="103">
        <f>F56*I27</f>
        <v>103567.76307692299</v>
      </c>
    </row>
    <row r="61" spans="1:17" s="21" customFormat="1" ht="15" thickBot="1">
      <c r="A61" s="24"/>
    </row>
    <row r="62" spans="1:17">
      <c r="A62" s="164"/>
    </row>
    <row r="63" spans="1:17" ht="18.600000000000001">
      <c r="A63" s="121" t="s">
        <v>162</v>
      </c>
      <c r="C63" s="206" t="s">
        <v>279</v>
      </c>
      <c r="D63" s="206"/>
      <c r="E63" s="206"/>
      <c r="F63" s="206"/>
      <c r="G63" s="206"/>
      <c r="H63" s="206"/>
      <c r="I63" s="206"/>
      <c r="J63" s="206"/>
      <c r="K63" s="206"/>
      <c r="L63" s="206"/>
      <c r="M63" s="206"/>
      <c r="N63" s="206"/>
      <c r="O63" s="206"/>
      <c r="P63" s="206"/>
      <c r="Q63" s="206"/>
    </row>
    <row r="64" spans="1:17">
      <c r="A64" s="207" t="s">
        <v>280</v>
      </c>
      <c r="C64" s="13" t="s">
        <v>281</v>
      </c>
      <c r="D64" s="98">
        <v>0</v>
      </c>
      <c r="E64" s="98">
        <v>27.9</v>
      </c>
      <c r="F64" s="98">
        <v>127</v>
      </c>
      <c r="G64" s="98">
        <v>185.4</v>
      </c>
      <c r="H64" s="98">
        <v>203.2</v>
      </c>
      <c r="I64" s="98">
        <v>294.60000000000002</v>
      </c>
      <c r="J64" s="98">
        <v>304.8</v>
      </c>
      <c r="K64" s="98">
        <v>431.8</v>
      </c>
      <c r="L64" s="98">
        <v>508</v>
      </c>
      <c r="M64" s="98">
        <v>584.20000000000005</v>
      </c>
      <c r="N64" s="98">
        <v>660.4</v>
      </c>
      <c r="O64" s="98">
        <v>736.6</v>
      </c>
      <c r="P64" s="98">
        <v>800.1</v>
      </c>
      <c r="Q64" s="13" t="s">
        <v>282</v>
      </c>
    </row>
    <row r="65" spans="1:22">
      <c r="A65" s="214"/>
      <c r="C65" s="5" t="s">
        <v>305</v>
      </c>
      <c r="D65" s="10">
        <v>0</v>
      </c>
      <c r="E65" s="10">
        <f t="shared" ref="E65:P65" si="3">-E39*9.81</f>
        <v>-3973.05</v>
      </c>
      <c r="F65" s="10">
        <f t="shared" si="3"/>
        <v>-1726.5600000000002</v>
      </c>
      <c r="G65" s="10">
        <f t="shared" si="3"/>
        <v>0</v>
      </c>
      <c r="H65" s="10">
        <f t="shared" si="3"/>
        <v>-1366.5330000000001</v>
      </c>
      <c r="I65" s="10">
        <f t="shared" si="3"/>
        <v>0</v>
      </c>
      <c r="J65" s="10">
        <f t="shared" si="3"/>
        <v>-1820.7360000000001</v>
      </c>
      <c r="K65" s="10">
        <f t="shared" si="3"/>
        <v>-1383.21</v>
      </c>
      <c r="L65" s="10">
        <f t="shared" si="3"/>
        <v>-338.44499999999999</v>
      </c>
      <c r="M65" s="10">
        <f t="shared" si="3"/>
        <v>-44.145000000000003</v>
      </c>
      <c r="N65" s="10">
        <f t="shared" si="3"/>
        <v>-93.195000000000007</v>
      </c>
      <c r="O65" s="10">
        <f t="shared" si="3"/>
        <v>-524.83500000000004</v>
      </c>
      <c r="P65" s="10">
        <f t="shared" si="3"/>
        <v>-98.100000000000009</v>
      </c>
      <c r="Q65" s="35">
        <f>SUM(D65:P65)</f>
        <v>-11368.808999999999</v>
      </c>
    </row>
    <row r="66" spans="1:22">
      <c r="A66" s="214"/>
      <c r="C66" s="5" t="s">
        <v>306</v>
      </c>
      <c r="D66" s="10">
        <v>0</v>
      </c>
      <c r="E66" s="10">
        <v>0</v>
      </c>
      <c r="F66" s="10">
        <v>0</v>
      </c>
      <c r="G66" s="10">
        <f>F55*9.81</f>
        <v>7920.0657692307741</v>
      </c>
      <c r="H66" s="10">
        <v>0</v>
      </c>
      <c r="I66" s="10">
        <f>F56*9.81</f>
        <v>3448.7432307692279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35">
        <f>SUM(D66:P66)</f>
        <v>11368.809000000001</v>
      </c>
      <c r="T66" s="59"/>
      <c r="U66" s="45"/>
      <c r="V66" s="45"/>
    </row>
    <row r="67" spans="1:22">
      <c r="A67" s="214"/>
      <c r="C67" s="5" t="s">
        <v>307</v>
      </c>
      <c r="D67" s="10">
        <v>0</v>
      </c>
      <c r="E67" s="10">
        <f>E65+E66</f>
        <v>-3973.05</v>
      </c>
      <c r="F67" s="10">
        <f t="shared" ref="F67:P67" si="4">F65+F66</f>
        <v>-1726.5600000000002</v>
      </c>
      <c r="G67" s="10">
        <f t="shared" si="4"/>
        <v>7920.0657692307741</v>
      </c>
      <c r="H67" s="10">
        <f t="shared" si="4"/>
        <v>-1366.5330000000001</v>
      </c>
      <c r="I67" s="10">
        <f t="shared" si="4"/>
        <v>3448.7432307692279</v>
      </c>
      <c r="J67" s="10">
        <f t="shared" si="4"/>
        <v>-1820.7360000000001</v>
      </c>
      <c r="K67" s="10">
        <f t="shared" si="4"/>
        <v>-1383.21</v>
      </c>
      <c r="L67" s="10">
        <f t="shared" si="4"/>
        <v>-338.44499999999999</v>
      </c>
      <c r="M67" s="10">
        <f t="shared" si="4"/>
        <v>-44.145000000000003</v>
      </c>
      <c r="N67" s="10">
        <f t="shared" si="4"/>
        <v>-93.195000000000007</v>
      </c>
      <c r="O67" s="10">
        <f t="shared" si="4"/>
        <v>-524.83500000000004</v>
      </c>
      <c r="P67" s="10">
        <f t="shared" si="4"/>
        <v>-98.100000000000009</v>
      </c>
      <c r="Q67" s="35">
        <f>SUM(D67:P67)</f>
        <v>1.1510792319313623E-12</v>
      </c>
      <c r="T67" s="59"/>
      <c r="U67" s="45"/>
      <c r="V67" s="45"/>
    </row>
    <row r="68" spans="1:22">
      <c r="A68" s="214"/>
      <c r="C68" s="5" t="s">
        <v>140</v>
      </c>
      <c r="D68" s="10">
        <f>SUM($D$67:D67)</f>
        <v>0</v>
      </c>
      <c r="E68" s="10">
        <f>SUM($D$67:E67)</f>
        <v>-3973.05</v>
      </c>
      <c r="F68" s="10">
        <f>SUM($D$67:F67)</f>
        <v>-5699.6100000000006</v>
      </c>
      <c r="G68" s="10">
        <f>SUM($D$67:G67)</f>
        <v>2220.4557692307735</v>
      </c>
      <c r="H68" s="10">
        <f>SUM($D$67:H67)</f>
        <v>853.92276923077338</v>
      </c>
      <c r="I68" s="10">
        <f>SUM($D$67:I67)</f>
        <v>4302.6660000000011</v>
      </c>
      <c r="J68" s="10">
        <f>SUM($D$67:J67)</f>
        <v>2481.9300000000012</v>
      </c>
      <c r="K68" s="10">
        <f>SUM($D$67:K67)</f>
        <v>1098.7200000000012</v>
      </c>
      <c r="L68" s="10">
        <f>SUM($D$67:L67)</f>
        <v>760.27500000000123</v>
      </c>
      <c r="M68" s="10">
        <f>SUM($D$67:M67)</f>
        <v>716.13000000000125</v>
      </c>
      <c r="N68" s="10">
        <f>SUM($D$67:N67)</f>
        <v>622.9350000000012</v>
      </c>
      <c r="O68" s="10">
        <f>SUM($D$67:O67)</f>
        <v>98.10000000000116</v>
      </c>
      <c r="P68" s="10">
        <f>SUM($D$67:P67)</f>
        <v>1.1510792319313623E-12</v>
      </c>
      <c r="Q68" s="45"/>
      <c r="T68" s="59"/>
      <c r="U68" s="45"/>
      <c r="V68" s="45"/>
    </row>
    <row r="69" spans="1:22">
      <c r="C69" s="5" t="s">
        <v>284</v>
      </c>
      <c r="D69" s="10">
        <v>0</v>
      </c>
      <c r="E69" s="10">
        <f>(D68*(E64-D64)+(E68-D68)*(E64-D64)/2)/100</f>
        <v>-554.24047500000006</v>
      </c>
      <c r="F69" s="10">
        <f t="shared" ref="F69:P69" si="5">(E68*(F64-E64)+(F68-E68)*(F64-E64)/2)/100</f>
        <v>-4792.80303</v>
      </c>
      <c r="G69" s="10">
        <f>(F68*(G64-F64)+(G68-F68)*(G64-F64)/2)/100</f>
        <v>-1015.9130353846142</v>
      </c>
      <c r="H69" s="10">
        <f t="shared" si="5"/>
        <v>273.61968992307743</v>
      </c>
      <c r="I69" s="10">
        <f t="shared" si="5"/>
        <v>2356.5610675384651</v>
      </c>
      <c r="J69" s="10">
        <f t="shared" si="5"/>
        <v>346.01439599999975</v>
      </c>
      <c r="K69" s="10">
        <f t="shared" si="5"/>
        <v>2273.7127500000015</v>
      </c>
      <c r="L69" s="10">
        <f t="shared" si="5"/>
        <v>708.27709500000083</v>
      </c>
      <c r="M69" s="10">
        <f t="shared" si="5"/>
        <v>562.51030500000127</v>
      </c>
      <c r="N69" s="10">
        <f t="shared" si="5"/>
        <v>510.18376500000045</v>
      </c>
      <c r="O69" s="10">
        <f t="shared" si="5"/>
        <v>274.71433500000109</v>
      </c>
      <c r="P69" s="10">
        <f t="shared" si="5"/>
        <v>31.14675000000074</v>
      </c>
      <c r="Q69" s="45"/>
      <c r="T69" s="59"/>
      <c r="U69" s="45"/>
      <c r="V69" s="45"/>
    </row>
    <row r="70" spans="1:22">
      <c r="C70" s="5" t="s">
        <v>285</v>
      </c>
      <c r="D70" s="10">
        <f>SUM($D$69:D69)</f>
        <v>0</v>
      </c>
      <c r="E70" s="10">
        <f>SUM($D$69:E69)</f>
        <v>-554.24047500000006</v>
      </c>
      <c r="F70" s="10">
        <f>SUM($D$69:F69)</f>
        <v>-5347.0435049999996</v>
      </c>
      <c r="G70" s="10">
        <f>SUM($D$69:G69)</f>
        <v>-6362.9565403846136</v>
      </c>
      <c r="H70" s="10">
        <f>SUM($D$69:H69)</f>
        <v>-6089.3368504615364</v>
      </c>
      <c r="I70" s="10">
        <f>SUM($D$69:I69)</f>
        <v>-3732.7757829230713</v>
      </c>
      <c r="J70" s="10">
        <f>SUM($D$69:J69)</f>
        <v>-3386.7613869230718</v>
      </c>
      <c r="K70" s="10">
        <f>SUM($D$69:K69)</f>
        <v>-1113.0486369230703</v>
      </c>
      <c r="L70" s="10">
        <f>SUM($D$69:L69)</f>
        <v>-404.77154192306944</v>
      </c>
      <c r="M70" s="10">
        <f>SUM($D$69:M69)</f>
        <v>157.73876307693183</v>
      </c>
      <c r="N70" s="10">
        <f>SUM($D$69:N69)</f>
        <v>667.92252807693228</v>
      </c>
      <c r="O70" s="10">
        <f>SUM($D$69:O69)</f>
        <v>942.63686307693342</v>
      </c>
      <c r="P70" s="10">
        <f>SUM($D$69:P69)</f>
        <v>973.78361307693422</v>
      </c>
      <c r="Q70" s="45"/>
      <c r="T70" s="59"/>
      <c r="U70" s="45"/>
      <c r="V70" s="45"/>
    </row>
    <row r="71" spans="1:22">
      <c r="G71" s="59"/>
      <c r="H71" s="45"/>
      <c r="I71" s="45"/>
      <c r="T71" s="59"/>
      <c r="U71" s="45"/>
      <c r="V71" s="45"/>
    </row>
    <row r="72" spans="1:22">
      <c r="T72" s="59"/>
      <c r="U72" s="45"/>
      <c r="V72" s="45"/>
    </row>
    <row r="73" spans="1:22">
      <c r="T73" s="59"/>
      <c r="U73" s="45"/>
      <c r="V73" s="45"/>
    </row>
    <row r="74" spans="1:22">
      <c r="T74" s="59"/>
      <c r="U74" s="45"/>
      <c r="V74" s="45"/>
    </row>
  </sheetData>
  <mergeCells count="32">
    <mergeCell ref="A46:A50"/>
    <mergeCell ref="A64:A68"/>
    <mergeCell ref="B1:E1"/>
    <mergeCell ref="F1:G1"/>
    <mergeCell ref="H1:Z1"/>
    <mergeCell ref="C29:D29"/>
    <mergeCell ref="C30:D30"/>
    <mergeCell ref="R26:R27"/>
    <mergeCell ref="Q26:Q27"/>
    <mergeCell ref="C21:N21"/>
    <mergeCell ref="C27:D27"/>
    <mergeCell ref="C28:D28"/>
    <mergeCell ref="E26:P26"/>
    <mergeCell ref="A4:A7"/>
    <mergeCell ref="A27:A30"/>
    <mergeCell ref="O42:P42"/>
    <mergeCell ref="C31:D31"/>
    <mergeCell ref="C32:D32"/>
    <mergeCell ref="C33:D33"/>
    <mergeCell ref="C34:D34"/>
    <mergeCell ref="C35:D35"/>
    <mergeCell ref="C36:D36"/>
    <mergeCell ref="C37:D37"/>
    <mergeCell ref="C59:E59"/>
    <mergeCell ref="C63:Q63"/>
    <mergeCell ref="C52:E52"/>
    <mergeCell ref="C53:E53"/>
    <mergeCell ref="C55:E55"/>
    <mergeCell ref="C56:E56"/>
    <mergeCell ref="C58:E58"/>
    <mergeCell ref="C40:D40"/>
    <mergeCell ref="C39:D39"/>
  </mergeCells>
  <phoneticPr fontId="3" type="noConversion"/>
  <conditionalFormatting sqref="Q28:Q37">
    <cfRule type="expression" dxfId="3" priority="4">
      <formula>$R28&lt;$Q28</formula>
    </cfRule>
  </conditionalFormatting>
  <conditionalFormatting sqref="R29">
    <cfRule type="expression" dxfId="2" priority="2">
      <formula>$R$29&lt;$Q$29</formula>
    </cfRule>
  </conditionalFormatting>
  <conditionalFormatting sqref="R30">
    <cfRule type="expression" dxfId="1" priority="3">
      <formula>$R$30&lt;$Q$30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9ABA8-1DD6-4E55-83D7-3F4133803DFD}">
  <dimension ref="A1:Z87"/>
  <sheetViews>
    <sheetView zoomScale="82" zoomScaleNormal="70" workbookViewId="0">
      <pane xSplit="1" ySplit="1" topLeftCell="B72" activePane="bottomRight" state="frozen"/>
      <selection pane="bottomRight" activeCell="P23" sqref="P23"/>
      <selection pane="bottomLeft" activeCell="A2" sqref="A2"/>
      <selection pane="topRight" activeCell="B1" sqref="B1"/>
    </sheetView>
  </sheetViews>
  <sheetFormatPr defaultColWidth="8.875" defaultRowHeight="14.45"/>
  <cols>
    <col min="1" max="1" width="25.875" style="68" customWidth="1"/>
    <col min="2" max="2" width="10.375" style="4" customWidth="1"/>
    <col min="3" max="3" width="12.625" style="4" customWidth="1"/>
    <col min="4" max="4" width="12.375" style="4" customWidth="1"/>
    <col min="5" max="5" width="14.375" style="4" customWidth="1"/>
    <col min="6" max="6" width="11" style="4" customWidth="1"/>
    <col min="7" max="7" width="10.375" style="4" customWidth="1"/>
    <col min="8" max="8" width="10" style="4" customWidth="1"/>
    <col min="9" max="9" width="10" style="4" bestFit="1" customWidth="1"/>
    <col min="10" max="10" width="10.375" style="4" bestFit="1" customWidth="1"/>
    <col min="11" max="11" width="10" style="4" bestFit="1" customWidth="1"/>
    <col min="12" max="12" width="12.375" style="4" customWidth="1"/>
    <col min="13" max="13" width="11.375" style="4" customWidth="1"/>
    <col min="14" max="15" width="11.125" style="4" customWidth="1"/>
    <col min="16" max="16" width="11.375" style="4" customWidth="1"/>
    <col min="17" max="17" width="10.875" style="4" customWidth="1"/>
    <col min="18" max="18" width="9.375" style="4" bestFit="1" customWidth="1"/>
    <col min="19" max="19" width="9.125" style="4" bestFit="1" customWidth="1"/>
    <col min="20" max="20" width="10" style="4" bestFit="1" customWidth="1"/>
    <col min="21" max="16384" width="8.875" style="4"/>
  </cols>
  <sheetData>
    <row r="1" spans="1:26" s="66" customFormat="1" ht="39" customHeight="1" thickBot="1">
      <c r="A1" s="163"/>
      <c r="B1" s="211" t="s">
        <v>14</v>
      </c>
      <c r="C1" s="219"/>
      <c r="D1" s="219"/>
      <c r="E1" s="220"/>
      <c r="F1" s="252" t="s">
        <v>1</v>
      </c>
      <c r="G1" s="252"/>
      <c r="H1" s="239" t="s">
        <v>308</v>
      </c>
      <c r="I1" s="261"/>
      <c r="J1" s="261"/>
      <c r="K1" s="261"/>
      <c r="L1" s="261"/>
      <c r="M1" s="261"/>
      <c r="N1" s="261"/>
      <c r="O1" s="261"/>
      <c r="P1" s="261"/>
      <c r="Q1" s="261"/>
      <c r="R1" s="261"/>
      <c r="S1" s="261"/>
      <c r="T1" s="261"/>
      <c r="U1" s="261"/>
      <c r="V1" s="261"/>
      <c r="W1" s="261"/>
      <c r="X1" s="261"/>
      <c r="Y1" s="261"/>
      <c r="Z1" s="261"/>
    </row>
    <row r="3" spans="1:26" ht="18.600000000000001">
      <c r="A3" s="165" t="s">
        <v>38</v>
      </c>
    </row>
    <row r="4" spans="1:26">
      <c r="A4" s="259" t="s">
        <v>259</v>
      </c>
    </row>
    <row r="5" spans="1:26">
      <c r="A5" s="269"/>
    </row>
    <row r="6" spans="1:26">
      <c r="A6" s="269"/>
    </row>
    <row r="7" spans="1:26">
      <c r="A7" s="269"/>
    </row>
    <row r="8" spans="1:26">
      <c r="A8" s="269"/>
    </row>
    <row r="22" spans="1:18">
      <c r="C22" s="284" t="s">
        <v>262</v>
      </c>
      <c r="D22" s="284"/>
      <c r="E22" s="284"/>
      <c r="F22" s="284"/>
      <c r="G22" s="284"/>
      <c r="H22" s="284"/>
      <c r="I22" s="284"/>
      <c r="J22" s="284"/>
      <c r="K22" s="284"/>
      <c r="L22" s="284"/>
      <c r="M22" s="284"/>
      <c r="N22" s="284"/>
    </row>
    <row r="23" spans="1:18">
      <c r="C23" s="99">
        <v>27.9</v>
      </c>
      <c r="D23" s="99">
        <v>127</v>
      </c>
      <c r="E23" s="99">
        <v>185.4</v>
      </c>
      <c r="F23" s="99">
        <v>203.2</v>
      </c>
      <c r="G23" s="99">
        <v>294.60000000000002</v>
      </c>
      <c r="H23" s="99">
        <v>304.8</v>
      </c>
      <c r="I23" s="99">
        <v>431.8</v>
      </c>
      <c r="J23" s="99">
        <v>508</v>
      </c>
      <c r="K23" s="99">
        <v>584.20000000000005</v>
      </c>
      <c r="L23" s="99">
        <v>660.4</v>
      </c>
      <c r="M23" s="99">
        <v>736.6</v>
      </c>
      <c r="N23" s="99">
        <v>800.1</v>
      </c>
    </row>
    <row r="24" spans="1:18">
      <c r="C24" s="285"/>
      <c r="D24" s="85"/>
      <c r="E24" s="85"/>
      <c r="F24" s="85" t="s">
        <v>309</v>
      </c>
      <c r="G24" s="85"/>
      <c r="H24" s="85"/>
      <c r="I24" s="85"/>
      <c r="J24" s="85"/>
      <c r="K24" s="85"/>
      <c r="L24" s="85"/>
      <c r="M24" s="85" t="s">
        <v>263</v>
      </c>
      <c r="N24" s="286"/>
    </row>
    <row r="25" spans="1:18" s="21" customFormat="1" ht="15" thickBot="1">
      <c r="A25" s="166"/>
    </row>
    <row r="27" spans="1:18" ht="18.600000000000001">
      <c r="A27" s="165" t="s">
        <v>32</v>
      </c>
      <c r="E27" s="264" t="s">
        <v>262</v>
      </c>
      <c r="F27" s="264"/>
      <c r="G27" s="264"/>
      <c r="H27" s="264"/>
      <c r="I27" s="264"/>
      <c r="J27" s="264"/>
      <c r="K27" s="264"/>
      <c r="L27" s="264"/>
      <c r="M27" s="264"/>
      <c r="N27" s="264"/>
      <c r="O27" s="264"/>
      <c r="P27" s="264"/>
      <c r="Q27" s="253" t="s">
        <v>310</v>
      </c>
      <c r="R27" s="263" t="s">
        <v>288</v>
      </c>
    </row>
    <row r="28" spans="1:18">
      <c r="A28" s="259" t="s">
        <v>311</v>
      </c>
      <c r="C28" s="257" t="s">
        <v>312</v>
      </c>
      <c r="D28" s="258"/>
      <c r="E28" s="100">
        <v>27.9</v>
      </c>
      <c r="F28" s="101">
        <v>127</v>
      </c>
      <c r="G28" s="101">
        <v>185.4</v>
      </c>
      <c r="H28" s="101">
        <v>203.2</v>
      </c>
      <c r="I28" s="101">
        <v>294.60000000000002</v>
      </c>
      <c r="J28" s="101">
        <v>304.8</v>
      </c>
      <c r="K28" s="101">
        <v>431.8</v>
      </c>
      <c r="L28" s="101">
        <v>508</v>
      </c>
      <c r="M28" s="101">
        <v>584.20000000000005</v>
      </c>
      <c r="N28" s="101">
        <v>660.4</v>
      </c>
      <c r="O28" s="101">
        <v>736.6</v>
      </c>
      <c r="P28" s="102">
        <v>800.1</v>
      </c>
      <c r="Q28" s="262"/>
      <c r="R28" s="262"/>
    </row>
    <row r="29" spans="1:18">
      <c r="A29" s="269"/>
      <c r="C29" s="246" t="s">
        <v>291</v>
      </c>
      <c r="D29" s="247"/>
      <c r="E29" s="92">
        <v>396.4</v>
      </c>
      <c r="F29" s="93">
        <v>102.5</v>
      </c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77">
        <f t="shared" ref="Q29:Q38" si="0">SUM(E29:P29)</f>
        <v>498.9</v>
      </c>
      <c r="R29" s="70">
        <v>499</v>
      </c>
    </row>
    <row r="30" spans="1:18">
      <c r="A30" s="269"/>
      <c r="C30" s="246" t="s">
        <v>292</v>
      </c>
      <c r="D30" s="247"/>
      <c r="E30" s="92">
        <v>8.6</v>
      </c>
      <c r="F30" s="93">
        <v>36.299999999999997</v>
      </c>
      <c r="G30" s="93"/>
      <c r="H30" s="93">
        <v>35.4</v>
      </c>
      <c r="I30" s="93"/>
      <c r="J30" s="93">
        <v>29.5</v>
      </c>
      <c r="K30" s="93">
        <v>23.6</v>
      </c>
      <c r="L30" s="93">
        <v>13.6</v>
      </c>
      <c r="M30" s="93">
        <v>4.5</v>
      </c>
      <c r="N30" s="93">
        <v>4.5</v>
      </c>
      <c r="O30" s="93">
        <v>2.7</v>
      </c>
      <c r="P30" s="93">
        <v>0</v>
      </c>
      <c r="Q30" s="78">
        <f t="shared" si="0"/>
        <v>158.69999999999999</v>
      </c>
      <c r="R30" s="71">
        <v>158.80000000000001</v>
      </c>
    </row>
    <row r="31" spans="1:18">
      <c r="A31" s="269"/>
      <c r="C31" s="246" t="s">
        <v>293</v>
      </c>
      <c r="D31" s="247"/>
      <c r="E31" s="92"/>
      <c r="F31" s="93"/>
      <c r="G31" s="93"/>
      <c r="H31" s="93"/>
      <c r="I31" s="93"/>
      <c r="J31" s="93"/>
      <c r="K31" s="93"/>
      <c r="L31" s="93"/>
      <c r="M31" s="93"/>
      <c r="N31" s="93">
        <v>5</v>
      </c>
      <c r="O31" s="93">
        <v>44.9</v>
      </c>
      <c r="P31" s="93"/>
      <c r="Q31" s="78">
        <f t="shared" si="0"/>
        <v>49.9</v>
      </c>
      <c r="R31" s="71">
        <v>49.9</v>
      </c>
    </row>
    <row r="32" spans="1:18">
      <c r="A32" s="269"/>
      <c r="C32" s="246" t="s">
        <v>294</v>
      </c>
      <c r="D32" s="247"/>
      <c r="E32" s="92"/>
      <c r="F32" s="93"/>
      <c r="G32" s="93"/>
      <c r="H32" s="93"/>
      <c r="I32" s="93"/>
      <c r="J32" s="93">
        <v>33.1</v>
      </c>
      <c r="K32" s="93">
        <v>5.4</v>
      </c>
      <c r="L32" s="93"/>
      <c r="M32" s="93"/>
      <c r="N32" s="93"/>
      <c r="O32" s="93"/>
      <c r="P32" s="93"/>
      <c r="Q32" s="78">
        <f t="shared" si="0"/>
        <v>38.5</v>
      </c>
      <c r="R32" s="71">
        <v>38.6</v>
      </c>
    </row>
    <row r="33" spans="1:18">
      <c r="A33" s="269"/>
      <c r="C33" s="246" t="s">
        <v>295</v>
      </c>
      <c r="D33" s="247"/>
      <c r="E33" s="92"/>
      <c r="F33" s="93">
        <v>37.200000000000003</v>
      </c>
      <c r="G33" s="93"/>
      <c r="H33" s="93">
        <v>21.8</v>
      </c>
      <c r="I33" s="93"/>
      <c r="J33" s="93"/>
      <c r="K33" s="93"/>
      <c r="L33" s="93"/>
      <c r="M33" s="93"/>
      <c r="N33" s="93"/>
      <c r="O33" s="93"/>
      <c r="P33" s="93"/>
      <c r="Q33" s="78">
        <f t="shared" si="0"/>
        <v>59</v>
      </c>
      <c r="R33" s="71">
        <v>59</v>
      </c>
    </row>
    <row r="34" spans="1:18">
      <c r="A34" s="269"/>
      <c r="C34" s="246" t="s">
        <v>296</v>
      </c>
      <c r="D34" s="247"/>
      <c r="E34" s="92"/>
      <c r="F34" s="93"/>
      <c r="G34" s="93"/>
      <c r="H34" s="93"/>
      <c r="I34" s="93"/>
      <c r="J34" s="93"/>
      <c r="K34" s="93"/>
      <c r="L34" s="93"/>
      <c r="M34" s="93"/>
      <c r="N34" s="93"/>
      <c r="O34" s="93">
        <v>5.9</v>
      </c>
      <c r="P34" s="93">
        <v>10</v>
      </c>
      <c r="Q34" s="78">
        <f t="shared" si="0"/>
        <v>15.9</v>
      </c>
      <c r="R34" s="71">
        <v>15.9</v>
      </c>
    </row>
    <row r="35" spans="1:18">
      <c r="A35" s="269"/>
      <c r="C35" s="246" t="s">
        <v>297</v>
      </c>
      <c r="D35" s="247"/>
      <c r="E35" s="92"/>
      <c r="F35" s="93"/>
      <c r="G35" s="93"/>
      <c r="H35" s="93">
        <v>34.5</v>
      </c>
      <c r="I35" s="93"/>
      <c r="J35" s="93">
        <v>45.4</v>
      </c>
      <c r="K35" s="93">
        <v>20</v>
      </c>
      <c r="L35" s="93"/>
      <c r="M35" s="93"/>
      <c r="N35" s="93"/>
      <c r="O35" s="93"/>
      <c r="P35" s="93"/>
      <c r="Q35" s="78">
        <f t="shared" si="0"/>
        <v>99.9</v>
      </c>
      <c r="R35" s="71">
        <v>99.8</v>
      </c>
    </row>
    <row r="36" spans="1:18">
      <c r="C36" s="246" t="s">
        <v>298</v>
      </c>
      <c r="D36" s="247"/>
      <c r="E36" s="92"/>
      <c r="F36" s="93"/>
      <c r="G36" s="93"/>
      <c r="H36" s="93"/>
      <c r="I36" s="93"/>
      <c r="J36" s="93"/>
      <c r="K36" s="93">
        <v>35.799999999999997</v>
      </c>
      <c r="L36" s="93">
        <v>20.9</v>
      </c>
      <c r="M36" s="93"/>
      <c r="N36" s="93"/>
      <c r="O36" s="93"/>
      <c r="P36" s="93"/>
      <c r="Q36" s="78">
        <f t="shared" si="0"/>
        <v>56.699999999999996</v>
      </c>
      <c r="R36" s="71">
        <v>56.7</v>
      </c>
    </row>
    <row r="37" spans="1:18">
      <c r="C37" s="246" t="s">
        <v>299</v>
      </c>
      <c r="D37" s="247"/>
      <c r="E37" s="92"/>
      <c r="F37" s="93"/>
      <c r="G37" s="93"/>
      <c r="H37" s="93"/>
      <c r="I37" s="93"/>
      <c r="J37" s="93">
        <v>34.5</v>
      </c>
      <c r="K37" s="93">
        <v>56.2</v>
      </c>
      <c r="L37" s="93"/>
      <c r="M37" s="93"/>
      <c r="N37" s="93"/>
      <c r="O37" s="93"/>
      <c r="P37" s="93"/>
      <c r="Q37" s="78">
        <f t="shared" si="0"/>
        <v>90.7</v>
      </c>
      <c r="R37" s="71">
        <v>90.7</v>
      </c>
    </row>
    <row r="38" spans="1:18">
      <c r="C38" s="248" t="s">
        <v>300</v>
      </c>
      <c r="D38" s="249"/>
      <c r="E38" s="95"/>
      <c r="F38" s="96"/>
      <c r="G38" s="96"/>
      <c r="H38" s="96">
        <v>47.6</v>
      </c>
      <c r="I38" s="96"/>
      <c r="J38" s="96">
        <v>43.1</v>
      </c>
      <c r="K38" s="96"/>
      <c r="L38" s="96"/>
      <c r="M38" s="96"/>
      <c r="N38" s="96"/>
      <c r="O38" s="96"/>
      <c r="P38" s="96"/>
      <c r="Q38" s="79">
        <f t="shared" si="0"/>
        <v>90.7</v>
      </c>
      <c r="R38" s="72">
        <v>90.7</v>
      </c>
    </row>
    <row r="40" spans="1:18">
      <c r="C40" s="205" t="s">
        <v>313</v>
      </c>
      <c r="D40" s="213"/>
      <c r="E40" s="10">
        <f t="shared" ref="E40:P40" si="1">SUM(E29:E38)</f>
        <v>405</v>
      </c>
      <c r="F40" s="10">
        <f t="shared" si="1"/>
        <v>176</v>
      </c>
      <c r="G40" s="10">
        <f t="shared" si="1"/>
        <v>0</v>
      </c>
      <c r="H40" s="10">
        <f t="shared" si="1"/>
        <v>139.30000000000001</v>
      </c>
      <c r="I40" s="10">
        <f t="shared" si="1"/>
        <v>0</v>
      </c>
      <c r="J40" s="10">
        <f t="shared" si="1"/>
        <v>185.6</v>
      </c>
      <c r="K40" s="10">
        <f t="shared" si="1"/>
        <v>141</v>
      </c>
      <c r="L40" s="10">
        <f t="shared" si="1"/>
        <v>34.5</v>
      </c>
      <c r="M40" s="10">
        <f t="shared" si="1"/>
        <v>4.5</v>
      </c>
      <c r="N40" s="10">
        <f t="shared" si="1"/>
        <v>9.5</v>
      </c>
      <c r="O40" s="10">
        <f t="shared" si="1"/>
        <v>53.5</v>
      </c>
      <c r="P40" s="10">
        <f t="shared" si="1"/>
        <v>10</v>
      </c>
      <c r="Q40" s="10">
        <f>SUM(E40:P40)</f>
        <v>1158.9000000000001</v>
      </c>
      <c r="R40" s="7" t="s">
        <v>25</v>
      </c>
    </row>
    <row r="41" spans="1:18">
      <c r="C41" s="206" t="s">
        <v>314</v>
      </c>
      <c r="D41" s="206"/>
      <c r="E41" s="10">
        <f t="shared" ref="E41:P41" si="2">E40*E28</f>
        <v>11299.5</v>
      </c>
      <c r="F41" s="10">
        <f t="shared" si="2"/>
        <v>22352</v>
      </c>
      <c r="G41" s="10">
        <f t="shared" si="2"/>
        <v>0</v>
      </c>
      <c r="H41" s="10">
        <f t="shared" si="2"/>
        <v>28305.760000000002</v>
      </c>
      <c r="I41" s="10">
        <f t="shared" si="2"/>
        <v>0</v>
      </c>
      <c r="J41" s="10">
        <f t="shared" si="2"/>
        <v>56570.879999999997</v>
      </c>
      <c r="K41" s="10">
        <f t="shared" si="2"/>
        <v>60883.8</v>
      </c>
      <c r="L41" s="10">
        <f t="shared" si="2"/>
        <v>17526</v>
      </c>
      <c r="M41" s="10">
        <f t="shared" si="2"/>
        <v>2628.9</v>
      </c>
      <c r="N41" s="10">
        <f t="shared" si="2"/>
        <v>6273.8</v>
      </c>
      <c r="O41" s="10">
        <f t="shared" si="2"/>
        <v>39408.1</v>
      </c>
      <c r="P41" s="10">
        <f t="shared" si="2"/>
        <v>8001</v>
      </c>
      <c r="Q41" s="10">
        <f>SUM(E41:P41)</f>
        <v>253249.74</v>
      </c>
      <c r="R41" s="7" t="s">
        <v>302</v>
      </c>
    </row>
    <row r="42" spans="1:18" s="21" customFormat="1" ht="15" thickBot="1">
      <c r="A42" s="166"/>
    </row>
    <row r="44" spans="1:18" ht="18.600000000000001">
      <c r="A44" s="165" t="s">
        <v>34</v>
      </c>
      <c r="C44" s="205" t="s">
        <v>315</v>
      </c>
      <c r="D44" s="212"/>
      <c r="E44" s="212"/>
      <c r="F44" s="213"/>
    </row>
    <row r="45" spans="1:18">
      <c r="A45" s="259" t="s">
        <v>316</v>
      </c>
      <c r="C45" s="205" t="s">
        <v>267</v>
      </c>
      <c r="D45" s="213"/>
      <c r="E45" s="87">
        <v>0</v>
      </c>
      <c r="F45" s="79">
        <f>-E45</f>
        <v>0</v>
      </c>
      <c r="G45" s="7" t="s">
        <v>25</v>
      </c>
      <c r="H45" s="109"/>
    </row>
    <row r="46" spans="1:18">
      <c r="A46" s="269"/>
    </row>
    <row r="47" spans="1:18">
      <c r="A47" s="269"/>
      <c r="C47" s="205" t="s">
        <v>317</v>
      </c>
      <c r="D47" s="212"/>
      <c r="E47" s="212"/>
      <c r="F47" s="213"/>
    </row>
    <row r="48" spans="1:18">
      <c r="A48" s="269"/>
      <c r="C48" s="205" t="s">
        <v>318</v>
      </c>
      <c r="D48" s="213"/>
      <c r="E48" s="86">
        <v>1</v>
      </c>
      <c r="F48" s="84"/>
    </row>
    <row r="49" spans="1:18">
      <c r="A49" s="269"/>
      <c r="C49" s="205" t="s">
        <v>319</v>
      </c>
      <c r="D49" s="213"/>
      <c r="E49" s="104">
        <f>E48*Q40+F45</f>
        <v>1158.9000000000001</v>
      </c>
      <c r="F49" s="104">
        <f>-E49</f>
        <v>-1158.9000000000001</v>
      </c>
      <c r="G49" s="7" t="s">
        <v>25</v>
      </c>
    </row>
    <row r="50" spans="1:18">
      <c r="A50" s="269"/>
    </row>
    <row r="51" spans="1:18">
      <c r="A51" s="269"/>
      <c r="E51" s="264" t="s">
        <v>262</v>
      </c>
      <c r="F51" s="264"/>
      <c r="G51" s="264"/>
      <c r="H51" s="264"/>
      <c r="I51" s="264"/>
      <c r="J51" s="264"/>
      <c r="K51" s="264"/>
      <c r="L51" s="264"/>
      <c r="M51" s="264"/>
      <c r="N51" s="264"/>
      <c r="O51" s="264"/>
      <c r="P51" s="264"/>
    </row>
    <row r="52" spans="1:18" ht="18.600000000000001">
      <c r="A52" s="144"/>
      <c r="C52" s="257" t="s">
        <v>320</v>
      </c>
      <c r="D52" s="258"/>
      <c r="E52" s="105">
        <v>27.9</v>
      </c>
      <c r="F52" s="105">
        <v>127</v>
      </c>
      <c r="G52" s="105">
        <v>185.4</v>
      </c>
      <c r="H52" s="105">
        <v>203.2</v>
      </c>
      <c r="I52" s="105">
        <v>294.60000000000002</v>
      </c>
      <c r="J52" s="105">
        <v>304.8</v>
      </c>
      <c r="K52" s="105">
        <v>431.8</v>
      </c>
      <c r="L52" s="105">
        <v>508</v>
      </c>
      <c r="M52" s="105">
        <v>584.20000000000005</v>
      </c>
      <c r="N52" s="105">
        <v>660.4</v>
      </c>
      <c r="O52" s="105">
        <v>736.6</v>
      </c>
      <c r="P52" s="105">
        <v>800.1</v>
      </c>
      <c r="Q52" s="106" t="s">
        <v>266</v>
      </c>
      <c r="R52" s="99" t="s">
        <v>47</v>
      </c>
    </row>
    <row r="53" spans="1:18">
      <c r="C53" s="205" t="s">
        <v>263</v>
      </c>
      <c r="D53" s="213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>
        <f>F45</f>
        <v>0</v>
      </c>
      <c r="P53" s="10"/>
      <c r="Q53" s="10">
        <f>SUM(E53:P53)</f>
        <v>0</v>
      </c>
      <c r="R53" s="7" t="s">
        <v>25</v>
      </c>
    </row>
    <row r="54" spans="1:18">
      <c r="C54" s="205" t="s">
        <v>319</v>
      </c>
      <c r="D54" s="213"/>
      <c r="E54" s="10"/>
      <c r="F54" s="10"/>
      <c r="G54" s="10"/>
      <c r="H54" s="10">
        <f>F49</f>
        <v>-1158.9000000000001</v>
      </c>
      <c r="I54" s="10"/>
      <c r="J54" s="10"/>
      <c r="K54" s="10"/>
      <c r="L54" s="10"/>
      <c r="M54" s="10"/>
      <c r="N54" s="10"/>
      <c r="O54" s="10"/>
      <c r="P54" s="10"/>
      <c r="Q54" s="10">
        <f>SUM(E54:P54)</f>
        <v>-1158.9000000000001</v>
      </c>
      <c r="R54" s="7" t="s">
        <v>25</v>
      </c>
    </row>
    <row r="55" spans="1:18">
      <c r="C55" s="205" t="s">
        <v>321</v>
      </c>
      <c r="D55" s="213"/>
      <c r="E55" s="10">
        <f t="shared" ref="E55:N55" si="3">E54+E40+E53</f>
        <v>405</v>
      </c>
      <c r="F55" s="10">
        <f t="shared" si="3"/>
        <v>176</v>
      </c>
      <c r="G55" s="10">
        <f t="shared" si="3"/>
        <v>0</v>
      </c>
      <c r="H55" s="10">
        <f>H54+H40+H53</f>
        <v>-1019.6000000000001</v>
      </c>
      <c r="I55" s="10">
        <f t="shared" si="3"/>
        <v>0</v>
      </c>
      <c r="J55" s="10">
        <f>J54+J40+J53</f>
        <v>185.6</v>
      </c>
      <c r="K55" s="10">
        <f t="shared" si="3"/>
        <v>141</v>
      </c>
      <c r="L55" s="10">
        <f t="shared" si="3"/>
        <v>34.5</v>
      </c>
      <c r="M55" s="10">
        <f t="shared" si="3"/>
        <v>4.5</v>
      </c>
      <c r="N55" s="10">
        <f t="shared" si="3"/>
        <v>9.5</v>
      </c>
      <c r="O55" s="10">
        <f>O54+O40+O53</f>
        <v>53.5</v>
      </c>
      <c r="P55" s="10">
        <f>P54+P40+P53</f>
        <v>10</v>
      </c>
      <c r="Q55" s="10">
        <f>SUM(E55:P55)</f>
        <v>-1.4210854715202004E-13</v>
      </c>
      <c r="R55" s="7" t="s">
        <v>25</v>
      </c>
    </row>
    <row r="56" spans="1:18">
      <c r="C56" s="205" t="s">
        <v>322</v>
      </c>
      <c r="D56" s="213"/>
      <c r="E56" s="10">
        <f t="shared" ref="E56:P56" si="4">E55*E28</f>
        <v>11299.5</v>
      </c>
      <c r="F56" s="10">
        <f t="shared" si="4"/>
        <v>22352</v>
      </c>
      <c r="G56" s="10">
        <f t="shared" si="4"/>
        <v>0</v>
      </c>
      <c r="H56" s="10">
        <f t="shared" si="4"/>
        <v>-207182.72000000003</v>
      </c>
      <c r="I56" s="10">
        <f t="shared" si="4"/>
        <v>0</v>
      </c>
      <c r="J56" s="10">
        <f t="shared" si="4"/>
        <v>56570.879999999997</v>
      </c>
      <c r="K56" s="10">
        <f t="shared" si="4"/>
        <v>60883.8</v>
      </c>
      <c r="L56" s="10">
        <f t="shared" si="4"/>
        <v>17526</v>
      </c>
      <c r="M56" s="10">
        <f t="shared" si="4"/>
        <v>2628.9</v>
      </c>
      <c r="N56" s="10">
        <f t="shared" si="4"/>
        <v>6273.8</v>
      </c>
      <c r="O56" s="10">
        <f t="shared" si="4"/>
        <v>39408.1</v>
      </c>
      <c r="P56" s="10">
        <f t="shared" si="4"/>
        <v>8001</v>
      </c>
      <c r="Q56" s="10">
        <f>SUM(E56:P56)</f>
        <v>17761.259999999977</v>
      </c>
      <c r="R56" s="7" t="s">
        <v>302</v>
      </c>
    </row>
    <row r="58" spans="1:18">
      <c r="G58" s="205" t="s">
        <v>323</v>
      </c>
      <c r="H58" s="212"/>
      <c r="I58" s="213"/>
      <c r="J58" s="67">
        <f>E49/Q40</f>
        <v>1</v>
      </c>
    </row>
    <row r="60" spans="1:18" s="21" customFormat="1" ht="15" thickBot="1">
      <c r="A60" s="166"/>
    </row>
    <row r="62" spans="1:18" ht="18.600000000000001">
      <c r="A62" s="165" t="s">
        <v>162</v>
      </c>
      <c r="C62" s="205" t="s">
        <v>324</v>
      </c>
      <c r="D62" s="212"/>
      <c r="E62" s="212"/>
      <c r="F62" s="212"/>
      <c r="G62" s="212"/>
      <c r="H62" s="212"/>
      <c r="I62" s="212"/>
      <c r="J62" s="212"/>
      <c r="K62" s="212"/>
      <c r="L62" s="212"/>
      <c r="M62" s="212"/>
      <c r="N62" s="212"/>
      <c r="O62" s="212"/>
      <c r="P62" s="212"/>
      <c r="Q62" s="213"/>
    </row>
    <row r="63" spans="1:18">
      <c r="A63" s="260" t="s">
        <v>280</v>
      </c>
      <c r="C63" s="13" t="s">
        <v>281</v>
      </c>
      <c r="D63" s="98">
        <v>0</v>
      </c>
      <c r="E63" s="98">
        <v>27.9</v>
      </c>
      <c r="F63" s="98">
        <v>127</v>
      </c>
      <c r="G63" s="98">
        <v>185.4</v>
      </c>
      <c r="H63" s="98">
        <v>203.2</v>
      </c>
      <c r="I63" s="98">
        <v>294.60000000000002</v>
      </c>
      <c r="J63" s="98">
        <v>304.8</v>
      </c>
      <c r="K63" s="98">
        <v>431.8</v>
      </c>
      <c r="L63" s="98">
        <v>508</v>
      </c>
      <c r="M63" s="98">
        <v>584.20000000000005</v>
      </c>
      <c r="N63" s="98">
        <v>660.4</v>
      </c>
      <c r="O63" s="98">
        <v>736.6</v>
      </c>
      <c r="P63" s="98">
        <v>800.1</v>
      </c>
      <c r="Q63" s="13" t="s">
        <v>282</v>
      </c>
    </row>
    <row r="64" spans="1:18">
      <c r="A64" s="269"/>
      <c r="C64" s="5" t="s">
        <v>305</v>
      </c>
      <c r="D64" s="10">
        <v>0</v>
      </c>
      <c r="E64" s="10">
        <f t="shared" ref="E64:P64" si="5">-E40*9.81</f>
        <v>-3973.05</v>
      </c>
      <c r="F64" s="10">
        <f t="shared" si="5"/>
        <v>-1726.5600000000002</v>
      </c>
      <c r="G64" s="10">
        <f t="shared" si="5"/>
        <v>0</v>
      </c>
      <c r="H64" s="10">
        <f t="shared" si="5"/>
        <v>-1366.5330000000001</v>
      </c>
      <c r="I64" s="10">
        <f t="shared" si="5"/>
        <v>0</v>
      </c>
      <c r="J64" s="10">
        <f t="shared" si="5"/>
        <v>-1820.7360000000001</v>
      </c>
      <c r="K64" s="10">
        <f t="shared" si="5"/>
        <v>-1383.21</v>
      </c>
      <c r="L64" s="10">
        <f t="shared" si="5"/>
        <v>-338.44499999999999</v>
      </c>
      <c r="M64" s="10">
        <f t="shared" si="5"/>
        <v>-44.145000000000003</v>
      </c>
      <c r="N64" s="10">
        <f t="shared" si="5"/>
        <v>-93.195000000000007</v>
      </c>
      <c r="O64" s="10">
        <f t="shared" si="5"/>
        <v>-524.83500000000004</v>
      </c>
      <c r="P64" s="10">
        <f t="shared" si="5"/>
        <v>-98.100000000000009</v>
      </c>
      <c r="Q64" s="35">
        <f>SUM(D64:P64)</f>
        <v>-11368.808999999999</v>
      </c>
    </row>
    <row r="65" spans="1:17">
      <c r="A65" s="269"/>
      <c r="C65" s="5" t="s">
        <v>325</v>
      </c>
      <c r="D65" s="10">
        <f t="shared" ref="D65:P65" si="6">-D54*9.81</f>
        <v>0</v>
      </c>
      <c r="E65" s="10">
        <f t="shared" si="6"/>
        <v>0</v>
      </c>
      <c r="F65" s="10">
        <f t="shared" si="6"/>
        <v>0</v>
      </c>
      <c r="G65" s="10">
        <f t="shared" si="6"/>
        <v>0</v>
      </c>
      <c r="H65" s="10">
        <f>-H54*9.81</f>
        <v>11368.809000000001</v>
      </c>
      <c r="I65" s="10">
        <f t="shared" si="6"/>
        <v>0</v>
      </c>
      <c r="J65" s="10">
        <f t="shared" si="6"/>
        <v>0</v>
      </c>
      <c r="K65" s="10">
        <f t="shared" si="6"/>
        <v>0</v>
      </c>
      <c r="L65" s="10">
        <f t="shared" si="6"/>
        <v>0</v>
      </c>
      <c r="M65" s="10">
        <f t="shared" si="6"/>
        <v>0</v>
      </c>
      <c r="N65" s="10">
        <f t="shared" si="6"/>
        <v>0</v>
      </c>
      <c r="O65" s="10">
        <f t="shared" si="6"/>
        <v>0</v>
      </c>
      <c r="P65" s="10">
        <f t="shared" si="6"/>
        <v>0</v>
      </c>
      <c r="Q65" s="35">
        <f>SUM(D65:P65)</f>
        <v>11368.809000000001</v>
      </c>
    </row>
    <row r="66" spans="1:17">
      <c r="A66" s="269"/>
      <c r="C66" s="5" t="s">
        <v>307</v>
      </c>
      <c r="D66" s="10">
        <v>0</v>
      </c>
      <c r="E66" s="10">
        <f>E64+E65</f>
        <v>-3973.05</v>
      </c>
      <c r="F66" s="10">
        <f t="shared" ref="F66:P66" si="7">F64+F65</f>
        <v>-1726.5600000000002</v>
      </c>
      <c r="G66" s="10">
        <f t="shared" si="7"/>
        <v>0</v>
      </c>
      <c r="H66" s="10">
        <f t="shared" si="7"/>
        <v>10002.276000000002</v>
      </c>
      <c r="I66" s="10">
        <f t="shared" si="7"/>
        <v>0</v>
      </c>
      <c r="J66" s="10">
        <f>J64+J65</f>
        <v>-1820.7360000000001</v>
      </c>
      <c r="K66" s="10">
        <f t="shared" si="7"/>
        <v>-1383.21</v>
      </c>
      <c r="L66" s="10">
        <f t="shared" si="7"/>
        <v>-338.44499999999999</v>
      </c>
      <c r="M66" s="10">
        <f t="shared" si="7"/>
        <v>-44.145000000000003</v>
      </c>
      <c r="N66" s="10">
        <f t="shared" si="7"/>
        <v>-93.195000000000007</v>
      </c>
      <c r="O66" s="10">
        <f t="shared" si="7"/>
        <v>-524.83500000000004</v>
      </c>
      <c r="P66" s="10">
        <f t="shared" si="7"/>
        <v>-98.100000000000009</v>
      </c>
      <c r="Q66" s="35">
        <f>SUM(D66:P66)</f>
        <v>1.1510792319313623E-12</v>
      </c>
    </row>
    <row r="67" spans="1:17">
      <c r="A67" s="269"/>
      <c r="C67" s="5" t="s">
        <v>140</v>
      </c>
      <c r="D67" s="10">
        <f>SUM($D$66:D66)</f>
        <v>0</v>
      </c>
      <c r="E67" s="10">
        <f>SUM($D$66:E66)</f>
        <v>-3973.05</v>
      </c>
      <c r="F67" s="10">
        <f>SUM($D$66:F66)</f>
        <v>-5699.6100000000006</v>
      </c>
      <c r="G67" s="10">
        <f>SUM($D$66:G66)</f>
        <v>-5699.6100000000006</v>
      </c>
      <c r="H67" s="10">
        <f>SUM($D$66:H66)</f>
        <v>4302.6660000000011</v>
      </c>
      <c r="I67" s="10">
        <f>SUM($D$66:I66)</f>
        <v>4302.6660000000011</v>
      </c>
      <c r="J67" s="10">
        <f>SUM($D$66:J66)</f>
        <v>2481.9300000000012</v>
      </c>
      <c r="K67" s="10">
        <f>SUM($D$66:K66)</f>
        <v>1098.7200000000012</v>
      </c>
      <c r="L67" s="10">
        <f>SUM($D$66:L66)</f>
        <v>760.27500000000123</v>
      </c>
      <c r="M67" s="10">
        <f>SUM($D$66:M66)</f>
        <v>716.13000000000125</v>
      </c>
      <c r="N67" s="10">
        <f>SUM($D$66:N66)</f>
        <v>622.9350000000012</v>
      </c>
      <c r="O67" s="10">
        <f>SUM($D$66:O66)</f>
        <v>98.10000000000116</v>
      </c>
      <c r="P67" s="10">
        <f>SUM($D$66:P66)</f>
        <v>1.1510792319313623E-12</v>
      </c>
      <c r="Q67" s="45"/>
    </row>
    <row r="68" spans="1:17">
      <c r="A68" s="269"/>
      <c r="C68" s="5" t="s">
        <v>284</v>
      </c>
      <c r="D68" s="10">
        <v>0</v>
      </c>
      <c r="E68" s="10">
        <f>(D67*(E63-D63)+(E67-D67)*(E63-D63)/2)/100</f>
        <v>-554.24047500000006</v>
      </c>
      <c r="F68" s="10">
        <f t="shared" ref="F68:P68" si="8">(E67*(F63-E63)+(F67-E67)*(F63-E63)/2)/100</f>
        <v>-4792.80303</v>
      </c>
      <c r="G68" s="10">
        <f t="shared" si="8"/>
        <v>-3328.5722400000004</v>
      </c>
      <c r="H68" s="10">
        <f t="shared" si="8"/>
        <v>-124.32801599999992</v>
      </c>
      <c r="I68" s="10">
        <f t="shared" si="8"/>
        <v>3932.6367240000027</v>
      </c>
      <c r="J68" s="10">
        <f t="shared" si="8"/>
        <v>346.01439599999975</v>
      </c>
      <c r="K68" s="10">
        <f t="shared" si="8"/>
        <v>2273.7127500000015</v>
      </c>
      <c r="L68" s="10">
        <f t="shared" si="8"/>
        <v>708.27709500000083</v>
      </c>
      <c r="M68" s="10">
        <f t="shared" si="8"/>
        <v>562.51030500000127</v>
      </c>
      <c r="N68" s="10">
        <f t="shared" si="8"/>
        <v>510.18376500000045</v>
      </c>
      <c r="O68" s="10">
        <f t="shared" si="8"/>
        <v>274.71433500000109</v>
      </c>
      <c r="P68" s="10">
        <f t="shared" si="8"/>
        <v>31.14675000000074</v>
      </c>
      <c r="Q68" s="45"/>
    </row>
    <row r="69" spans="1:17">
      <c r="A69" s="269"/>
      <c r="C69" s="5" t="s">
        <v>285</v>
      </c>
      <c r="D69" s="10">
        <f>SUM($D$68:D68)</f>
        <v>0</v>
      </c>
      <c r="E69" s="10">
        <f>SUM($D$68:E68)</f>
        <v>-554.24047500000006</v>
      </c>
      <c r="F69" s="10">
        <f>SUM($D$68:F68)</f>
        <v>-5347.0435049999996</v>
      </c>
      <c r="G69" s="10">
        <f>SUM($D$68:G68)</f>
        <v>-8675.6157449999992</v>
      </c>
      <c r="H69" s="10">
        <f>SUM($D$68:H68)</f>
        <v>-8799.9437609999986</v>
      </c>
      <c r="I69" s="10">
        <f>SUM($D$68:I68)</f>
        <v>-4867.3070369999959</v>
      </c>
      <c r="J69" s="10">
        <f>SUM($D$68:J68)</f>
        <v>-4521.2926409999964</v>
      </c>
      <c r="K69" s="10">
        <f>SUM($D$68:K68)</f>
        <v>-2247.5798909999949</v>
      </c>
      <c r="L69" s="10">
        <f>SUM($D$68:L68)</f>
        <v>-1539.302795999994</v>
      </c>
      <c r="M69" s="10">
        <f>SUM($D$68:M68)</f>
        <v>-976.79249099999276</v>
      </c>
      <c r="N69" s="10">
        <f>SUM($D$68:N68)</f>
        <v>-466.60872599999232</v>
      </c>
      <c r="O69" s="10">
        <f>SUM($D$68:O68)</f>
        <v>-191.89439099999123</v>
      </c>
      <c r="P69" s="10">
        <f>SUM($D$68:P68)</f>
        <v>-160.74764099999049</v>
      </c>
      <c r="Q69" s="45"/>
    </row>
    <row r="72" spans="1:17" ht="15" thickBot="1"/>
    <row r="73" spans="1:17">
      <c r="C73" s="7" t="s">
        <v>326</v>
      </c>
      <c r="D73" s="10">
        <f t="shared" ref="D73:O73" si="9">E63-$J$63</f>
        <v>-276.90000000000003</v>
      </c>
      <c r="E73" s="10">
        <f t="shared" si="9"/>
        <v>-177.8</v>
      </c>
      <c r="F73" s="10">
        <f t="shared" si="9"/>
        <v>-119.4</v>
      </c>
      <c r="G73" s="10">
        <f t="shared" si="9"/>
        <v>-101.60000000000002</v>
      </c>
      <c r="H73" s="10">
        <f t="shared" si="9"/>
        <v>-10.199999999999989</v>
      </c>
      <c r="I73" s="10">
        <f t="shared" si="9"/>
        <v>0</v>
      </c>
      <c r="J73" s="10">
        <f t="shared" si="9"/>
        <v>127</v>
      </c>
      <c r="K73" s="10">
        <f t="shared" si="9"/>
        <v>203.2</v>
      </c>
      <c r="L73" s="10">
        <f t="shared" si="9"/>
        <v>279.40000000000003</v>
      </c>
      <c r="M73" s="10">
        <f t="shared" si="9"/>
        <v>355.59999999999997</v>
      </c>
      <c r="N73" s="10">
        <f t="shared" si="9"/>
        <v>431.8</v>
      </c>
      <c r="O73" s="107">
        <f t="shared" si="9"/>
        <v>495.3</v>
      </c>
      <c r="P73" s="108" t="s">
        <v>327</v>
      </c>
    </row>
    <row r="74" spans="1:17" ht="15" thickBot="1">
      <c r="C74" s="7" t="s">
        <v>328</v>
      </c>
      <c r="D74" s="10">
        <f t="shared" ref="D74:O74" si="10">D73*E66</f>
        <v>1100137.5450000002</v>
      </c>
      <c r="E74" s="10">
        <f t="shared" si="10"/>
        <v>306982.36800000007</v>
      </c>
      <c r="F74" s="10">
        <f t="shared" si="10"/>
        <v>0</v>
      </c>
      <c r="G74" s="10">
        <f t="shared" si="10"/>
        <v>-1016231.2416000004</v>
      </c>
      <c r="H74" s="10">
        <f t="shared" si="10"/>
        <v>0</v>
      </c>
      <c r="I74" s="10">
        <f t="shared" si="10"/>
        <v>0</v>
      </c>
      <c r="J74" s="10">
        <f t="shared" si="10"/>
        <v>-175667.67</v>
      </c>
      <c r="K74" s="10">
        <f t="shared" si="10"/>
        <v>-68772.02399999999</v>
      </c>
      <c r="L74" s="10">
        <f t="shared" si="10"/>
        <v>-12334.113000000003</v>
      </c>
      <c r="M74" s="10">
        <f t="shared" si="10"/>
        <v>-33140.142</v>
      </c>
      <c r="N74" s="10">
        <f t="shared" si="10"/>
        <v>-226623.75300000003</v>
      </c>
      <c r="O74" s="107">
        <f t="shared" si="10"/>
        <v>-48588.930000000008</v>
      </c>
      <c r="P74" s="88">
        <f>SUM(C74:O74)</f>
        <v>-174237.96060000028</v>
      </c>
    </row>
    <row r="75" spans="1:17">
      <c r="D75" s="61"/>
    </row>
    <row r="82" spans="6:9">
      <c r="F82" s="58"/>
    </row>
    <row r="83" spans="6:9">
      <c r="F83" s="58"/>
    </row>
    <row r="84" spans="6:9">
      <c r="F84" s="58"/>
    </row>
    <row r="85" spans="6:9">
      <c r="I85" s="82"/>
    </row>
    <row r="86" spans="6:9">
      <c r="F86" s="58"/>
    </row>
    <row r="87" spans="6:9">
      <c r="F87" s="58"/>
    </row>
  </sheetData>
  <mergeCells count="37">
    <mergeCell ref="G58:I58"/>
    <mergeCell ref="C52:D52"/>
    <mergeCell ref="E51:P51"/>
    <mergeCell ref="C62:Q62"/>
    <mergeCell ref="C56:D56"/>
    <mergeCell ref="A45:A51"/>
    <mergeCell ref="A63:A69"/>
    <mergeCell ref="B1:E1"/>
    <mergeCell ref="F1:G1"/>
    <mergeCell ref="H1:Z1"/>
    <mergeCell ref="C32:D32"/>
    <mergeCell ref="C33:D33"/>
    <mergeCell ref="C31:D31"/>
    <mergeCell ref="C30:D30"/>
    <mergeCell ref="C29:D29"/>
    <mergeCell ref="C28:D28"/>
    <mergeCell ref="Q27:Q28"/>
    <mergeCell ref="R27:R28"/>
    <mergeCell ref="C22:N22"/>
    <mergeCell ref="E27:P27"/>
    <mergeCell ref="C34:D34"/>
    <mergeCell ref="C35:D35"/>
    <mergeCell ref="C36:D36"/>
    <mergeCell ref="A4:A8"/>
    <mergeCell ref="A28:A35"/>
    <mergeCell ref="C37:D37"/>
    <mergeCell ref="C38:D38"/>
    <mergeCell ref="C54:D54"/>
    <mergeCell ref="C40:D40"/>
    <mergeCell ref="C55:D55"/>
    <mergeCell ref="C53:D53"/>
    <mergeCell ref="C41:D41"/>
    <mergeCell ref="C48:D48"/>
    <mergeCell ref="C49:D49"/>
    <mergeCell ref="C45:D45"/>
    <mergeCell ref="C44:F44"/>
    <mergeCell ref="C47:F47"/>
  </mergeCells>
  <phoneticPr fontId="3" type="noConversion"/>
  <conditionalFormatting sqref="Q29:Q38">
    <cfRule type="expression" dxfId="0" priority="1">
      <formula>$R29&lt;$Q29</formula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d28c45f-cebe-4509-9066-0257869280d0" xsi:nil="true"/>
    <lcf76f155ced4ddcb4097134ff3c332f xmlns="3e1f64af-336a-4cd0-ac0d-fe3d4e694e88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51508F35EA984B89BFC0F6DE5C8782" ma:contentTypeVersion="12" ma:contentTypeDescription="Create a new document." ma:contentTypeScope="" ma:versionID="ff6d7a831ec0bff549a0ff7a2dde2625">
  <xsd:schema xmlns:xsd="http://www.w3.org/2001/XMLSchema" xmlns:xs="http://www.w3.org/2001/XMLSchema" xmlns:p="http://schemas.microsoft.com/office/2006/metadata/properties" xmlns:ns2="3e1f64af-336a-4cd0-ac0d-fe3d4e694e88" xmlns:ns3="bd28c45f-cebe-4509-9066-0257869280d0" targetNamespace="http://schemas.microsoft.com/office/2006/metadata/properties" ma:root="true" ma:fieldsID="2be4df235d4cadcc50dd8ad9b508575b" ns2:_="" ns3:_="">
    <xsd:import namespace="3e1f64af-336a-4cd0-ac0d-fe3d4e694e88"/>
    <xsd:import namespace="bd28c45f-cebe-4509-9066-0257869280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1f64af-336a-4cd0-ac0d-fe3d4e694e8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4661dae-d6df-48fc-a54e-a577d2899e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8c45f-cebe-4509-9066-0257869280d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ed23800-8784-4d85-8156-ecdbdb478376}" ma:internalName="TaxCatchAll" ma:showField="CatchAllData" ma:web="bd28c45f-cebe-4509-9066-0257869280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9FED7E-3583-4A54-832D-51787E2868DE}"/>
</file>

<file path=customXml/itemProps2.xml><?xml version="1.0" encoding="utf-8"?>
<ds:datastoreItem xmlns:ds="http://schemas.openxmlformats.org/officeDocument/2006/customXml" ds:itemID="{029C5A49-5C83-4F13-B97C-56D2895C17C3}"/>
</file>

<file path=customXml/itemProps3.xml><?xml version="1.0" encoding="utf-8"?>
<ds:datastoreItem xmlns:ds="http://schemas.openxmlformats.org/officeDocument/2006/customXml" ds:itemID="{B3B7F4A4-2E98-49A1-A6E0-A22D423307B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Gao, Jerry</cp:lastModifiedBy>
  <cp:revision/>
  <dcterms:created xsi:type="dcterms:W3CDTF">2015-06-05T18:17:20Z</dcterms:created>
  <dcterms:modified xsi:type="dcterms:W3CDTF">2025-02-05T11:42:39Z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0x0101002F51508F35EA984B89BFC0F6DE5C8782</vt:lpwstr>
  </property>
  <property fmtid="{D5CDD505-2E9C-101B-9397-08002B2CF9AE}" pid="3" name="MediaServiceImageTags">
    <vt:lpwstr/>
  </property>
</Properties>
</file>