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JAYANT\"/>
    </mc:Choice>
  </mc:AlternateContent>
  <xr:revisionPtr revIDLastSave="0" documentId="13_ncr:1_{9057A582-C52E-49B5-97F6-ABE74B562572}" xr6:coauthVersionLast="47" xr6:coauthVersionMax="47" xr10:uidLastSave="{00000000-0000-0000-0000-000000000000}"/>
  <bookViews>
    <workbookView xWindow="-108" yWindow="-108" windowWidth="23256" windowHeight="12576" activeTab="1" xr2:uid="{86295C98-86ED-46AB-B45A-18453FC28490}"/>
  </bookViews>
  <sheets>
    <sheet name="IBM" sheetId="1" r:id="rId1"/>
    <sheet name="IQVIA" sheetId="2" r:id="rId2"/>
    <sheet name="BAJAJ" sheetId="3" r:id="rId3"/>
    <sheet name="RI" sheetId="4" r:id="rId4"/>
    <sheet name="CTC" sheetId="5" r:id="rId5"/>
    <sheet name="MD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6" l="1"/>
  <c r="E12" i="6"/>
  <c r="E11" i="6"/>
  <c r="E10" i="6"/>
  <c r="E9" i="6"/>
  <c r="M39" i="5"/>
  <c r="J39" i="5"/>
  <c r="H39" i="5"/>
  <c r="F39" i="5"/>
  <c r="E39" i="5"/>
  <c r="M38" i="5"/>
  <c r="J38" i="5"/>
  <c r="H38" i="5"/>
  <c r="F38" i="5"/>
  <c r="E38" i="5"/>
  <c r="M37" i="5"/>
  <c r="F13" i="6" s="1"/>
  <c r="J37" i="5"/>
  <c r="H37" i="5"/>
  <c r="F37" i="5"/>
  <c r="E37" i="5"/>
  <c r="Z29" i="5"/>
  <c r="U29" i="5"/>
  <c r="P29" i="5"/>
  <c r="K29" i="5"/>
  <c r="AA29" i="5" s="1"/>
  <c r="F29" i="5"/>
  <c r="Z28" i="5"/>
  <c r="U28" i="5"/>
  <c r="P28" i="5"/>
  <c r="K28" i="5"/>
  <c r="AA28" i="5" s="1"/>
  <c r="F28" i="5"/>
  <c r="Z27" i="5"/>
  <c r="U27" i="5"/>
  <c r="P27" i="5"/>
  <c r="K27" i="5"/>
  <c r="AA27" i="5" s="1"/>
  <c r="F27" i="5"/>
  <c r="Z26" i="5"/>
  <c r="U26" i="5"/>
  <c r="P26" i="5"/>
  <c r="K26" i="5"/>
  <c r="AA26" i="5" s="1"/>
  <c r="F26" i="5"/>
  <c r="Z25" i="5"/>
  <c r="U25" i="5"/>
  <c r="P25" i="5"/>
  <c r="K25" i="5"/>
  <c r="AA25" i="5" s="1"/>
  <c r="F25" i="5"/>
  <c r="Z24" i="5"/>
  <c r="U24" i="5"/>
  <c r="P24" i="5"/>
  <c r="K24" i="5"/>
  <c r="AA24" i="5" s="1"/>
  <c r="F24" i="5"/>
  <c r="Z23" i="5"/>
  <c r="U23" i="5"/>
  <c r="P23" i="5"/>
  <c r="K23" i="5"/>
  <c r="AA23" i="5" s="1"/>
  <c r="F23" i="5"/>
  <c r="Z22" i="5"/>
  <c r="U22" i="5"/>
  <c r="P22" i="5"/>
  <c r="K22" i="5"/>
  <c r="AA22" i="5" s="1"/>
  <c r="F22" i="5"/>
  <c r="Z21" i="5"/>
  <c r="U21" i="5"/>
  <c r="P21" i="5"/>
  <c r="K21" i="5"/>
  <c r="AA21" i="5" s="1"/>
  <c r="F21" i="5"/>
  <c r="Z20" i="5"/>
  <c r="U20" i="5"/>
  <c r="P20" i="5"/>
  <c r="K20" i="5"/>
  <c r="AA20" i="5" s="1"/>
  <c r="F20" i="5"/>
  <c r="Z19" i="5"/>
  <c r="U19" i="5"/>
  <c r="P19" i="5"/>
  <c r="K19" i="5"/>
  <c r="AA19" i="5" s="1"/>
  <c r="F19" i="5"/>
  <c r="Z18" i="5"/>
  <c r="U18" i="5"/>
  <c r="P18" i="5"/>
  <c r="K18" i="5"/>
  <c r="AA18" i="5" s="1"/>
  <c r="F18" i="5"/>
  <c r="Z17" i="5"/>
  <c r="U17" i="5"/>
  <c r="P17" i="5"/>
  <c r="K17" i="5"/>
  <c r="AA17" i="5" s="1"/>
  <c r="F17" i="5"/>
  <c r="Z16" i="5"/>
  <c r="U16" i="5"/>
  <c r="P16" i="5"/>
  <c r="K16" i="5"/>
  <c r="AA16" i="5" s="1"/>
  <c r="F16" i="5"/>
  <c r="Z15" i="5"/>
  <c r="U15" i="5"/>
  <c r="P15" i="5"/>
  <c r="K15" i="5"/>
  <c r="AA15" i="5" s="1"/>
  <c r="F15" i="5"/>
  <c r="Z14" i="5"/>
  <c r="U14" i="5"/>
  <c r="P14" i="5"/>
  <c r="K14" i="5"/>
  <c r="AA14" i="5" s="1"/>
  <c r="F14" i="5"/>
  <c r="Z13" i="5"/>
  <c r="U13" i="5"/>
  <c r="P13" i="5"/>
  <c r="K13" i="5"/>
  <c r="AA13" i="5" s="1"/>
  <c r="F13" i="5"/>
  <c r="Z12" i="5"/>
  <c r="U12" i="5"/>
  <c r="I39" i="5" s="1"/>
  <c r="P12" i="5"/>
  <c r="K12" i="5"/>
  <c r="G39" i="5" s="1"/>
  <c r="F12" i="5"/>
  <c r="Z11" i="5"/>
  <c r="U11" i="5"/>
  <c r="I38" i="5" s="1"/>
  <c r="P11" i="5"/>
  <c r="K11" i="5"/>
  <c r="G38" i="5" s="1"/>
  <c r="F11" i="5"/>
  <c r="Z10" i="5"/>
  <c r="U10" i="5"/>
  <c r="I37" i="5" s="1"/>
  <c r="P10" i="5"/>
  <c r="K10" i="5"/>
  <c r="G37" i="5" s="1"/>
  <c r="F10" i="5"/>
  <c r="O43" i="4"/>
  <c r="E43" i="4"/>
  <c r="O42" i="4"/>
  <c r="E42" i="4"/>
  <c r="O41" i="4"/>
  <c r="E41" i="4"/>
  <c r="O40" i="4"/>
  <c r="E40" i="4"/>
  <c r="O39" i="4"/>
  <c r="E39" i="4"/>
  <c r="O38" i="4"/>
  <c r="F12" i="6" s="1"/>
  <c r="E38" i="4"/>
  <c r="AI30" i="4"/>
  <c r="AF30" i="4"/>
  <c r="AA30" i="4"/>
  <c r="V30" i="4"/>
  <c r="Q30" i="4"/>
  <c r="L30" i="4"/>
  <c r="G30" i="4"/>
  <c r="AI29" i="4"/>
  <c r="AF29" i="4"/>
  <c r="AA29" i="4"/>
  <c r="V29" i="4"/>
  <c r="Q29" i="4"/>
  <c r="L29" i="4"/>
  <c r="G29" i="4"/>
  <c r="AI28" i="4"/>
  <c r="AF28" i="4"/>
  <c r="AA28" i="4"/>
  <c r="V28" i="4"/>
  <c r="Q28" i="4"/>
  <c r="L28" i="4"/>
  <c r="G28" i="4"/>
  <c r="AI27" i="4"/>
  <c r="AF27" i="4"/>
  <c r="AA27" i="4"/>
  <c r="V27" i="4"/>
  <c r="Q27" i="4"/>
  <c r="L27" i="4"/>
  <c r="G27" i="4"/>
  <c r="AI26" i="4"/>
  <c r="AF26" i="4"/>
  <c r="AA26" i="4"/>
  <c r="V26" i="4"/>
  <c r="Q26" i="4"/>
  <c r="L26" i="4"/>
  <c r="G26" i="4"/>
  <c r="AI25" i="4"/>
  <c r="AF25" i="4"/>
  <c r="AA25" i="4"/>
  <c r="V25" i="4"/>
  <c r="Q25" i="4"/>
  <c r="L25" i="4"/>
  <c r="G25" i="4"/>
  <c r="AI24" i="4"/>
  <c r="AF24" i="4"/>
  <c r="AA24" i="4"/>
  <c r="V24" i="4"/>
  <c r="Q24" i="4"/>
  <c r="L24" i="4"/>
  <c r="G24" i="4"/>
  <c r="AI23" i="4"/>
  <c r="AF23" i="4"/>
  <c r="AA23" i="4"/>
  <c r="V23" i="4"/>
  <c r="Q23" i="4"/>
  <c r="L23" i="4"/>
  <c r="G23" i="4"/>
  <c r="AI22" i="4"/>
  <c r="AF22" i="4"/>
  <c r="AA22" i="4"/>
  <c r="J43" i="4" s="1"/>
  <c r="V22" i="4"/>
  <c r="Q22" i="4"/>
  <c r="L22" i="4"/>
  <c r="G22" i="4"/>
  <c r="F43" i="4" s="1"/>
  <c r="AI21" i="4"/>
  <c r="L42" i="4" s="1"/>
  <c r="AF21" i="4"/>
  <c r="AA21" i="4"/>
  <c r="V21" i="4"/>
  <c r="Q21" i="4"/>
  <c r="H42" i="4" s="1"/>
  <c r="L21" i="4"/>
  <c r="G21" i="4"/>
  <c r="AI20" i="4"/>
  <c r="L41" i="4" s="1"/>
  <c r="AF20" i="4"/>
  <c r="AA20" i="4"/>
  <c r="V20" i="4"/>
  <c r="Q20" i="4"/>
  <c r="H41" i="4" s="1"/>
  <c r="L20" i="4"/>
  <c r="G20" i="4"/>
  <c r="AI19" i="4"/>
  <c r="AF19" i="4"/>
  <c r="AA19" i="4"/>
  <c r="J40" i="4" s="1"/>
  <c r="V19" i="4"/>
  <c r="Q19" i="4"/>
  <c r="L19" i="4"/>
  <c r="G19" i="4"/>
  <c r="F40" i="4" s="1"/>
  <c r="AI18" i="4"/>
  <c r="AF18" i="4"/>
  <c r="AA18" i="4"/>
  <c r="J39" i="4" s="1"/>
  <c r="V18" i="4"/>
  <c r="Q18" i="4"/>
  <c r="L18" i="4"/>
  <c r="G18" i="4"/>
  <c r="F39" i="4" s="1"/>
  <c r="AI17" i="4"/>
  <c r="AF17" i="4"/>
  <c r="AA17" i="4"/>
  <c r="V17" i="4"/>
  <c r="Q17" i="4"/>
  <c r="L17" i="4"/>
  <c r="G17" i="4"/>
  <c r="AI16" i="4"/>
  <c r="AF16" i="4"/>
  <c r="K43" i="4" s="1"/>
  <c r="AA16" i="4"/>
  <c r="V16" i="4"/>
  <c r="Q16" i="4"/>
  <c r="L16" i="4"/>
  <c r="G43" i="4" s="1"/>
  <c r="G16" i="4"/>
  <c r="AI15" i="4"/>
  <c r="AF15" i="4"/>
  <c r="K42" i="4" s="1"/>
  <c r="AA15" i="4"/>
  <c r="V15" i="4"/>
  <c r="Q15" i="4"/>
  <c r="L15" i="4"/>
  <c r="G42" i="4" s="1"/>
  <c r="G15" i="4"/>
  <c r="AI14" i="4"/>
  <c r="AF14" i="4"/>
  <c r="AA14" i="4"/>
  <c r="V14" i="4"/>
  <c r="I41" i="4" s="1"/>
  <c r="Q14" i="4"/>
  <c r="L14" i="4"/>
  <c r="G14" i="4"/>
  <c r="AI13" i="4"/>
  <c r="AF13" i="4"/>
  <c r="AA13" i="4"/>
  <c r="V13" i="4"/>
  <c r="I40" i="4" s="1"/>
  <c r="Q13" i="4"/>
  <c r="L13" i="4"/>
  <c r="G13" i="4"/>
  <c r="AI12" i="4"/>
  <c r="AF12" i="4"/>
  <c r="K39" i="4" s="1"/>
  <c r="AA12" i="4"/>
  <c r="V12" i="4"/>
  <c r="Q12" i="4"/>
  <c r="L12" i="4"/>
  <c r="G39" i="4" s="1"/>
  <c r="G12" i="4"/>
  <c r="AI11" i="4"/>
  <c r="AF11" i="4"/>
  <c r="K38" i="4" s="1"/>
  <c r="AA11" i="4"/>
  <c r="V11" i="4"/>
  <c r="Q11" i="4"/>
  <c r="L11" i="4"/>
  <c r="G38" i="4" s="1"/>
  <c r="G11" i="4"/>
  <c r="N38" i="3"/>
  <c r="E38" i="3"/>
  <c r="N37" i="3"/>
  <c r="F11" i="6" s="1"/>
  <c r="E37" i="3"/>
  <c r="AE30" i="3"/>
  <c r="AA30" i="3"/>
  <c r="V30" i="3"/>
  <c r="Q30" i="3"/>
  <c r="L30" i="3"/>
  <c r="G30" i="3"/>
  <c r="AE29" i="3"/>
  <c r="AA29" i="3"/>
  <c r="V29" i="3"/>
  <c r="Q29" i="3"/>
  <c r="L29" i="3"/>
  <c r="G29" i="3"/>
  <c r="AE28" i="3"/>
  <c r="AA28" i="3"/>
  <c r="V28" i="3"/>
  <c r="Q28" i="3"/>
  <c r="L28" i="3"/>
  <c r="G28" i="3"/>
  <c r="AE27" i="3"/>
  <c r="AA27" i="3"/>
  <c r="V27" i="3"/>
  <c r="Q27" i="3"/>
  <c r="L27" i="3"/>
  <c r="G27" i="3"/>
  <c r="AE26" i="3"/>
  <c r="AA26" i="3"/>
  <c r="V26" i="3"/>
  <c r="Q26" i="3"/>
  <c r="L26" i="3"/>
  <c r="G26" i="3"/>
  <c r="AE25" i="3"/>
  <c r="AA25" i="3"/>
  <c r="V25" i="3"/>
  <c r="Q25" i="3"/>
  <c r="L25" i="3"/>
  <c r="G25" i="3"/>
  <c r="AE24" i="3"/>
  <c r="AA24" i="3"/>
  <c r="V24" i="3"/>
  <c r="Q24" i="3"/>
  <c r="L24" i="3"/>
  <c r="G24" i="3"/>
  <c r="AE23" i="3"/>
  <c r="AA23" i="3"/>
  <c r="V23" i="3"/>
  <c r="Q23" i="3"/>
  <c r="L23" i="3"/>
  <c r="G23" i="3"/>
  <c r="AE22" i="3"/>
  <c r="AA22" i="3"/>
  <c r="V22" i="3"/>
  <c r="Q22" i="3"/>
  <c r="L22" i="3"/>
  <c r="G22" i="3"/>
  <c r="AE21" i="3"/>
  <c r="AA21" i="3"/>
  <c r="V21" i="3"/>
  <c r="Q21" i="3"/>
  <c r="L21" i="3"/>
  <c r="G21" i="3"/>
  <c r="AE20" i="3"/>
  <c r="AA20" i="3"/>
  <c r="V20" i="3"/>
  <c r="Q20" i="3"/>
  <c r="L20" i="3"/>
  <c r="G20" i="3"/>
  <c r="AE19" i="3"/>
  <c r="AA19" i="3"/>
  <c r="V19" i="3"/>
  <c r="Q19" i="3"/>
  <c r="L19" i="3"/>
  <c r="G19" i="3"/>
  <c r="AE18" i="3"/>
  <c r="AA18" i="3"/>
  <c r="V18" i="3"/>
  <c r="Q18" i="3"/>
  <c r="L18" i="3"/>
  <c r="G18" i="3"/>
  <c r="AE17" i="3"/>
  <c r="AA17" i="3"/>
  <c r="V17" i="3"/>
  <c r="Q17" i="3"/>
  <c r="L17" i="3"/>
  <c r="G17" i="3"/>
  <c r="AE16" i="3"/>
  <c r="AA16" i="3"/>
  <c r="V16" i="3"/>
  <c r="Q16" i="3"/>
  <c r="L16" i="3"/>
  <c r="G16" i="3"/>
  <c r="AE15" i="3"/>
  <c r="AA15" i="3"/>
  <c r="V15" i="3"/>
  <c r="Q15" i="3"/>
  <c r="L15" i="3"/>
  <c r="G15" i="3"/>
  <c r="AE14" i="3"/>
  <c r="AA14" i="3"/>
  <c r="V14" i="3"/>
  <c r="Q14" i="3"/>
  <c r="L14" i="3"/>
  <c r="G14" i="3"/>
  <c r="AE13" i="3"/>
  <c r="AA13" i="3"/>
  <c r="V13" i="3"/>
  <c r="Q13" i="3"/>
  <c r="L13" i="3"/>
  <c r="G13" i="3"/>
  <c r="AE12" i="3"/>
  <c r="K38" i="3" s="1"/>
  <c r="AA12" i="3"/>
  <c r="J38" i="3" s="1"/>
  <c r="V12" i="3"/>
  <c r="I38" i="3" s="1"/>
  <c r="Q12" i="3"/>
  <c r="L12" i="3"/>
  <c r="G38" i="3" s="1"/>
  <c r="G12" i="3"/>
  <c r="AE11" i="3"/>
  <c r="AA11" i="3"/>
  <c r="J37" i="3" s="1"/>
  <c r="V11" i="3"/>
  <c r="I37" i="3" s="1"/>
  <c r="Q11" i="3"/>
  <c r="L11" i="3"/>
  <c r="G11" i="3"/>
  <c r="F37" i="3" s="1"/>
  <c r="M37" i="2"/>
  <c r="E37" i="2"/>
  <c r="M36" i="2"/>
  <c r="E36" i="2"/>
  <c r="M35" i="2"/>
  <c r="E35" i="2"/>
  <c r="AA30" i="2"/>
  <c r="X30" i="2"/>
  <c r="S30" i="2"/>
  <c r="N30" i="2"/>
  <c r="I30" i="2"/>
  <c r="AA29" i="2"/>
  <c r="X29" i="2"/>
  <c r="S29" i="2"/>
  <c r="N29" i="2"/>
  <c r="I29" i="2"/>
  <c r="AA28" i="2"/>
  <c r="X28" i="2"/>
  <c r="S28" i="2"/>
  <c r="N28" i="2"/>
  <c r="I28" i="2"/>
  <c r="AA27" i="2"/>
  <c r="X27" i="2"/>
  <c r="S27" i="2"/>
  <c r="N27" i="2"/>
  <c r="I27" i="2"/>
  <c r="AB27" i="2" s="1"/>
  <c r="AA26" i="2"/>
  <c r="X26" i="2"/>
  <c r="S26" i="2"/>
  <c r="N26" i="2"/>
  <c r="I26" i="2"/>
  <c r="AA25" i="2"/>
  <c r="X25" i="2"/>
  <c r="S25" i="2"/>
  <c r="N25" i="2"/>
  <c r="I25" i="2"/>
  <c r="AA24" i="2"/>
  <c r="X24" i="2"/>
  <c r="S24" i="2"/>
  <c r="N24" i="2"/>
  <c r="I24" i="2"/>
  <c r="AA23" i="2"/>
  <c r="X23" i="2"/>
  <c r="S23" i="2"/>
  <c r="N23" i="2"/>
  <c r="I23" i="2"/>
  <c r="AB23" i="2" s="1"/>
  <c r="AA22" i="2"/>
  <c r="X22" i="2"/>
  <c r="S22" i="2"/>
  <c r="N22" i="2"/>
  <c r="G37" i="2" s="1"/>
  <c r="I22" i="2"/>
  <c r="AA21" i="2"/>
  <c r="X21" i="2"/>
  <c r="S21" i="2"/>
  <c r="N21" i="2"/>
  <c r="I21" i="2"/>
  <c r="AA20" i="2"/>
  <c r="X20" i="2"/>
  <c r="S20" i="2"/>
  <c r="N20" i="2"/>
  <c r="I20" i="2"/>
  <c r="AA19" i="2"/>
  <c r="X19" i="2"/>
  <c r="S19" i="2"/>
  <c r="N19" i="2"/>
  <c r="I19" i="2"/>
  <c r="AB19" i="2" s="1"/>
  <c r="AA18" i="2"/>
  <c r="X18" i="2"/>
  <c r="S18" i="2"/>
  <c r="N18" i="2"/>
  <c r="I18" i="2"/>
  <c r="AA17" i="2"/>
  <c r="X17" i="2"/>
  <c r="S17" i="2"/>
  <c r="N17" i="2"/>
  <c r="I17" i="2"/>
  <c r="AA16" i="2"/>
  <c r="X16" i="2"/>
  <c r="S16" i="2"/>
  <c r="N16" i="2"/>
  <c r="I16" i="2"/>
  <c r="AA15" i="2"/>
  <c r="X15" i="2"/>
  <c r="S15" i="2"/>
  <c r="N15" i="2"/>
  <c r="I15" i="2"/>
  <c r="AA14" i="2"/>
  <c r="X14" i="2"/>
  <c r="S14" i="2"/>
  <c r="N14" i="2"/>
  <c r="I14" i="2"/>
  <c r="AA13" i="2"/>
  <c r="X13" i="2"/>
  <c r="I37" i="2" s="1"/>
  <c r="S13" i="2"/>
  <c r="H37" i="2" s="1"/>
  <c r="N13" i="2"/>
  <c r="I13" i="2"/>
  <c r="AA12" i="2"/>
  <c r="X12" i="2"/>
  <c r="I36" i="2" s="1"/>
  <c r="S12" i="2"/>
  <c r="N12" i="2"/>
  <c r="I12" i="2"/>
  <c r="AA11" i="2"/>
  <c r="J35" i="2" s="1"/>
  <c r="X11" i="2"/>
  <c r="S11" i="2"/>
  <c r="N11" i="2"/>
  <c r="G35" i="2" s="1"/>
  <c r="I11" i="2"/>
  <c r="L43" i="1"/>
  <c r="E43" i="1"/>
  <c r="L42" i="1"/>
  <c r="I42" i="1"/>
  <c r="G42" i="1"/>
  <c r="E42" i="1"/>
  <c r="L41" i="1"/>
  <c r="E41" i="1"/>
  <c r="L40" i="1"/>
  <c r="F9" i="6" s="1"/>
  <c r="I40" i="1"/>
  <c r="G40" i="1"/>
  <c r="E40" i="1"/>
  <c r="V30" i="1"/>
  <c r="S30" i="1"/>
  <c r="N30" i="1"/>
  <c r="I30" i="1"/>
  <c r="W30" i="1" s="1"/>
  <c r="V29" i="1"/>
  <c r="S29" i="1"/>
  <c r="N29" i="1"/>
  <c r="I29" i="1"/>
  <c r="W29" i="1" s="1"/>
  <c r="V28" i="1"/>
  <c r="S28" i="1"/>
  <c r="N28" i="1"/>
  <c r="I28" i="1"/>
  <c r="V27" i="1"/>
  <c r="S27" i="1"/>
  <c r="N27" i="1"/>
  <c r="I27" i="1"/>
  <c r="W27" i="1" s="1"/>
  <c r="V26" i="1"/>
  <c r="S26" i="1"/>
  <c r="N26" i="1"/>
  <c r="I26" i="1"/>
  <c r="V25" i="1"/>
  <c r="S25" i="1"/>
  <c r="N25" i="1"/>
  <c r="I25" i="1"/>
  <c r="W25" i="1" s="1"/>
  <c r="V24" i="1"/>
  <c r="S24" i="1"/>
  <c r="N24" i="1"/>
  <c r="I24" i="1"/>
  <c r="V23" i="1"/>
  <c r="S23" i="1"/>
  <c r="N23" i="1"/>
  <c r="I23" i="1"/>
  <c r="W23" i="1" s="1"/>
  <c r="V22" i="1"/>
  <c r="S22" i="1"/>
  <c r="N22" i="1"/>
  <c r="I22" i="1"/>
  <c r="W22" i="1" s="1"/>
  <c r="V21" i="1"/>
  <c r="S21" i="1"/>
  <c r="N21" i="1"/>
  <c r="I21" i="1"/>
  <c r="W21" i="1" s="1"/>
  <c r="V20" i="1"/>
  <c r="S20" i="1"/>
  <c r="N20" i="1"/>
  <c r="I20" i="1"/>
  <c r="V19" i="1"/>
  <c r="S19" i="1"/>
  <c r="N19" i="1"/>
  <c r="I19" i="1"/>
  <c r="W19" i="1" s="1"/>
  <c r="V18" i="1"/>
  <c r="I43" i="1" s="1"/>
  <c r="S18" i="1"/>
  <c r="N18" i="1"/>
  <c r="I18" i="1"/>
  <c r="W17" i="1"/>
  <c r="V17" i="1"/>
  <c r="S17" i="1"/>
  <c r="N17" i="1"/>
  <c r="I17" i="1"/>
  <c r="V16" i="1"/>
  <c r="S16" i="1"/>
  <c r="N16" i="1"/>
  <c r="I16" i="1"/>
  <c r="W15" i="1"/>
  <c r="V15" i="1"/>
  <c r="S15" i="1"/>
  <c r="N15" i="1"/>
  <c r="I15" i="1"/>
  <c r="V14" i="1"/>
  <c r="S14" i="1"/>
  <c r="H43" i="1" s="1"/>
  <c r="N14" i="1"/>
  <c r="G43" i="1" s="1"/>
  <c r="I14" i="1"/>
  <c r="F43" i="1" s="1"/>
  <c r="V13" i="1"/>
  <c r="S13" i="1"/>
  <c r="H42" i="1" s="1"/>
  <c r="N13" i="1"/>
  <c r="I13" i="1"/>
  <c r="V12" i="1"/>
  <c r="I41" i="1" s="1"/>
  <c r="S12" i="1"/>
  <c r="H41" i="1" s="1"/>
  <c r="N12" i="1"/>
  <c r="G41" i="1" s="1"/>
  <c r="I12" i="1"/>
  <c r="F41" i="1" s="1"/>
  <c r="V11" i="1"/>
  <c r="S11" i="1"/>
  <c r="H40" i="1" s="1"/>
  <c r="N11" i="1"/>
  <c r="I11" i="1"/>
  <c r="F38" i="4" l="1"/>
  <c r="I39" i="4"/>
  <c r="G41" i="4"/>
  <c r="K41" i="4"/>
  <c r="I43" i="4"/>
  <c r="AJ18" i="4"/>
  <c r="H40" i="4"/>
  <c r="L40" i="4"/>
  <c r="F42" i="4"/>
  <c r="J42" i="4"/>
  <c r="AJ22" i="4"/>
  <c r="H38" i="4"/>
  <c r="L38" i="4"/>
  <c r="AJ26" i="4"/>
  <c r="AJ30" i="4"/>
  <c r="J38" i="4"/>
  <c r="I38" i="4"/>
  <c r="G40" i="4"/>
  <c r="K40" i="4"/>
  <c r="I42" i="4"/>
  <c r="P42" i="4" s="1"/>
  <c r="Q42" i="4" s="1"/>
  <c r="R42" i="4" s="1"/>
  <c r="AJ17" i="4"/>
  <c r="H39" i="4"/>
  <c r="L39" i="4"/>
  <c r="P39" i="4" s="1"/>
  <c r="Q39" i="4" s="1"/>
  <c r="R39" i="4" s="1"/>
  <c r="F41" i="4"/>
  <c r="P41" i="4" s="1"/>
  <c r="Q41" i="4" s="1"/>
  <c r="R41" i="4" s="1"/>
  <c r="J41" i="4"/>
  <c r="H43" i="4"/>
  <c r="L43" i="4"/>
  <c r="P43" i="4" s="1"/>
  <c r="Q43" i="4" s="1"/>
  <c r="R43" i="4" s="1"/>
  <c r="AJ20" i="4"/>
  <c r="AJ24" i="4"/>
  <c r="AJ28" i="4"/>
  <c r="AJ19" i="4"/>
  <c r="AJ23" i="4"/>
  <c r="AJ27" i="4"/>
  <c r="AJ21" i="4"/>
  <c r="AJ25" i="4"/>
  <c r="AJ29" i="4"/>
  <c r="AF12" i="3"/>
  <c r="AF17" i="3"/>
  <c r="AF18" i="3"/>
  <c r="AF21" i="3"/>
  <c r="AF22" i="3"/>
  <c r="AF25" i="3"/>
  <c r="AF26" i="3"/>
  <c r="AF29" i="3"/>
  <c r="AF30" i="3"/>
  <c r="I35" i="2"/>
  <c r="G36" i="2"/>
  <c r="AB20" i="2"/>
  <c r="AB16" i="2"/>
  <c r="AB24" i="2"/>
  <c r="AB28" i="2"/>
  <c r="AB15" i="2"/>
  <c r="M41" i="1"/>
  <c r="N41" i="1" s="1"/>
  <c r="O41" i="1" s="1"/>
  <c r="F35" i="2"/>
  <c r="AB11" i="2"/>
  <c r="F36" i="2"/>
  <c r="AB12" i="2"/>
  <c r="AF11" i="3"/>
  <c r="H37" i="3"/>
  <c r="P38" i="4"/>
  <c r="N37" i="5"/>
  <c r="W18" i="1"/>
  <c r="W26" i="1"/>
  <c r="H35" i="2"/>
  <c r="F37" i="2"/>
  <c r="AB13" i="2"/>
  <c r="J37" i="2"/>
  <c r="AB17" i="2"/>
  <c r="AB21" i="2"/>
  <c r="AB25" i="2"/>
  <c r="AB29" i="2"/>
  <c r="N38" i="5"/>
  <c r="M43" i="1"/>
  <c r="N43" i="1" s="1"/>
  <c r="O43" i="1" s="1"/>
  <c r="W16" i="1"/>
  <c r="W24" i="1"/>
  <c r="J36" i="2"/>
  <c r="O38" i="5"/>
  <c r="P38" i="5" s="1"/>
  <c r="F40" i="1"/>
  <c r="M40" i="1" s="1"/>
  <c r="N40" i="1" s="1"/>
  <c r="O40" i="1" s="1"/>
  <c r="W11" i="1"/>
  <c r="F42" i="1"/>
  <c r="M42" i="1" s="1"/>
  <c r="N42" i="1" s="1"/>
  <c r="O42" i="1" s="1"/>
  <c r="W13" i="1"/>
  <c r="W20" i="1"/>
  <c r="W28" i="1"/>
  <c r="H36" i="2"/>
  <c r="AB14" i="2"/>
  <c r="AB18" i="2"/>
  <c r="AB22" i="2"/>
  <c r="AB26" i="2"/>
  <c r="AB30" i="2"/>
  <c r="F10" i="6"/>
  <c r="AF13" i="3"/>
  <c r="H38" i="3"/>
  <c r="N39" i="5"/>
  <c r="O39" i="5" s="1"/>
  <c r="P39" i="5" s="1"/>
  <c r="AF15" i="3"/>
  <c r="AF16" i="3"/>
  <c r="AF19" i="3"/>
  <c r="AF20" i="3"/>
  <c r="AF23" i="3"/>
  <c r="AF24" i="3"/>
  <c r="AF27" i="3"/>
  <c r="AF28" i="3"/>
  <c r="AJ11" i="4"/>
  <c r="AJ12" i="4"/>
  <c r="AJ13" i="4"/>
  <c r="AJ14" i="4"/>
  <c r="AJ15" i="4"/>
  <c r="AJ16" i="4"/>
  <c r="AA11" i="5"/>
  <c r="W12" i="1"/>
  <c r="AA10" i="5"/>
  <c r="AA12" i="5"/>
  <c r="W14" i="1"/>
  <c r="G37" i="3"/>
  <c r="K37" i="3"/>
  <c r="G9" i="6"/>
  <c r="H9" i="6" s="1"/>
  <c r="I9" i="6" s="1"/>
  <c r="AF14" i="3"/>
  <c r="F38" i="3"/>
  <c r="P40" i="4" l="1"/>
  <c r="Q40" i="4" s="1"/>
  <c r="R40" i="4" s="1"/>
  <c r="O38" i="3"/>
  <c r="P38" i="3" s="1"/>
  <c r="Q38" i="3" s="1"/>
  <c r="O37" i="3"/>
  <c r="N35" i="2"/>
  <c r="N36" i="2"/>
  <c r="O36" i="2" s="1"/>
  <c r="P36" i="2" s="1"/>
  <c r="G12" i="6"/>
  <c r="H12" i="6" s="1"/>
  <c r="I12" i="6" s="1"/>
  <c r="Q38" i="4"/>
  <c r="R38" i="4" s="1"/>
  <c r="N37" i="2"/>
  <c r="O37" i="2" s="1"/>
  <c r="P37" i="2" s="1"/>
  <c r="G13" i="6"/>
  <c r="H13" i="6" s="1"/>
  <c r="I13" i="6" s="1"/>
  <c r="O37" i="5"/>
  <c r="P37" i="5" s="1"/>
  <c r="O35" i="2"/>
  <c r="P35" i="2" s="1"/>
  <c r="G11" i="6"/>
  <c r="H11" i="6" s="1"/>
  <c r="I11" i="6" s="1"/>
  <c r="P37" i="3"/>
  <c r="Q37" i="3" s="1"/>
  <c r="G10" i="6" l="1"/>
  <c r="H10" i="6" s="1"/>
  <c r="I10" i="6" s="1"/>
</calcChain>
</file>

<file path=xl/sharedStrings.xml><?xml version="1.0" encoding="utf-8"?>
<sst xmlns="http://schemas.openxmlformats.org/spreadsheetml/2006/main" count="455" uniqueCount="168">
  <si>
    <t>John Doe</t>
  </si>
  <si>
    <t>Arjun Reddy</t>
  </si>
  <si>
    <t>Raj Kumar</t>
  </si>
  <si>
    <t>Rohit Mehta</t>
  </si>
  <si>
    <t>Sneha Kapoor</t>
  </si>
  <si>
    <t>Anil Sharma</t>
  </si>
  <si>
    <t>Anjali Roy</t>
  </si>
  <si>
    <t>Pooja Desai</t>
  </si>
  <si>
    <t>Karan Singh</t>
  </si>
  <si>
    <t>Sunita Rao</t>
  </si>
  <si>
    <t>Jane Smith</t>
  </si>
  <si>
    <t>Suresh Nair</t>
  </si>
  <si>
    <t>Neha Verma</t>
  </si>
  <si>
    <t>Priya Singh</t>
  </si>
  <si>
    <t>Vikram Gupta</t>
  </si>
  <si>
    <t>Amit Patel</t>
  </si>
  <si>
    <t>Gaurav Patel</t>
  </si>
  <si>
    <t>Rajesh Kumar</t>
  </si>
  <si>
    <t>Shweta Agarwal</t>
  </si>
  <si>
    <t>Emp_name</t>
  </si>
  <si>
    <t>Hours rate</t>
  </si>
  <si>
    <t>Employee Table</t>
  </si>
  <si>
    <t>Week-1(13/03/2023-17/03/2023)</t>
  </si>
  <si>
    <t>'Week-2 (20/03/2023-24/03/2023)</t>
  </si>
  <si>
    <t>'Week-3(27/03/2023-31/03/2023)</t>
  </si>
  <si>
    <t>'Week-4(03/04/2023-07/04/2023)</t>
  </si>
  <si>
    <t>'Week-5(10/04/2023-14/04/2023)</t>
  </si>
  <si>
    <t>'Week-6(17/04/2023-21/04/2023)</t>
  </si>
  <si>
    <t>'Week-7 (24/04/2023-28/04/2023)</t>
  </si>
  <si>
    <t>'Week-9(08/05/2023-12/05/2023)</t>
  </si>
  <si>
    <t>'Week-8 (01/05/2023-05/05/2023)</t>
  </si>
  <si>
    <t>'Week-10(15/05/2023-19/05/2023)</t>
  </si>
  <si>
    <t>'Week-11(22/05/2023-26/05/2023)</t>
  </si>
  <si>
    <t>'Week-12(29/05/2023-02/06/2023)</t>
  </si>
  <si>
    <t>Total Hours</t>
  </si>
  <si>
    <t>'Week-13(05/06/2023-09/06/2023)</t>
  </si>
  <si>
    <t>'Week-14(12/06/2023-16/06/2023)</t>
  </si>
  <si>
    <t>'Week-15(19/06/2023-23/06/2023)</t>
  </si>
  <si>
    <t>Week - 16(26/06/2023-30/06/2023)</t>
  </si>
  <si>
    <t>Week - 17(03/07/2023-07/07/2023)</t>
  </si>
  <si>
    <t>^Week - 18(10/07/2023-14/07/2023)</t>
  </si>
  <si>
    <t>'Week-19(10/04/2023-14/04/2023)</t>
  </si>
  <si>
    <t>'Week-20(17/07/2023-21/07/2023)</t>
  </si>
  <si>
    <t>'Week-21 (24/0/2023-28/04/2023)</t>
  </si>
  <si>
    <t>'Week-22 (31/07/2023-04/08/2023)</t>
  </si>
  <si>
    <t>'Week-23(07/08/2023-11/08/2023)</t>
  </si>
  <si>
    <t>'Week-24(14/08/2023-18/08/2023)</t>
  </si>
  <si>
    <t>'Week-25(21/08/2023-25/08/2023)</t>
  </si>
  <si>
    <t>'Week-26(28/08/2023-01/09/2023)</t>
  </si>
  <si>
    <t>'Week-27(04/09/2023-08/09/2023)</t>
  </si>
  <si>
    <t>'Week-28(11/09/2023-15/09/2023)</t>
  </si>
  <si>
    <t>'Week-29(18/09/2023-22/09/2023)</t>
  </si>
  <si>
    <t>Week - 30(25/09/2023-29/09/2023)</t>
  </si>
  <si>
    <t>Week - 31(02/10/2023-06/10/2023)</t>
  </si>
  <si>
    <t>^Week - 32(09/10/2023-13/10/2023)</t>
  </si>
  <si>
    <t>^Week - 33(16/10/2023-20/10/2023)</t>
  </si>
  <si>
    <t>^Week - 34(23/10/2023-27/10/2023)</t>
  </si>
  <si>
    <t>^Week - 35(30/10/2023-03/11/2023)</t>
  </si>
  <si>
    <t>Week - 36(06/11/2023-10/11/2023)</t>
  </si>
  <si>
    <t>Week - 37(20/11/2023-24/11/2023)22</t>
  </si>
  <si>
    <t>Week - 38(27/11/2023-01/12/2023)</t>
  </si>
  <si>
    <t>Week - 39(04/12/2023-08/12/2023)</t>
  </si>
  <si>
    <t>Week - 40(11/11/2023-15/11/2023)4</t>
  </si>
  <si>
    <t>Week - 41(18/11/2023-22/11/2023)</t>
  </si>
  <si>
    <t>Week - 42(25/11/2023-29/11/2023)</t>
  </si>
  <si>
    <t>Week - 40(11/12/2023-15/12/2023)4</t>
  </si>
  <si>
    <t>Week - 41(18/12/2023-22/12/2023)</t>
  </si>
  <si>
    <t>Week - 42(25/12/2023-29/12/2023)</t>
  </si>
  <si>
    <t>Week - 43(01/01/2024-05/01/2024)</t>
  </si>
  <si>
    <t>Week - 44(08/01/2024-12/01/2024)</t>
  </si>
  <si>
    <t>Week - 45(15/01/2024-19/01/2024)</t>
  </si>
  <si>
    <t>Week - 46(22/01/2024-26/01/2024)</t>
  </si>
  <si>
    <t>Week - 47(29/01/2024-02/02/2024)</t>
  </si>
  <si>
    <t>Week - 48(05/02/2024-09/02/2024)</t>
  </si>
  <si>
    <t>Week - 49(12/02/2024-16/02/2024)</t>
  </si>
  <si>
    <t>Week - 50(19/02/2024-23/02/2024)</t>
  </si>
  <si>
    <t>Week - 51(26/02/2024-01/03/2024)</t>
  </si>
  <si>
    <t>Week - 52(04/03/2024-08/03/2024)</t>
  </si>
  <si>
    <t>Delta</t>
  </si>
  <si>
    <t>Project Name</t>
  </si>
  <si>
    <t>Project A</t>
  </si>
  <si>
    <t>Project B</t>
  </si>
  <si>
    <t>Project C</t>
  </si>
  <si>
    <t>ProjectD</t>
  </si>
  <si>
    <t>^Project Name</t>
  </si>
  <si>
    <t>Extra</t>
  </si>
  <si>
    <t>Budget Table</t>
  </si>
  <si>
    <t>Project F</t>
  </si>
  <si>
    <t xml:space="preserve"> Project Wise Budget</t>
  </si>
  <si>
    <t>' Project Wise Total Budget</t>
  </si>
  <si>
    <t>' Project Wise Total Burnt</t>
  </si>
  <si>
    <t>' Project Wise %Remaing Budget</t>
  </si>
  <si>
    <t>Project  E</t>
  </si>
  <si>
    <t>Project G</t>
  </si>
  <si>
    <t>'First Mounth</t>
  </si>
  <si>
    <t>^'First Mounth</t>
  </si>
  <si>
    <t>'Second Mounth</t>
  </si>
  <si>
    <t>Third Mounth</t>
  </si>
  <si>
    <t>Fourth Mounth</t>
  </si>
  <si>
    <t>Project Wise  Total Burnt</t>
  </si>
  <si>
    <t>^'Second Mounth</t>
  </si>
  <si>
    <t>^Third Mounth</t>
  </si>
  <si>
    <t>^Fifth  Mounth</t>
  </si>
  <si>
    <t>^'First Month</t>
  </si>
  <si>
    <t>'Second Month</t>
  </si>
  <si>
    <t>Third Month</t>
  </si>
  <si>
    <t>Fourth Month</t>
  </si>
  <si>
    <t>Fifth  Month</t>
  </si>
  <si>
    <t>Emp_name2</t>
  </si>
  <si>
    <t>Fifth Month</t>
  </si>
  <si>
    <t>Sixth Month</t>
  </si>
  <si>
    <t>Eighth Month</t>
  </si>
  <si>
    <t>Ninth Month</t>
  </si>
  <si>
    <t>^Seventh Month</t>
  </si>
  <si>
    <t>^Fourth Month</t>
  </si>
  <si>
    <t>^Fifth Month</t>
  </si>
  <si>
    <t>^^Seventh Month</t>
  </si>
  <si>
    <t>^Eighth Month</t>
  </si>
  <si>
    <t>^Ninth Month</t>
  </si>
  <si>
    <t>Project H</t>
  </si>
  <si>
    <t>Project I</t>
  </si>
  <si>
    <t>count of employee</t>
  </si>
  <si>
    <t>Tenth Month</t>
  </si>
  <si>
    <t>Eleventh Month</t>
  </si>
  <si>
    <t>Project j</t>
  </si>
  <si>
    <t>Project K</t>
  </si>
  <si>
    <t>Project L</t>
  </si>
  <si>
    <t>Project M</t>
  </si>
  <si>
    <t>Project N</t>
  </si>
  <si>
    <t>Project O</t>
  </si>
  <si>
    <t>^Tenth Month</t>
  </si>
  <si>
    <t>^Eleventh Month</t>
  </si>
  <si>
    <t>Thirteenth Mounth</t>
  </si>
  <si>
    <t>Twelveth Months</t>
  </si>
  <si>
    <t>^Twelveth Months</t>
  </si>
  <si>
    <t>Project P</t>
  </si>
  <si>
    <t>Project Q</t>
  </si>
  <si>
    <t>Project R</t>
  </si>
  <si>
    <t>Week-2 (20/03/2023-24/03/2023)</t>
  </si>
  <si>
    <t>Week-3(27/03/2023-31/03/2023)</t>
  </si>
  <si>
    <t>Week-14(12/06/2023-16/06/2023)</t>
  </si>
  <si>
    <t>Week-13(05/06/2023-09/06/2023)</t>
  </si>
  <si>
    <t>S.No.</t>
  </si>
  <si>
    <t>All Total Delta</t>
  </si>
  <si>
    <t>All Total Remaning Percentage</t>
  </si>
  <si>
    <t>Company Name</t>
  </si>
  <si>
    <t xml:space="preserve"> Total Company Budget</t>
  </si>
  <si>
    <t>Total Burnt</t>
  </si>
  <si>
    <t>RELIANCE INDUSTRY</t>
  </si>
  <si>
    <t>COGNIZANT TECHNOLOGY SOLUTIONS CORPORATION</t>
  </si>
  <si>
    <t>count of Project</t>
  </si>
  <si>
    <t>MASTER DATA SET</t>
  </si>
  <si>
    <t>Week-4(03/04/2023-07/04/2023)</t>
  </si>
  <si>
    <t>' Project Wise Total Bunt</t>
  </si>
  <si>
    <t>First Month(13/03/2023-07/04/2024)</t>
  </si>
  <si>
    <t>Second Month(10/04/2023-05/05/2023)</t>
  </si>
  <si>
    <t>Third Month(08/05/2023-02/06/2023)</t>
  </si>
  <si>
    <t>Fourth Month(05/06/2023-16/06/2023)</t>
  </si>
  <si>
    <t>1.IBM</t>
  </si>
  <si>
    <t>2.IQVIA</t>
  </si>
  <si>
    <t>3.BAJAJ</t>
  </si>
  <si>
    <t>4. RI</t>
  </si>
  <si>
    <t>R</t>
  </si>
  <si>
    <t>BUDGET TABLE</t>
  </si>
  <si>
    <t>4.'COGNIZANT TECHNOLOGY SOLUTIONS CORPORATION (CTC)</t>
  </si>
  <si>
    <t>IBM</t>
  </si>
  <si>
    <t>IQVIA</t>
  </si>
  <si>
    <t>BAJAJ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</si>
</sst>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Aptos Narrow"/>
      <family val="2"/>
      <scheme val="minor"/>
    </font>
    <font>
      <sz val="12"/>
      <color rgb="FF000000"/>
      <name val="Calibri"/>
      <family val="2"/>
    </font>
    <font>
      <b/>
      <i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i/>
      <u val="double"/>
      <sz val="24"/>
      <color theme="0"/>
      <name val="Aptos Narrow"/>
      <family val="2"/>
      <scheme val="minor"/>
    </font>
    <font>
      <sz val="12"/>
      <color theme="1"/>
      <name val="Calibri"/>
      <family val="2"/>
    </font>
    <font>
      <u/>
      <sz val="11"/>
      <color theme="10"/>
      <name val="Aptos Narrow"/>
      <family val="2"/>
      <scheme val="minor"/>
    </font>
    <font>
      <b/>
      <u val="double"/>
      <sz val="24"/>
      <color theme="0"/>
      <name val="Abadi"/>
      <family val="2"/>
    </font>
    <font>
      <b/>
      <u val="double"/>
      <sz val="22"/>
      <color theme="0"/>
      <name val="Aptos Narrow"/>
      <family val="2"/>
      <scheme val="minor"/>
    </font>
    <font>
      <b/>
      <u val="double"/>
      <sz val="24"/>
      <color theme="0"/>
      <name val="Aptos Narrow"/>
      <family val="2"/>
      <scheme val="minor"/>
    </font>
    <font>
      <b/>
      <u val="double"/>
      <sz val="48"/>
      <color theme="0"/>
      <name val="Algerian"/>
      <family val="5"/>
    </font>
    <font>
      <b/>
      <u/>
      <sz val="18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79998168889431442"/>
        <bgColor theme="4" tint="0.5999938962981048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153E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90">
    <xf numFmtId="0" fontId="0" fillId="0" borderId="0" xfId="0"/>
    <xf numFmtId="0" fontId="6" fillId="0" borderId="0" xfId="0" applyFont="1"/>
    <xf numFmtId="0" fontId="1" fillId="2" borderId="5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9" fontId="0" fillId="4" borderId="1" xfId="1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/>
    <xf numFmtId="9" fontId="0" fillId="4" borderId="2" xfId="1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" fillId="9" borderId="0" xfId="0" applyFont="1" applyFill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8" xfId="0" quotePrefix="1" applyFont="1" applyFill="1" applyBorder="1" applyAlignment="1">
      <alignment horizontal="center" vertical="center"/>
    </xf>
    <xf numFmtId="0" fontId="2" fillId="9" borderId="8" xfId="0" quotePrefix="1" applyFont="1" applyFill="1" applyBorder="1" applyAlignment="1">
      <alignment horizontal="left" vertic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2" fillId="9" borderId="1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4" borderId="3" xfId="1" applyNumberFormat="1" applyFont="1" applyFill="1" applyBorder="1"/>
    <xf numFmtId="9" fontId="0" fillId="4" borderId="3" xfId="1" applyFont="1" applyFill="1" applyBorder="1"/>
    <xf numFmtId="0" fontId="8" fillId="2" borderId="3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9" fontId="0" fillId="3" borderId="3" xfId="1" applyFont="1" applyFill="1" applyBorder="1" applyAlignment="1">
      <alignment horizontal="center"/>
    </xf>
    <xf numFmtId="9" fontId="0" fillId="3" borderId="5" xfId="1" applyFont="1" applyFill="1" applyBorder="1" applyAlignment="1">
      <alignment horizontal="center"/>
    </xf>
    <xf numFmtId="0" fontId="5" fillId="9" borderId="0" xfId="0" applyFont="1" applyFill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5" fillId="9" borderId="8" xfId="0" quotePrefix="1" applyFont="1" applyFill="1" applyBorder="1" applyAlignment="1">
      <alignment horizontal="center" vertical="center"/>
    </xf>
    <xf numFmtId="0" fontId="5" fillId="9" borderId="8" xfId="0" quotePrefix="1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center" vertical="center"/>
    </xf>
    <xf numFmtId="0" fontId="0" fillId="12" borderId="12" xfId="0" applyFill="1" applyBorder="1"/>
    <xf numFmtId="0" fontId="6" fillId="13" borderId="3" xfId="2" quotePrefix="1" applyFont="1" applyFill="1" applyBorder="1" applyAlignment="1">
      <alignment horizontal="left"/>
    </xf>
    <xf numFmtId="0" fontId="0" fillId="12" borderId="3" xfId="0" applyFill="1" applyBorder="1" applyAlignment="1">
      <alignment horizontal="right"/>
    </xf>
    <xf numFmtId="0" fontId="0" fillId="12" borderId="3" xfId="0" applyFill="1" applyBorder="1"/>
    <xf numFmtId="0" fontId="0" fillId="13" borderId="12" xfId="0" applyFill="1" applyBorder="1"/>
    <xf numFmtId="0" fontId="0" fillId="13" borderId="3" xfId="0" applyFill="1" applyBorder="1" applyAlignment="1">
      <alignment horizontal="right"/>
    </xf>
    <xf numFmtId="0" fontId="0" fillId="13" borderId="3" xfId="0" applyFill="1" applyBorder="1"/>
    <xf numFmtId="0" fontId="6" fillId="12" borderId="3" xfId="2" quotePrefix="1" applyFont="1" applyFill="1" applyBorder="1" applyAlignment="1">
      <alignment horizontal="left"/>
    </xf>
    <xf numFmtId="0" fontId="6" fillId="13" borderId="3" xfId="2" applyFont="1" applyFill="1" applyBorder="1" applyAlignment="1">
      <alignment horizontal="left"/>
    </xf>
    <xf numFmtId="0" fontId="0" fillId="12" borderId="4" xfId="0" applyFill="1" applyBorder="1"/>
    <xf numFmtId="0" fontId="6" fillId="12" borderId="5" xfId="2" applyFont="1" applyFill="1" applyBorder="1" applyAlignment="1">
      <alignment horizontal="left"/>
    </xf>
    <xf numFmtId="0" fontId="0" fillId="12" borderId="5" xfId="0" applyFill="1" applyBorder="1" applyAlignment="1">
      <alignment horizontal="right"/>
    </xf>
    <xf numFmtId="0" fontId="0" fillId="12" borderId="5" xfId="0" applyFill="1" applyBorder="1"/>
    <xf numFmtId="0" fontId="2" fillId="9" borderId="10" xfId="0" applyFont="1" applyFill="1" applyBorder="1" applyAlignment="1">
      <alignment horizontal="center" vertical="center"/>
    </xf>
    <xf numFmtId="0" fontId="5" fillId="10" borderId="11" xfId="0" applyFont="1" applyFill="1" applyBorder="1" applyAlignment="1">
      <alignment horizontal="center" vertical="center"/>
    </xf>
    <xf numFmtId="0" fontId="2" fillId="9" borderId="11" xfId="0" quotePrefix="1" applyFont="1" applyFill="1" applyBorder="1" applyAlignment="1">
      <alignment horizontal="center" vertical="center"/>
    </xf>
    <xf numFmtId="0" fontId="2" fillId="9" borderId="11" xfId="0" quotePrefix="1" applyFont="1" applyFill="1" applyBorder="1" applyAlignment="1">
      <alignment horizontal="left" vertical="center"/>
    </xf>
    <xf numFmtId="0" fontId="2" fillId="9" borderId="9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9" borderId="9" xfId="0" quotePrefix="1" applyFont="1" applyFill="1" applyBorder="1" applyAlignment="1">
      <alignment horizontal="left" vertical="center"/>
    </xf>
    <xf numFmtId="0" fontId="8" fillId="2" borderId="12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14" fillId="5" borderId="3" xfId="0" quotePrefix="1" applyFont="1" applyFill="1" applyBorder="1" applyAlignment="1">
      <alignment horizontal="center" vertical="center"/>
    </xf>
    <xf numFmtId="0" fontId="14" fillId="11" borderId="3" xfId="0" quotePrefix="1" applyFont="1" applyFill="1" applyBorder="1" applyAlignment="1">
      <alignment horizontal="center" vertical="center"/>
    </xf>
    <xf numFmtId="0" fontId="11" fillId="7" borderId="3" xfId="0" quotePrefix="1" applyFont="1" applyFill="1" applyBorder="1" applyAlignment="1">
      <alignment horizontal="center" vertical="center"/>
    </xf>
    <xf numFmtId="0" fontId="14" fillId="5" borderId="8" xfId="0" quotePrefix="1" applyFont="1" applyFill="1" applyBorder="1" applyAlignment="1">
      <alignment horizontal="center" vertical="center"/>
    </xf>
    <xf numFmtId="0" fontId="12" fillId="6" borderId="0" xfId="0" quotePrefix="1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0" fillId="6" borderId="0" xfId="0" quotePrefix="1" applyFont="1" applyFill="1" applyAlignment="1">
      <alignment horizontal="center"/>
    </xf>
    <xf numFmtId="0" fontId="7" fillId="6" borderId="0" xfId="0" quotePrefix="1" applyFont="1" applyFill="1" applyAlignment="1">
      <alignment horizontal="center"/>
    </xf>
    <xf numFmtId="0" fontId="13" fillId="14" borderId="3" xfId="0" applyFont="1" applyFill="1" applyBorder="1" applyAlignment="1">
      <alignment horizontal="center" vertical="center"/>
    </xf>
    <xf numFmtId="0" fontId="5" fillId="9" borderId="11" xfId="0" applyFont="1" applyFill="1" applyBorder="1" applyAlignment="1">
      <alignment horizontal="center" vertical="center"/>
    </xf>
    <xf numFmtId="0" fontId="14" fillId="5" borderId="0" xfId="0" quotePrefix="1" applyFont="1" applyFill="1" applyBorder="1" applyAlignment="1">
      <alignment horizontal="center" vertical="center"/>
    </xf>
    <xf numFmtId="0" fontId="13" fillId="14" borderId="3" xfId="0" quotePrefix="1" applyFont="1" applyFill="1" applyBorder="1" applyAlignment="1">
      <alignment horizontal="center" vertical="center"/>
    </xf>
    <xf numFmtId="9" fontId="15" fillId="12" borderId="2" xfId="1" applyFont="1" applyFill="1" applyBorder="1"/>
  </cellXfs>
  <cellStyles count="3">
    <cellStyle name="Hyperlink" xfId="2" builtinId="8"/>
    <cellStyle name="Normal" xfId="0" builtinId="0"/>
    <cellStyle name="Percent" xfId="1" builtinId="5"/>
  </cellStyles>
  <dxfs count="2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3" formatCode="0%"/>
      <fill>
        <patternFill patternType="solid">
          <fgColor theme="4" tint="0.79998168889431442"/>
          <bgColor theme="7" tint="0.5999938962981048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B4B000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/>
          <bgColor rgb="FF00153E"/>
        </patternFill>
      </fill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right style="thin">
          <color theme="4" tint="0.39997558519241921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7" tint="0.5999938962981048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1"/>
        <name val="Aptos Narrow"/>
        <family val="2"/>
        <scheme val="minor"/>
      </font>
      <fill>
        <patternFill patternType="solid"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7" tint="0.5999938962981048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7" tint="0.59999389629810485"/>
        </patternFill>
      </fill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theme="4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theme="4" tint="0.79998168889431442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3" formatCode="0%"/>
      <fill>
        <patternFill patternType="solid">
          <fgColor theme="4" tint="0.59999389629810485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4" tint="0.59999389629810485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4" tint="0.59999389629810485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4" tint="0.59999389629810485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4" tint="0.59999389629810485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4" tint="0.59999389629810485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solid">
          <fgColor theme="4" tint="0.79998168889431442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59999389629810485"/>
          <bgColor theme="7" tint="-0.249977111117893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rgb="FF00153E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</font>
      <fill>
        <patternFill patternType="solid"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</font>
      <fill>
        <patternFill patternType="solid"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</font>
      <fill>
        <patternFill patternType="solid"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theme="4" tint="0.79998168889431442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solid">
          <fgColor theme="4" tint="0.79998168889431442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0"/>
      </font>
      <fill>
        <patternFill patternType="solid">
          <bgColor theme="4" tint="-0.499984740745262"/>
        </patternFill>
      </fill>
    </dxf>
    <dxf>
      <border outline="0">
        <left style="thin">
          <color indexed="64"/>
        </lef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79998168889431442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solid">
          <fgColor theme="4" tint="0.79998168889431442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 tint="0.59999389629810485"/>
          <bgColor theme="4" tint="-0.499984740745262"/>
        </patternFill>
      </fill>
      <alignment horizont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rgb="FF00153E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solid">
          <fgColor theme="4" tint="0.79998168889431442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59999389629810485"/>
          <bgColor theme="7" tint="0.79998168889431442"/>
        </patternFill>
      </fill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3" formatCode="0%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1"/>
      </font>
      <fill>
        <patternFill patternType="solid"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</dxf>
    <dxf>
      <fill>
        <patternFill>
          <bgColor rgb="FF00153E"/>
        </patternFill>
      </fill>
    </dxf>
  </dxfs>
  <tableStyles count="1" defaultTableStyle="Table Style 1" defaultPivotStyle="PivotStyleLight16">
    <tableStyle name="Table Style 1" pivot="0" count="2" xr9:uid="{010F984D-EDC3-4A3B-93EA-80277945A78B}">
      <tableStyleElement type="firstRowStripe" dxfId="264"/>
      <tableStyleElement type="firstColumnStripe" dxfId="263"/>
    </tableStyle>
  </tableStyles>
  <colors>
    <mruColors>
      <color rgb="FF00153E"/>
      <color rgb="FF00133A"/>
      <color rgb="FFB4B000"/>
      <color rgb="FFA50021"/>
      <color rgb="FFFB8D8D"/>
      <color rgb="FFFFCC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68A94B-1EBD-4812-B12B-3FCC03BBF551}" name="Table2" displayName="Table2" ref="D39:O43" totalsRowShown="0" headerRowDxfId="262" dataDxfId="260" headerRowBorderDxfId="261" tableBorderDxfId="259" totalsRowBorderDxfId="258">
  <autoFilter ref="D39:O43" xr:uid="{0668A94B-1EBD-4812-B12B-3FCC03BBF551}"/>
  <tableColumns count="12">
    <tableColumn id="1" xr3:uid="{22F9DFA2-7A3F-495E-AD7A-BF4D7D3A3086}" name="^Project Name" dataDxfId="257"/>
    <tableColumn id="2" xr3:uid="{795FEDC6-EE47-4ECF-A0EB-A21A48E84530}" name="count of employee" dataDxfId="256">
      <calculatedColumnFormula>COUNTIFS(IBM!$C$11:$C$30,D40)</calculatedColumnFormula>
    </tableColumn>
    <tableColumn id="3" xr3:uid="{85E08F19-21EB-4C13-9322-800277EB8563}" name="^'First Mounth" dataDxfId="255">
      <calculatedColumnFormula>(SUMIFS(I11:I30,C11:C30,D40))*(SUMIFS(X11:X30,C11:C30,D40))</calculatedColumnFormula>
    </tableColumn>
    <tableColumn id="4" xr3:uid="{E615EC67-4FA9-4954-86F0-A67382B67990}" name="'Second Mounth" dataDxfId="254">
      <calculatedColumnFormula>(SUMIFS(N11:N30,C11:C30,D40))*(SUMIFS(X11:X30,C11:C30,D40))</calculatedColumnFormula>
    </tableColumn>
    <tableColumn id="5" xr3:uid="{2ADE02E1-4915-4E9E-8C6C-E8F13E791B43}" name="Third Mounth" dataDxfId="253">
      <calculatedColumnFormula>(SUMIFS(S11:S30,C11:C30,D40))*(SUMIFS(X11:X30,C11:C30,D40))</calculatedColumnFormula>
    </tableColumn>
    <tableColumn id="6" xr3:uid="{7255F649-DF9E-4D6A-98D6-B1390DC66C80}" name="Fourth Mounth" dataDxfId="252">
      <calculatedColumnFormula>(SUMIFS(V11:V30,C11:C30,D40))*(SUMIFS(X11:X30,C11:C30,D40))</calculatedColumnFormula>
    </tableColumn>
    <tableColumn id="7" xr3:uid="{F337E64A-6671-4500-A109-90D02263BC4B}" name=" Project Wise Budget" dataDxfId="251"/>
    <tableColumn id="8" xr3:uid="{FE0DBED0-60A5-4DBE-BD1F-0B5CDAA32486}" name="Extra" dataDxfId="250"/>
    <tableColumn id="9" xr3:uid="{7C806018-B10F-475B-9AF1-9762BBC2F443}" name="' Project Wise Total Budget" dataDxfId="249">
      <calculatedColumnFormula>J40+K40</calculatedColumnFormula>
    </tableColumn>
    <tableColumn id="10" xr3:uid="{59ADA8A6-96A0-4DDA-A8FC-71BF669D88F5}" name="Project Wise  Total Burnt" dataDxfId="248">
      <calculatedColumnFormula>SUM(F40:I40)</calculatedColumnFormula>
    </tableColumn>
    <tableColumn id="11" xr3:uid="{83EC163B-D832-483E-A438-DB51EFCD5702}" name="Delta" dataDxfId="247">
      <calculatedColumnFormula>(L40-M40)</calculatedColumnFormula>
    </tableColumn>
    <tableColumn id="12" xr3:uid="{E324A81A-36AA-4861-B38F-166BF90EA067}" name="' Project Wise %Remaing Budget" dataDxfId="246" dataCellStyle="Percent">
      <calculatedColumnFormula>N40/J40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90C1DC3-CC54-42B2-BF1F-73D84CB188A1}" name="Table13" displayName="Table13" ref="C9:AB29" totalsRowShown="0" headerRowDxfId="58" dataDxfId="57" tableBorderDxfId="56">
  <autoFilter ref="C9:AB29" xr:uid="{890C1DC3-CC54-42B2-BF1F-73D84CB188A1}"/>
  <tableColumns count="26">
    <tableColumn id="1" xr3:uid="{29860739-815B-401F-90CC-0C3328E97283}" name="Project Name" dataDxfId="55"/>
    <tableColumn id="2" xr3:uid="{18BF46D3-6745-4157-8119-C67A42CB0E01}" name="Emp_name" dataDxfId="54"/>
    <tableColumn id="3" xr3:uid="{FACA3298-0836-46D2-98FE-48F6FBC53659}" name="Week - 36(06/11/2023-10/11/2023)" dataDxfId="53"/>
    <tableColumn id="4" xr3:uid="{9DA595A4-1676-4331-840A-66918E0A49D4}" name="Ninth Month" dataDxfId="52">
      <calculatedColumnFormula>CTC!$E10</calculatedColumnFormula>
    </tableColumn>
    <tableColumn id="5" xr3:uid="{65C674C1-18A3-4B75-B562-E793065EE512}" name="Week - 37(20/11/2023-24/11/2023)22" dataDxfId="51"/>
    <tableColumn id="6" xr3:uid="{8D609FB0-9024-4519-A7D3-3C600B378CF7}" name="Week - 38(27/11/2023-01/12/2023)" dataDxfId="50"/>
    <tableColumn id="7" xr3:uid="{1997A548-4CC3-4730-BB2C-01D7B295A687}" name="Week - 39(04/12/2023-08/12/2023)" dataDxfId="49"/>
    <tableColumn id="8" xr3:uid="{13F39AAF-7AB0-448E-85A2-A06EE97B0B30}" name="Week - 40(11/12/2023-15/12/2023)4" dataDxfId="48"/>
    <tableColumn id="9" xr3:uid="{1F86A738-08F9-46EA-BD65-90F317592DA5}" name="Tenth Month" dataDxfId="47">
      <calculatedColumnFormula>SUM(CTC!$G10:$J10)</calculatedColumnFormula>
    </tableColumn>
    <tableColumn id="10" xr3:uid="{1ECE4B26-2BE8-4DE1-B545-020376CD20B7}" name="Week - 41(18/12/2023-22/12/2023)" dataDxfId="46"/>
    <tableColumn id="11" xr3:uid="{2E0DEBC9-A1B2-4C6B-BE38-865125471139}" name="Week - 42(25/12/2023-29/12/2023)" dataDxfId="45"/>
    <tableColumn id="12" xr3:uid="{3B61FB6C-28AD-4402-8CE8-63615017C521}" name="Week - 43(01/01/2024-05/01/2024)" dataDxfId="44"/>
    <tableColumn id="13" xr3:uid="{677F1FAE-A420-460C-914B-4D2B2D43726E}" name="Week - 44(08/01/2024-12/01/2024)" dataDxfId="43"/>
    <tableColumn id="14" xr3:uid="{E2597DFF-8479-4722-A722-A92780DA4C96}" name="Eleventh Month" dataDxfId="42">
      <calculatedColumnFormula>SUM(CTC!$L10:$O10)</calculatedColumnFormula>
    </tableColumn>
    <tableColumn id="15" xr3:uid="{38FB10B5-9290-4F34-9C3C-E8B76E3DB45B}" name="Week - 45(15/01/2024-19/01/2024)" dataDxfId="41"/>
    <tableColumn id="16" xr3:uid="{871044FD-E88C-4AD4-B60D-B12B08230293}" name="Week - 46(22/01/2024-26/01/2024)" dataDxfId="40"/>
    <tableColumn id="17" xr3:uid="{51B078FB-EFB7-43FD-92A4-3588A96EFAEF}" name="Week - 47(29/01/2024-02/02/2024)" dataDxfId="39"/>
    <tableColumn id="18" xr3:uid="{35D8FC56-8544-440F-BAF7-430888E8124C}" name="Week - 48(05/02/2024-09/02/2024)" dataDxfId="38"/>
    <tableColumn id="19" xr3:uid="{D59D499B-AB83-4868-B1EC-849D0AF7BAC3}" name="Twelveth Months" dataDxfId="37">
      <calculatedColumnFormula>SUM(CTC!$Q10:$T10)</calculatedColumnFormula>
    </tableColumn>
    <tableColumn id="20" xr3:uid="{0C5FC618-22E6-47F4-B3D8-21AA6F080AD3}" name="Week - 49(12/02/2024-16/02/2024)" dataDxfId="36"/>
    <tableColumn id="21" xr3:uid="{5DE4C5BB-C6FD-493B-AC00-AF6E5EFA716F}" name="Week - 50(19/02/2024-23/02/2024)" dataDxfId="35"/>
    <tableColumn id="22" xr3:uid="{BB1667C2-A861-4E0A-8F3E-687B7733262A}" name="Week - 51(26/02/2024-01/03/2024)" dataDxfId="34"/>
    <tableColumn id="23" xr3:uid="{638ACFFC-5826-4293-9888-32C20385745F}" name="Week - 52(04/03/2024-08/03/2024)" dataDxfId="33"/>
    <tableColumn id="24" xr3:uid="{257E117E-F2A9-4B42-9428-C08479C18090}" name="Thirteenth Mounth" dataDxfId="32">
      <calculatedColumnFormula>SUM(CTC!$V10:$Y10)</calculatedColumnFormula>
    </tableColumn>
    <tableColumn id="25" xr3:uid="{5F3F60A2-40C2-42E7-AC63-C80B297C6DAC}" name="Total Hours" dataDxfId="31">
      <calculatedColumnFormula>SUM(E10:Y10)</calculatedColumnFormula>
    </tableColumn>
    <tableColumn id="26" xr3:uid="{FD4B7798-AB86-480C-B2D7-CE40D70AE5D8}" name="Hours rate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19D5803-AFDE-435B-B392-A0B2576B1B20}" name="Table8" displayName="Table8" ref="C8:I13" totalsRowShown="0" headerRowDxfId="29" dataDxfId="27" headerRowBorderDxfId="28" tableBorderDxfId="26" totalsRowBorderDxfId="25">
  <autoFilter ref="C8:I13" xr:uid="{719D5803-AFDE-435B-B392-A0B2576B1B20}"/>
  <tableColumns count="7">
    <tableColumn id="1" xr3:uid="{D451737B-57F7-4ECA-8C5A-59BC68F85103}" name="S.No." dataDxfId="24"/>
    <tableColumn id="2" xr3:uid="{2AB88D90-D6B1-4532-A3D5-712D28BB636E}" name="Company Name" dataDxfId="23"/>
    <tableColumn id="3" xr3:uid="{BE969BF2-B7CC-4DD8-9DB8-79DAACCE1516}" name="count of Project" dataDxfId="22"/>
    <tableColumn id="4" xr3:uid="{C631BD9C-001E-4D97-BD58-0DC2FF9564E5}" name=" Total Company Budget" dataDxfId="21"/>
    <tableColumn id="5" xr3:uid="{50CB5B44-DE23-4ACF-8B88-B00ADCA717D2}" name="Total Burnt" dataDxfId="20"/>
    <tableColumn id="6" xr3:uid="{E98437BF-9529-4455-AB08-C4B214DF420B}" name="All Total Delta" dataDxfId="1">
      <calculatedColumnFormula>F9-G9</calculatedColumnFormula>
    </tableColumn>
    <tableColumn id="7" xr3:uid="{CFF979B0-BF5F-43F4-85D2-836915926D88}" name="All Total Remaning Percentage" dataDxfId="0" dataCellStyle="Percent">
      <calculatedColumnFormula>H9/F9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1ABB72-96ED-4046-B9A1-51D47DE1FA16}" name="Table4" displayName="Table4" ref="C10:X30" totalsRowShown="0" headerRowDxfId="245" dataDxfId="243" headerRowBorderDxfId="244" tableBorderDxfId="242" totalsRowBorderDxfId="241">
  <autoFilter ref="C10:X30" xr:uid="{661ABB72-96ED-4046-B9A1-51D47DE1FA16}"/>
  <tableColumns count="22">
    <tableColumn id="1" xr3:uid="{8964C39E-D8F1-4924-8A90-EB70CCC96185}" name="Project Name" dataDxfId="240"/>
    <tableColumn id="2" xr3:uid="{A9D711D5-1377-4EB3-8F57-7CD35906CEE1}" name="Emp_name" dataDxfId="239"/>
    <tableColumn id="3" xr3:uid="{CAC7F974-C576-470B-9FCD-3509FB1E6A89}" name="Week-1(13/03/2023-17/03/2023)" dataDxfId="238"/>
    <tableColumn id="4" xr3:uid="{A206261E-587F-4BBC-810F-363E91FF30AB}" name="Week-2 (20/03/2023-24/03/2023)" dataDxfId="237"/>
    <tableColumn id="5" xr3:uid="{B74F36DA-A706-456E-A9C6-47C9414B4F3C}" name="Week-3(27/03/2023-31/03/2023)" dataDxfId="236"/>
    <tableColumn id="6" xr3:uid="{BD7930FD-225C-408F-919B-3ACF07C3E1A2}" name="Week-4(03/04/2023-07/04/2023)" dataDxfId="235"/>
    <tableColumn id="7" xr3:uid="{824E7506-F094-4A5C-97AD-AEDC4089B6DE}" name="First Month(13/03/2023-07/04/2024)" dataDxfId="234">
      <calculatedColumnFormula>SUM(IBM!$E11:$H11)</calculatedColumnFormula>
    </tableColumn>
    <tableColumn id="8" xr3:uid="{C309F963-6C03-4198-B9CC-8165F9E9C8CC}" name="'Week-5(10/04/2023-14/04/2023)" dataDxfId="233"/>
    <tableColumn id="9" xr3:uid="{6C29615A-626A-4C2F-A7E0-21DA47CE4C10}" name="'Week-6(17/04/2023-21/04/2023)" dataDxfId="232"/>
    <tableColumn id="10" xr3:uid="{98A5A81B-868A-4233-A2F3-082B2811C3D4}" name="'Week-7 (24/04/2023-28/04/2023)" dataDxfId="231"/>
    <tableColumn id="11" xr3:uid="{5045F09A-7832-4671-8D14-3D67D8138AFF}" name="'Week-8 (01/05/2023-05/05/2023)" dataDxfId="230"/>
    <tableColumn id="12" xr3:uid="{42EB40DA-3A0E-4D18-8A89-34B3DD1ED5BE}" name="Second Month(10/04/2023-05/05/2023)" dataDxfId="229">
      <calculatedColumnFormula>SUM(IBM!$J11:$M11)</calculatedColumnFormula>
    </tableColumn>
    <tableColumn id="13" xr3:uid="{CEE45274-8710-4E9C-91D6-C508961F19D6}" name="'Week-9(08/05/2023-12/05/2023)" dataDxfId="228"/>
    <tableColumn id="14" xr3:uid="{C7F89744-921D-40FA-B0E0-898DA8A80CE5}" name="'Week-10(15/05/2023-19/05/2023)" dataDxfId="227"/>
    <tableColumn id="15" xr3:uid="{ED44ACA3-4DD4-4053-A8AA-1770EF598DF6}" name="'Week-11(22/05/2023-26/05/2023)" dataDxfId="226"/>
    <tableColumn id="16" xr3:uid="{CA39A56F-AD5B-42E1-AE69-0443573135A2}" name="'Week-12(29/05/2023-02/06/2023)" dataDxfId="225"/>
    <tableColumn id="17" xr3:uid="{4A4B6DF2-66AD-42B8-B4A3-26803C689A6F}" name="Third Month(08/05/2023-02/06/2023)" dataDxfId="224">
      <calculatedColumnFormula>SUM(IBM!$O11:$R11)</calculatedColumnFormula>
    </tableColumn>
    <tableColumn id="18" xr3:uid="{3818A420-1C50-4AAC-9EF0-B12DADFBC1CE}" name="Week-13(05/06/2023-09/06/2023)" dataDxfId="223"/>
    <tableColumn id="19" xr3:uid="{F3CF72AF-7757-4732-B2A4-B1B40399BDDA}" name="Week-14(12/06/2023-16/06/2023)" dataDxfId="222"/>
    <tableColumn id="20" xr3:uid="{14577790-8900-4420-A459-92A0BD3B697E}" name="Fourth Month(05/06/2023-16/06/2023)" dataDxfId="221">
      <calculatedColumnFormula>SUM(T11:U11)</calculatedColumnFormula>
    </tableColumn>
    <tableColumn id="21" xr3:uid="{8506131B-3DBC-4718-B3BA-8EDADD16C3C9}" name="Total Hours" dataDxfId="220">
      <calculatedColumnFormula>SUM(I11,N11,S11,V11)</calculatedColumnFormula>
    </tableColumn>
    <tableColumn id="22" xr3:uid="{C31EB619-984B-42CB-AB0F-6872B5E86258}" name="Hours rate" dataDxfId="219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56C4C9-A273-49A1-B183-AAACEAB7E01F}" name="Table1" displayName="Table1" ref="C10:AC30" totalsRowShown="0" headerRowDxfId="218" dataDxfId="217" tableBorderDxfId="216">
  <autoFilter ref="C10:AC30" xr:uid="{B356C4C9-A273-49A1-B183-AAACEAB7E01F}"/>
  <tableColumns count="27">
    <tableColumn id="1" xr3:uid="{DF9A153E-AC3C-4777-BF47-23B77DAA6D23}" name="Project Name" dataDxfId="215"/>
    <tableColumn id="23" xr3:uid="{352FDE51-0CD8-4ED7-87D5-FBBD3C97ED78}" name="Emp_name" dataDxfId="214"/>
    <tableColumn id="2" xr3:uid="{D79C5E76-CFAC-420C-BF9A-4BA7FD3F9C94}" name="Week-1(13/03/2023-17/03/2023)" dataDxfId="213"/>
    <tableColumn id="3" xr3:uid="{56807679-871E-43FB-A068-204C74188DDC}" name="'Week-2 (20/03/2023-24/03/2023)" dataDxfId="212"/>
    <tableColumn id="4" xr3:uid="{0CF841D4-3188-4298-AC60-7F1435BCDFE7}" name="'Week-3(27/03/2023-31/03/2023)" dataDxfId="211"/>
    <tableColumn id="5" xr3:uid="{9522A7DC-8AC3-4275-B0F8-ECC7FB51998D}" name="'Week-4(03/04/2023-07/04/2023)" dataDxfId="210"/>
    <tableColumn id="24" xr3:uid="{512B68AB-7EA2-4868-8108-5907294DABD7}" name="^'First Month" dataDxfId="209">
      <calculatedColumnFormula>SUM(Table1[[#This Row],[Week-1(13/03/2023-17/03/2023)]:[''Week-4(03/04/2023-07/04/2023)]])</calculatedColumnFormula>
    </tableColumn>
    <tableColumn id="6" xr3:uid="{963C495B-1341-4D0A-AE4E-391985026178}" name="'Week-5(10/04/2023-14/04/2023)" dataDxfId="208"/>
    <tableColumn id="7" xr3:uid="{9C7E663D-BF51-40D4-8554-7EB034B8C92D}" name="'Week-6(17/04/2023-21/04/2023)" dataDxfId="207"/>
    <tableColumn id="8" xr3:uid="{F597771E-7C10-4F17-AAF1-45D9E64CBA50}" name="'Week-7 (24/04/2023-28/04/2023)" dataDxfId="206"/>
    <tableColumn id="9" xr3:uid="{C5D4CBCC-A4BD-4C30-8258-B5522489B4A7}" name="'Week-8 (01/05/2023-05/05/2023)" dataDxfId="205"/>
    <tableColumn id="25" xr3:uid="{1316DF93-2E57-4124-89F6-38F94E589699}" name="'Second Month" dataDxfId="204">
      <calculatedColumnFormula>SUM(Table1[[#This Row],[''Week-5(10/04/2023-14/04/2023)]:[''Week-8 (01/05/2023-05/05/2023)]])</calculatedColumnFormula>
    </tableColumn>
    <tableColumn id="10" xr3:uid="{DDCCC764-7168-4EA8-83F0-12E726A2371F}" name="'Week-9(08/05/2023-12/05/2023)" dataDxfId="203"/>
    <tableColumn id="11" xr3:uid="{6CD88838-C90D-45B0-BAC1-FE22C3A88885}" name="'Week-10(15/05/2023-19/05/2023)" dataDxfId="202"/>
    <tableColumn id="12" xr3:uid="{143506BB-55E6-43EC-8641-92A9D7FF23F9}" name="'Week-11(22/05/2023-26/05/2023)" dataDxfId="201"/>
    <tableColumn id="13" xr3:uid="{3AE17A4D-3BCC-492F-93D3-31A5C984EA43}" name="'Week-12(29/05/2023-02/06/2023)" dataDxfId="200"/>
    <tableColumn id="26" xr3:uid="{22C15DE8-ADEF-4F74-AB79-08ADE0A3C82C}" name="Third Month" dataDxfId="199">
      <calculatedColumnFormula>SUM(Table1[[#This Row],[''Week-9(08/05/2023-12/05/2023)]:[''Week-12(29/05/2023-02/06/2023)]])</calculatedColumnFormula>
    </tableColumn>
    <tableColumn id="14" xr3:uid="{7D2C2A7C-B22C-47E2-978E-A14B6DF1F7D4}" name="'Week-13(05/06/2023-09/06/2023)" dataDxfId="198"/>
    <tableColumn id="15" xr3:uid="{CDE2676E-58A4-4DE9-A9EE-D50B2607E347}" name="'Week-14(12/06/2023-16/06/2023)" dataDxfId="197"/>
    <tableColumn id="16" xr3:uid="{C7B37D6F-59B3-42D8-ADFE-E32101807F98}" name="'Week-15(19/06/2023-23/06/2023)" dataDxfId="196"/>
    <tableColumn id="17" xr3:uid="{7CBB77FF-C211-4D65-874B-4F478B890FAD}" name="Week - 16(26/06/2023-30/06/2023)" dataDxfId="195"/>
    <tableColumn id="22" xr3:uid="{2DE470A6-8842-40E3-B2C9-C3CD5847FEB7}" name="Fourth Month" dataDxfId="194">
      <calculatedColumnFormula>SUM(Table1[[#This Row],[''Week-13(05/06/2023-09/06/2023)]:[Week - 16(26/06/2023-30/06/2023)]])</calculatedColumnFormula>
    </tableColumn>
    <tableColumn id="18" xr3:uid="{9ED3B0C7-5332-49C1-AE52-2F90FBBB7423}" name="Week - 17(03/07/2023-07/07/2023)" dataDxfId="193"/>
    <tableColumn id="19" xr3:uid="{62F6B9D1-A162-4732-8391-67F5B6F9AAB1}" name="^Week - 18(10/07/2023-14/07/2023)" dataDxfId="192"/>
    <tableColumn id="27" xr3:uid="{AF32F4AE-AF3D-44DE-89BE-0893A956E364}" name="Fifth  Month" dataDxfId="191">
      <calculatedColumnFormula>SUM(Table1[[#This Row],[Week - 17(03/07/2023-07/07/2023)]:[^Week - 18(10/07/2023-14/07/2023)]])</calculatedColumnFormula>
    </tableColumn>
    <tableColumn id="20" xr3:uid="{C4590062-DC45-4CC7-BBD8-F6297FA3CF63}" name="Total Hours" dataDxfId="190">
      <calculatedColumnFormula>SUM(E11:Z11)</calculatedColumnFormula>
    </tableColumn>
    <tableColumn id="21" xr3:uid="{700AF42B-50C4-4C07-8658-62C3588AA51F}" name="Hours rate" dataDxfId="18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C2DB21D-B7CA-4BB7-A482-D2527EEBA854}" name="Table11" displayName="Table11" ref="D34:P37" totalsRowShown="0" headerRowDxfId="19" dataDxfId="188" tableBorderDxfId="187">
  <autoFilter ref="D34:P37" xr:uid="{EC2DB21D-B7CA-4BB7-A482-D2527EEBA854}"/>
  <tableColumns count="13">
    <tableColumn id="1" xr3:uid="{11B90D35-8269-4893-AB91-6120CDB3D539}" name="^Project Name" dataDxfId="186"/>
    <tableColumn id="2" xr3:uid="{40AE32A4-675C-4236-962A-A18E07BA4610}" name="count of employee" dataDxfId="185">
      <calculatedColumnFormula>COUNTIF(Table1[Project Name],D35)</calculatedColumnFormula>
    </tableColumn>
    <tableColumn id="3" xr3:uid="{35B363AB-8EB8-4C0F-B7B4-4B5F6588AE9B}" name="'First Mounth" dataDxfId="184">
      <calculatedColumnFormula>(SUMIFS(Table1[^''First Month],Table1[Project Name],D35))*(SUMIFS(Table1[Hours rate],Table1[Project Name],C11))</calculatedColumnFormula>
    </tableColumn>
    <tableColumn id="4" xr3:uid="{F082C2AC-B5E1-4708-B1EC-A9BC4709D2F4}" name="^'Second Mounth" dataDxfId="183">
      <calculatedColumnFormula>(SUMIFS(Table1[''Second Month],Table1[Project Name],D35))*(SUMIFS(Table1[Hours rate],Table1[Project Name],D35))</calculatedColumnFormula>
    </tableColumn>
    <tableColumn id="5" xr3:uid="{17BA1AE3-306C-4D34-8719-CFA5E1A4423E}" name="^Third Mounth" dataDxfId="182">
      <calculatedColumnFormula>(SUMIFS(Table1[Third Month],Table1[Project Name],D35))*(SUMIFS(Table1[Hours rate],Table1[Project Name],D35))</calculatedColumnFormula>
    </tableColumn>
    <tableColumn id="6" xr3:uid="{B0570022-1CE4-43BD-B1E9-44BB020FB752}" name="Fourth Mounth" dataDxfId="181">
      <calculatedColumnFormula>(SUMIFS(Table1[Fourth Month],Table1[Project Name],D35))*(SUMIFS(Table1[Hours rate],Table1[Project Name],D35))</calculatedColumnFormula>
    </tableColumn>
    <tableColumn id="7" xr3:uid="{98A344BB-D425-4524-8B20-27498BA34A04}" name="^Fifth  Mounth" dataDxfId="180">
      <calculatedColumnFormula>(SUMIFS(Table1[Fifth  Month],Table1[Project Name],D35))*(SUMIFS(Table1[Hours rate],Table1[Project Name],D35))</calculatedColumnFormula>
    </tableColumn>
    <tableColumn id="8" xr3:uid="{B41FDE01-F79B-4F33-9587-86082927730B}" name=" Project Wise Budget" dataDxfId="179"/>
    <tableColumn id="9" xr3:uid="{939621AB-7FA6-44CA-B79B-463535BDB776}" name="Extra" dataDxfId="178"/>
    <tableColumn id="10" xr3:uid="{AB4FB1C6-3C34-47D6-BE30-DFF16A6A57AF}" name="' Project Wise Total Budget" dataDxfId="177">
      <calculatedColumnFormula>SUM(K35:L35)</calculatedColumnFormula>
    </tableColumn>
    <tableColumn id="11" xr3:uid="{E774D57D-75B7-49A4-886D-40D49746CE7D}" name="' Project Wise Total Burnt" dataDxfId="176" dataCellStyle="Percent">
      <calculatedColumnFormula>SUM(F35:J35)</calculatedColumnFormula>
    </tableColumn>
    <tableColumn id="12" xr3:uid="{D42028A7-F0AF-438B-AE12-E8683AD65473}" name="Delta" dataDxfId="175">
      <calculatedColumnFormula>M35-N35</calculatedColumnFormula>
    </tableColumn>
    <tableColumn id="13" xr3:uid="{715739F6-75AE-43DA-8AA7-82C41658F55B}" name="' Project Wise %Remaing Budget" dataDxfId="174" dataCellStyle="Percent">
      <calculatedColumnFormula>O35/M35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7217D74-8879-4CD4-9962-66DF230CCAC7}" name="Table5" displayName="Table5" ref="C10:AG30" totalsRowShown="0" headerRowDxfId="13" dataDxfId="18" tableBorderDxfId="17">
  <autoFilter ref="C10:AG30" xr:uid="{27217D74-8879-4CD4-9962-66DF230CCAC7}"/>
  <tableColumns count="31">
    <tableColumn id="1" xr3:uid="{767C5D3C-B830-4DD7-A28E-25F48F6B3168}" name="Project Name" dataDxfId="173"/>
    <tableColumn id="2" xr3:uid="{F88E09BE-0060-45EC-A38E-952EE83C50DD}" name="Emp_name2" dataDxfId="172"/>
    <tableColumn id="3" xr3:uid="{947CDD8B-135B-4981-B511-4EE6FD530CB2}" name="'Week-15(19/06/2023-23/06/2023)" dataDxfId="171"/>
    <tableColumn id="4" xr3:uid="{E09FBD3E-1CB9-4D16-B5DB-86F95DBA20CE}" name="Week - 16(26/06/2023-30/06/2023)" dataDxfId="170"/>
    <tableColumn id="5" xr3:uid="{45F5FC4B-F8C7-441F-8B07-D9F10B2CF323}" name="Fourth Month" dataDxfId="169">
      <calculatedColumnFormula>SUM(BAJAJ!$E11:$F11)</calculatedColumnFormula>
    </tableColumn>
    <tableColumn id="6" xr3:uid="{397837A4-9810-41A1-8D24-7DE012507BB6}" name="Week - 17(03/07/2023-07/07/2023)" dataDxfId="168"/>
    <tableColumn id="7" xr3:uid="{F22F5EF7-684C-4B39-835D-0536D0A14842}" name="^Week - 18(10/07/2023-14/07/2023)" dataDxfId="167"/>
    <tableColumn id="8" xr3:uid="{3FD35FDA-4DDE-4CE6-B402-431BAC7CD29C}" name="'Week-19(10/04/2023-14/04/2023)" dataDxfId="166"/>
    <tableColumn id="9" xr3:uid="{713BACC7-6177-4980-9965-10FA3836C4EF}" name="'Week-20(17/07/2023-21/07/2023)" dataDxfId="165"/>
    <tableColumn id="10" xr3:uid="{EE3F7928-1564-4785-8B6F-3A6B4D704A57}" name="Fifth Month" dataDxfId="164">
      <calculatedColumnFormula>SUM(BAJAJ!$H11:$K11)</calculatedColumnFormula>
    </tableColumn>
    <tableColumn id="11" xr3:uid="{633E7E4B-A1C4-468B-96DD-F47DCFF41AD4}" name="'Week-21 (24/0/2023-28/04/2023)" dataDxfId="163"/>
    <tableColumn id="12" xr3:uid="{EB202737-0125-4DA4-A480-B244695D6A23}" name="'Week-22 (31/07/2023-04/08/2023)" dataDxfId="162"/>
    <tableColumn id="13" xr3:uid="{FFB70DD5-5510-4463-BE5B-C0FC6021F3FB}" name="'Week-23(07/08/2023-11/08/2023)" dataDxfId="161"/>
    <tableColumn id="14" xr3:uid="{233CE1D3-2B25-491A-9331-1F22A1E411BF}" name="'Week-24(14/08/2023-18/08/2023)" dataDxfId="160"/>
    <tableColumn id="15" xr3:uid="{6E5F411A-8950-48D6-B409-07160A524330}" name="Sixth Month" dataDxfId="159">
      <calculatedColumnFormula>SUM(BAJAJ!$M11:$P11)</calculatedColumnFormula>
    </tableColumn>
    <tableColumn id="16" xr3:uid="{16F938F1-6716-4DE3-A08C-28C79F7B6E68}" name="'Week-25(21/08/2023-25/08/2023)" dataDxfId="158"/>
    <tableColumn id="17" xr3:uid="{4AAED185-BCCE-4C3C-92BB-AB1BA719B033}" name="'Week-26(28/08/2023-01/09/2023)" dataDxfId="157"/>
    <tableColumn id="18" xr3:uid="{DEF7B2D0-9311-472E-ABAF-896952250D61}" name="'Week-27(04/09/2023-08/09/2023)" dataDxfId="156"/>
    <tableColumn id="19" xr3:uid="{8225C33B-FAAA-470B-A770-CEEF5E1CB372}" name="'Week-28(11/09/2023-15/09/2023)" dataDxfId="155"/>
    <tableColumn id="20" xr3:uid="{268A49D7-9BC4-4800-B0B3-90C2EC1D23FB}" name="^Seventh Month" dataDxfId="154">
      <calculatedColumnFormula>SUM(BAJAJ!$R11:$U11)</calculatedColumnFormula>
    </tableColumn>
    <tableColumn id="21" xr3:uid="{5EF46018-272C-46FA-B2AD-88300265CFB1}" name="'Week-29(18/09/2023-22/09/2023)" dataDxfId="153"/>
    <tableColumn id="22" xr3:uid="{D47BEB46-0537-4970-BAF1-E16A21A52BFC}" name="Week - 30(25/09/2023-29/09/2023)" dataDxfId="152"/>
    <tableColumn id="23" xr3:uid="{ACF647FB-F2D5-4BAF-8B09-3AE9C41562C9}" name="Week - 31(02/10/2023-06/10/2023)" dataDxfId="151"/>
    <tableColumn id="24" xr3:uid="{AEF65BCE-F779-4042-A6BC-3C21647589A4}" name="^Week - 32(09/10/2023-13/10/2023)" dataDxfId="150"/>
    <tableColumn id="25" xr3:uid="{AD55B530-71E0-443C-9C92-2FC950E1EF7F}" name="Eighth Month" dataDxfId="149">
      <calculatedColumnFormula>SUM(BAJAJ!$W11:$Z11)</calculatedColumnFormula>
    </tableColumn>
    <tableColumn id="26" xr3:uid="{CF3670EE-2B92-47E6-BB4C-499FBD270A35}" name="^Week - 33(16/10/2023-20/10/2023)" dataDxfId="148"/>
    <tableColumn id="27" xr3:uid="{5863E2A1-30B2-4EF7-B2C6-85E6D57F6EF8}" name="^Week - 34(23/10/2023-27/10/2023)" dataDxfId="147"/>
    <tableColumn id="28" xr3:uid="{059DE77C-78ED-4A23-8CE6-E42C75F9DCB9}" name="^Week - 35(30/10/2023-03/11/2023)" dataDxfId="146"/>
    <tableColumn id="29" xr3:uid="{6ED20426-C234-45D5-8F24-272943169D8B}" name="Ninth Month" dataDxfId="145">
      <calculatedColumnFormula>SUM(BAJAJ!$AB11:$AD11)</calculatedColumnFormula>
    </tableColumn>
    <tableColumn id="30" xr3:uid="{120A96C6-6A74-4390-B828-7CD764F04E0B}" name="Total Hours" dataDxfId="144">
      <calculatedColumnFormula>SUM(BAJAJ!$E11:$AD11)</calculatedColumnFormula>
    </tableColumn>
    <tableColumn id="31" xr3:uid="{5E2FB9DD-7A24-4BCA-B366-6D729524E274}" name="Hours rate" dataDxfId="14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9624FA1-76D5-4D83-A329-88DF8A7D4E3C}" name="Table7" displayName="Table7" ref="D36:Q38" totalsRowShown="0" headerRowDxfId="8" dataDxfId="12" headerRowBorderDxfId="10" tableBorderDxfId="11" totalsRowBorderDxfId="9" dataCellStyle="Percent">
  <autoFilter ref="D36:Q38" xr:uid="{D9624FA1-76D5-4D83-A329-88DF8A7D4E3C}"/>
  <tableColumns count="14">
    <tableColumn id="1" xr3:uid="{61E2A618-C1E2-4137-B263-A29C20853FBC}" name="^Project Name" dataDxfId="142"/>
    <tableColumn id="2" xr3:uid="{3BC5E0FE-64F6-42C0-9349-928619888993}" name="count of employee" dataDxfId="141">
      <calculatedColumnFormula>COUNTIFS(BAJAJ!$C$11:$C$32,BAJAJ!$D37)</calculatedColumnFormula>
    </tableColumn>
    <tableColumn id="3" xr3:uid="{CE3523AB-5137-46BD-AFA9-81AF3515EF76}" name="^Fourth Month" dataDxfId="140">
      <calculatedColumnFormula>(SUMIFS(G11:G30,C11:C30,BAJAJ!$D37))*(SUMIFS(AG11:AG30,C11:C30,BAJAJ!$D37))</calculatedColumnFormula>
    </tableColumn>
    <tableColumn id="4" xr3:uid="{18DC80F8-1ED0-45A6-A4E7-330347E95E79}" name="^Fifth Month" dataDxfId="139">
      <calculatedColumnFormula>(SUMIFS(L11:L30,C11:C30,BAJAJ!$D37))*(SUMIFS(AG11:AG30,C11:C30,BAJAJ!$D37))</calculatedColumnFormula>
    </tableColumn>
    <tableColumn id="5" xr3:uid="{6E899D3C-CFEE-4C4A-B5D6-626F971CA2D7}" name="Sixth Month" dataDxfId="138">
      <calculatedColumnFormula>(SUMIFS(Q11:Q30,C11:C30,D37))*(SUMIFS(AG11:AG30,C11:C30,BAJAJ!$D37))</calculatedColumnFormula>
    </tableColumn>
    <tableColumn id="6" xr3:uid="{C08B3F7B-F8EC-4AA7-B4B8-5356FF149CA0}" name="^^Seventh Month" dataDxfId="137">
      <calculatedColumnFormula>(SUMIFS(V11:V30,C11:C30,BAJAJ!$D37))*(SUMIFS(AG11:AG30,C11:C30,BAJAJ!$D37))</calculatedColumnFormula>
    </tableColumn>
    <tableColumn id="7" xr3:uid="{8C700BFB-8BC3-44ED-A1A3-B08D11C4D0CD}" name="^Eighth Month" dataDxfId="136">
      <calculatedColumnFormula>(SUMIFS(AA11:AA30,C11:C30,BAJAJ!$D37))*(SUMIFS(AG11:AG30,C11:C30,BAJAJ!$D37))</calculatedColumnFormula>
    </tableColumn>
    <tableColumn id="8" xr3:uid="{061BDEF3-2A9F-40A7-9106-8AFF2286E19B}" name="^Ninth Month" dataDxfId="135" dataCellStyle="Percent">
      <calculatedColumnFormula>(SUMIFS(Table5[Ninth Month],Table5[Project Name],Table7[[#This Row],[^Project Name]]))*(SUMIFS(Table5[Hours rate],Table5[Project Name],Table7[[#This Row],[^Project Name]]))</calculatedColumnFormula>
    </tableColumn>
    <tableColumn id="9" xr3:uid="{532DDF7B-51EB-415B-BD5B-F2CC5AAE0148}" name=" Project Wise Budget" dataDxfId="134"/>
    <tableColumn id="10" xr3:uid="{89D89BD4-AAE8-4D2F-AC17-497B052D5366}" name="Extra" dataDxfId="133" dataCellStyle="Percent"/>
    <tableColumn id="11" xr3:uid="{9FDF2255-C662-40A4-8D42-578C77B10B71}" name="' Project Wise Total Budget" dataDxfId="132" dataCellStyle="Percent">
      <calculatedColumnFormula>SUM(L37:M37)</calculatedColumnFormula>
    </tableColumn>
    <tableColumn id="12" xr3:uid="{3C8623CF-728D-460C-A975-B686417B6993}" name="' Project Wise Total Bunt" dataDxfId="131" dataCellStyle="Percent">
      <calculatedColumnFormula>SUM(F37:K37)</calculatedColumnFormula>
    </tableColumn>
    <tableColumn id="13" xr3:uid="{2B42FDEE-5A2D-4146-86AD-1180FB718DD1}" name="Delta" dataDxfId="130" dataCellStyle="Percent">
      <calculatedColumnFormula>N37-O37</calculatedColumnFormula>
    </tableColumn>
    <tableColumn id="14" xr3:uid="{C07B9DCA-3821-4861-A023-2692F4B6D1F2}" name="' Project Wise %Remaing Budget" dataDxfId="129" dataCellStyle="Percent">
      <calculatedColumnFormula>P37/N37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14A45C-FE52-4967-B616-5DD0F9FC89E0}" name="Table27" displayName="Table27" ref="D37:R43" totalsRowShown="0" headerRowDxfId="16" dataDxfId="15" tableBorderDxfId="14">
  <autoFilter ref="D37:R43" xr:uid="{8614A45C-FE52-4967-B616-5DD0F9FC89E0}"/>
  <tableColumns count="15">
    <tableColumn id="1" xr3:uid="{69D3F986-09DF-46EF-9060-64F92B4FA0F1}" name="Project Name" dataDxfId="128"/>
    <tableColumn id="2" xr3:uid="{DB7B0EAF-BDB9-4CD6-B6CD-2AF568F7737F}" name="count of employee" dataDxfId="127">
      <calculatedColumnFormula>COUNTIFS(C11:C30,D38)</calculatedColumnFormula>
    </tableColumn>
    <tableColumn id="3" xr3:uid="{B2E79C1D-BE99-43C6-B7A7-9A9996D18581}" name="Fifth  Month" dataDxfId="126">
      <calculatedColumnFormula>(SUMIFS(RI!$G$11:$G$30,RI!$C$11:$C$30,Table27[[#This Row],[Project Name]]))*(SUMIFS(RI!$AK$11:$AK$30,RI!$C$11:$C$30,Table27[[#This Row],[Project Name]]))</calculatedColumnFormula>
    </tableColumn>
    <tableColumn id="4" xr3:uid="{BC9A6318-9910-41AD-81EC-2988B3C13119}" name="Sixth Month" dataDxfId="125">
      <calculatedColumnFormula>(SUMIFS(RI!$L$11:$L$30,RI!$C$11:$C$30,Table27[[#This Row],[Project Name]]))*(SUMIFS(RI!$AK$11:$AK$30,RI!$C$11:$C$30,Table27[[#This Row],[Project Name]]))</calculatedColumnFormula>
    </tableColumn>
    <tableColumn id="5" xr3:uid="{3619210B-D39E-495C-98B7-4D5A85DE2AA1}" name="^^Seventh Month" dataDxfId="124">
      <calculatedColumnFormula>(SUMIFS(RI!$Q$11:$Q$30,RI!$C$11:$C$30,Table27[[#This Row],[Project Name]]))*(SUMIFS(RI!$AK$11:$AK$30,RI!$C$11:$C$30,Table27[[#This Row],[Project Name]]))</calculatedColumnFormula>
    </tableColumn>
    <tableColumn id="6" xr3:uid="{451DF53A-9EFF-4022-8049-3D45239D9915}" name="^Eighth Month" dataDxfId="123">
      <calculatedColumnFormula>(SUMIFS(RI!$V$11:$V$30,RI!$C$11:$C$30,Table27[[#This Row],[Project Name]]))*(SUMIFS(RI!$AK$11:$AK$30,RI!$C$11:$C$30,Table27[[#This Row],[Project Name]]))</calculatedColumnFormula>
    </tableColumn>
    <tableColumn id="13" xr3:uid="{834274D9-445F-4952-8A31-0B6EA09A89F7}" name="^Ninth Month" dataDxfId="122">
      <calculatedColumnFormula>(SUMIFS(RI!$AA$11:$AA$30,RI!$C$11:$C$30,Table27[[#This Row],[Project Name]]))*(SUMIFS(RI!$AK$11:$AK$30,RI!$C$11:$C$30,Table27[[#This Row],[Project Name]]))</calculatedColumnFormula>
    </tableColumn>
    <tableColumn id="15" xr3:uid="{E313A91A-04C8-4D12-A464-92F7E443FFE8}" name="^Tenth Month" dataDxfId="121">
      <calculatedColumnFormula>(SUMIFS(RI!$AF$11:$AF$30,RI!$C$11:$C$30,Table27[[#This Row],[Project Name]]))*(SUMIFS(RI!$AK$11:$AK$30,RI!$C$11:$C$30,Table27[[#This Row],[Project Name]]))</calculatedColumnFormula>
    </tableColumn>
    <tableColumn id="14" xr3:uid="{98857527-34F0-436C-ADD2-2EB4384C4D11}" name="^Eleventh Month" dataDxfId="120">
      <calculatedColumnFormula>(SUMIFS(RI!$AI$11:$AI$30,RI!$C$11:$C$30,Table27[[#This Row],[Project Name]]))*(SUMIFS(RI!$AK$11:$AK$30,RI!$C$11:$C$30,Table27[[#This Row],[Project Name]]))</calculatedColumnFormula>
    </tableColumn>
    <tableColumn id="7" xr3:uid="{6C3054A3-2DC0-49EA-BE6D-171C0127A6B4}" name=" Project Wise Budget" dataDxfId="119"/>
    <tableColumn id="8" xr3:uid="{7FA84C3B-8EA7-43F6-8532-ACCFAAF8C8AE}" name="Extra" dataDxfId="118"/>
    <tableColumn id="9" xr3:uid="{447C97F1-4816-4406-BFD1-FD9A064386B0}" name="' Project Wise Total Budget" dataDxfId="117">
      <calculatedColumnFormula>M38+N38</calculatedColumnFormula>
    </tableColumn>
    <tableColumn id="10" xr3:uid="{C068EFA8-D08E-4779-A011-2B8BFF542070}" name="Project Wise  Total Burnt" dataDxfId="116">
      <calculatedColumnFormula>SUM(Table27[[#This Row],[Fifth  Month]:[^Eleventh Month]])</calculatedColumnFormula>
    </tableColumn>
    <tableColumn id="11" xr3:uid="{4278AE0D-8DFA-4EE8-89E1-D2E64B765F2A}" name="Delta" dataDxfId="115">
      <calculatedColumnFormula>(O38-P38)</calculatedColumnFormula>
    </tableColumn>
    <tableColumn id="12" xr3:uid="{B1F6BE29-5FC4-4065-ADB2-2EB9068596ED}" name="' Project Wise %Remaing Budget" dataDxfId="114" dataCellStyle="Percent">
      <calculatedColumnFormula>Q38/M38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4BD129-A1DA-4392-A407-6170964C5BF2}" name="Table3" displayName="Table3" ref="C10:AK30" totalsRowShown="0" headerRowDxfId="113" dataDxfId="112" tableBorderDxfId="111">
  <autoFilter ref="C10:AK30" xr:uid="{444BD129-A1DA-4392-A407-6170964C5BF2}"/>
  <tableColumns count="35">
    <tableColumn id="1" xr3:uid="{DEDDE121-F2EE-439B-83EB-9FE5A64D0DCA}" name="Project Name" dataDxfId="110"/>
    <tableColumn id="2" xr3:uid="{7F833151-E511-4AA0-9855-58BDAD6FFC0F}" name="Emp_name" dataDxfId="109"/>
    <tableColumn id="3" xr3:uid="{7F335327-BBD4-482A-A993-768234CC12C2}" name="'Week-19(10/04/2023-14/04/2023)" dataDxfId="108"/>
    <tableColumn id="4" xr3:uid="{80BF6D86-82B9-4260-A54E-8296AA191540}" name="'Week-20(17/07/2023-21/07/2023)" dataDxfId="107"/>
    <tableColumn id="5" xr3:uid="{50F9A3B3-F227-42F8-A8C3-4A7D9A226FC3}" name="Fifth  Month" dataDxfId="106">
      <calculatedColumnFormula>SUM(RI!$E11:$F11)</calculatedColumnFormula>
    </tableColumn>
    <tableColumn id="6" xr3:uid="{9124EAD3-5EF7-42B8-9760-ACAE602DCC58}" name="'Week-21 (24/0/2023-28/04/2023)" dataDxfId="105"/>
    <tableColumn id="7" xr3:uid="{89629120-9AFC-4748-A590-AA5AA0B2642C}" name="'Week-22 (31/07/2023-04/08/2023)" dataDxfId="104"/>
    <tableColumn id="8" xr3:uid="{E6CAD276-FD33-4B35-B57B-62CED3172D90}" name="'Week-23(07/08/2023-11/08/2023)" dataDxfId="103"/>
    <tableColumn id="9" xr3:uid="{D00FF77E-A067-43FC-A939-8ACCA26B214F}" name="'Week-24(14/08/2023-18/08/2023)" dataDxfId="102"/>
    <tableColumn id="10" xr3:uid="{3E6126E6-46E7-4965-A1F3-14721099A01B}" name="Sixth Month" dataDxfId="101">
      <calculatedColumnFormula>SUM(RI!$H11:$K11)</calculatedColumnFormula>
    </tableColumn>
    <tableColumn id="11" xr3:uid="{6FC5F157-C610-4EC0-8D77-A59BAAA0C5E7}" name="'Week-25(21/08/2023-25/08/2023)" dataDxfId="100"/>
    <tableColumn id="12" xr3:uid="{BC1976AD-58C6-4279-A5FB-E55A3DCF4A2D}" name="'Week-26(28/08/2023-01/09/2023)" dataDxfId="99"/>
    <tableColumn id="13" xr3:uid="{36EDE47C-3C36-4CD8-AB9F-17EA14EBCAB4}" name="'Week-27(04/09/2023-08/09/2023)" dataDxfId="98"/>
    <tableColumn id="14" xr3:uid="{F1D79D9A-B344-4F27-ACF5-C7B0AD090A96}" name="'Week-28(11/09/2023-15/09/2023)" dataDxfId="97"/>
    <tableColumn id="15" xr3:uid="{C6E7AAC6-B226-4FBA-8EF7-4CDF1DAF9B94}" name="^Seventh Month" dataDxfId="96">
      <calculatedColumnFormula>SUM(RI!$M11:$P11)</calculatedColumnFormula>
    </tableColumn>
    <tableColumn id="16" xr3:uid="{4D10FBB5-1D87-41AB-9C6C-17558226C9AA}" name="'Week-29(18/09/2023-22/09/2023)" dataDxfId="95"/>
    <tableColumn id="17" xr3:uid="{38119B1F-4D80-40EB-B009-BDAC11F3B660}" name="Week - 30(25/09/2023-29/09/2023)" dataDxfId="94"/>
    <tableColumn id="18" xr3:uid="{009126D0-2E78-4152-9038-6BDC94E9F0F4}" name="Week - 31(02/10/2023-06/10/2023)" dataDxfId="93"/>
    <tableColumn id="19" xr3:uid="{6BDFDA88-40BB-4149-B7F1-10CD74D719FE}" name="^Week - 32(09/10/2023-13/10/2023)" dataDxfId="92"/>
    <tableColumn id="20" xr3:uid="{B44BF9CA-6C31-4619-B936-18FE01B689B1}" name="Eighth Month" dataDxfId="91">
      <calculatedColumnFormula>SUM(RI!$R11:$U11)</calculatedColumnFormula>
    </tableColumn>
    <tableColumn id="21" xr3:uid="{0879DAB9-0533-457A-92ED-D73316155CCC}" name="^Week - 33(16/10/2023-20/10/2023)" dataDxfId="90"/>
    <tableColumn id="22" xr3:uid="{76879D21-F8B9-4CF9-A68B-051E766C0EB7}" name="^Week - 34(23/10/2023-27/10/2023)" dataDxfId="89"/>
    <tableColumn id="23" xr3:uid="{E59866B6-46DD-4C2A-B788-A0D2F062602D}" name="^Week - 35(30/10/2023-03/11/2023)" dataDxfId="88"/>
    <tableColumn id="24" xr3:uid="{9DF6F9F2-86A6-4F62-966A-28B2FE3AE041}" name="Week - 36(06/11/2023-10/11/2023)" dataDxfId="87"/>
    <tableColumn id="25" xr3:uid="{E6086AB0-D56F-401D-86D7-83ACD6501B41}" name="Ninth Month" dataDxfId="86">
      <calculatedColumnFormula>SUM(RI!$W11:$Z11)</calculatedColumnFormula>
    </tableColumn>
    <tableColumn id="26" xr3:uid="{6A2A7727-7A95-4E43-80AF-0DAA4AB78F58}" name="Week - 37(20/11/2023-24/11/2023)22" dataDxfId="85"/>
    <tableColumn id="27" xr3:uid="{99842A0C-9320-4EAD-9949-067008ABB65A}" name="Week - 38(27/11/2023-01/12/2023)" dataDxfId="84"/>
    <tableColumn id="28" xr3:uid="{FB9CD01E-E94F-4796-8663-BAA143719561}" name="Week - 39(04/12/2023-08/12/2023)" dataDxfId="83"/>
    <tableColumn id="29" xr3:uid="{72A31F62-AB7F-47FA-BDCF-A7C84D2E60D0}" name="Week - 40(11/11/2023-15/11/2023)4" dataDxfId="82"/>
    <tableColumn id="30" xr3:uid="{D00A8CE2-ED0D-4526-8E79-46BE5494FB58}" name="Tenth Month" dataDxfId="81">
      <calculatedColumnFormula>SUM(RI!$AB11:$AE11)</calculatedColumnFormula>
    </tableColumn>
    <tableColumn id="31" xr3:uid="{8B5308DF-6041-40B7-B5AA-1B85B947221E}" name="Week - 41(18/11/2023-22/11/2023)" dataDxfId="80"/>
    <tableColumn id="32" xr3:uid="{EE8558B5-04F4-4D6D-BC61-A5508F004AA7}" name="Week - 42(25/11/2023-29/11/2023)" dataDxfId="79"/>
    <tableColumn id="33" xr3:uid="{974609DE-E055-47DE-B623-C29159793AD8}" name="Eleventh Month" dataDxfId="78">
      <calculatedColumnFormula>SUM(RI!$AG11:$AH11)</calculatedColumnFormula>
    </tableColumn>
    <tableColumn id="34" xr3:uid="{1218F213-5719-4D50-BA81-87412324340B}" name="Total Hours" dataDxfId="77">
      <calculatedColumnFormula>SUM(RI!$E11:$AH11)</calculatedColumnFormula>
    </tableColumn>
    <tableColumn id="35" xr3:uid="{540A0DFD-A95C-415D-B66A-16DD2AB9DB60}" name="Hours rate" dataDxfId="7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C0F318C-E38D-4365-B4CE-076A2CCC3814}" name="Table210" displayName="Table210" ref="D36:P39" totalsRowShown="0" headerRowDxfId="75" headerRowBorderDxfId="74" tableBorderDxfId="73" totalsRowBorderDxfId="72">
  <autoFilter ref="D36:P39" xr:uid="{BC0F318C-E38D-4365-B4CE-076A2CCC3814}"/>
  <tableColumns count="13">
    <tableColumn id="1" xr3:uid="{EE4B043E-5841-4805-BB6B-C59882EBFD9D}" name="^Project Name" dataDxfId="71"/>
    <tableColumn id="2" xr3:uid="{6ED7D492-99B4-42FB-B328-CDA51B5391BC}" name="count of employee" dataDxfId="70">
      <calculatedColumnFormula>COUNTIFS(CTC!$C$10:$C$29,Table210[[#This Row],[^Project Name]])</calculatedColumnFormula>
    </tableColumn>
    <tableColumn id="3" xr3:uid="{534BE4D1-FD9F-40D7-8089-2475A02777E5}" name="^Ninth Month" dataDxfId="69">
      <calculatedColumnFormula>(SUMIFS(CTC!$F$10:$F$29,CTC!$C$10:$C$29,Table210[[#This Row],[^Project Name]]))*(SUM(CTC!$AB$10:$AB$29,CTC!$C$10:$C$29,Table210[[#This Row],[^Project Name]]))</calculatedColumnFormula>
    </tableColumn>
    <tableColumn id="4" xr3:uid="{85268F1F-2B45-416E-8BD8-247EF322245D}" name="Tenth Month" dataDxfId="68">
      <calculatedColumnFormula>(SUMIFS(CTC!$K$10:$K$29,CTC!$C$10:$C$29,Table210[[#This Row],[^Project Name]]))*(SUMIFS(CTC!$AB$10:$AB$29,CTC!$C$10:$C$29,Table210[[#This Row],[^Project Name]]))</calculatedColumnFormula>
    </tableColumn>
    <tableColumn id="5" xr3:uid="{5576F2AB-7E64-43DA-AFD5-A826E5450B8B}" name="^Eleventh Month" dataDxfId="67">
      <calculatedColumnFormula>(SUMIFS(CTC!$P$10:$P$29,CTC!$C$10:$C$29,Table210[[#This Row],[^Project Name]]))*(SUMIFS(CTC!$AB$10:$AB$29,CTC!$C$10:$C$29,Table210[[#This Row],[^Project Name]]))</calculatedColumnFormula>
    </tableColumn>
    <tableColumn id="6" xr3:uid="{B682339A-734E-468A-BEA7-14E5D461EB62}" name="Thirteenth Mounth" dataDxfId="66">
      <calculatedColumnFormula>(SUMIFS(CTC!$U$10:$U$29,CTC!$C$10:$C$29,Table210[[#This Row],[^Project Name]]))*(SUMIFS(CTC!$AB$10:$AB$29,CTC!$C$10:$C$29,Table210[[#This Row],[^Project Name]]))</calculatedColumnFormula>
    </tableColumn>
    <tableColumn id="14" xr3:uid="{86DC03EB-AA71-4F7E-94B3-322926A9A937}" name="^Twelveth Months" dataDxfId="65">
      <calculatedColumnFormula>(SUMIFS(CTC!$Z$10:$Z$29,CTC!$C$10:$C$29,Table210[[#This Row],[^Project Name]]))*(SUMIFS(CTC!$AB$10:$AB$29,CTC!$C$10:$C$29,Table210[[#This Row],[^Project Name]]))</calculatedColumnFormula>
    </tableColumn>
    <tableColumn id="7" xr3:uid="{3107F8B6-2D35-43B1-B473-B2D4124AB354}" name=" Project Wise Budget" dataDxfId="64"/>
    <tableColumn id="8" xr3:uid="{4CDF0B2C-1C73-4C83-95D7-B5BDB3C86040}" name="Extra" dataDxfId="63"/>
    <tableColumn id="9" xr3:uid="{BDBE6C37-98A2-4391-A1AE-C91756CA2B80}" name="' Project Wise Total Budget" dataDxfId="62">
      <calculatedColumnFormula>Table210[[#This Row],[ Project Wise Budget]]+Table210[[#This Row],[Extra]]</calculatedColumnFormula>
    </tableColumn>
    <tableColumn id="10" xr3:uid="{A5F332A5-663B-4621-A201-9934B8C62F77}" name="Project Wise  Total Burnt" dataDxfId="61">
      <calculatedColumnFormula>SUM(Table210[[#This Row],[^Ninth Month]:[^Twelveth Months]])</calculatedColumnFormula>
    </tableColumn>
    <tableColumn id="11" xr3:uid="{68FF9226-0D57-4CD8-8306-9D4A8E2C5B6D}" name="Delta" dataDxfId="60">
      <calculatedColumnFormula>Table210[[#This Row],['' Project Wise Total Budget]]-Table210[[#This Row],[Project Wise  Total Burnt]]</calculatedColumnFormula>
    </tableColumn>
    <tableColumn id="12" xr3:uid="{FE90E800-97C6-41C0-9125-F769060597E5}" name="' Project Wise %Remaing Budget" dataDxfId="59" dataCellStyle="Percent">
      <calculatedColumnFormula>O37/K37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644AA-AD29-4761-855D-5407FC5035E4}">
  <dimension ref="C1:X43"/>
  <sheetViews>
    <sheetView showGridLines="0" topLeftCell="A5" zoomScale="92" zoomScaleNormal="92" workbookViewId="0">
      <selection activeCell="C35" sqref="C35"/>
    </sheetView>
  </sheetViews>
  <sheetFormatPr defaultRowHeight="14.4" x14ac:dyDescent="0.3"/>
  <cols>
    <col min="3" max="3" width="18.5546875" bestFit="1" customWidth="1"/>
    <col min="4" max="4" width="19.109375" bestFit="1" customWidth="1"/>
    <col min="5" max="5" width="36" customWidth="1"/>
    <col min="6" max="6" width="36.33203125" customWidth="1"/>
    <col min="7" max="8" width="36" customWidth="1"/>
    <col min="9" max="9" width="38.77734375" customWidth="1"/>
    <col min="10" max="11" width="36.44140625" customWidth="1"/>
    <col min="12" max="13" width="36.77734375" customWidth="1"/>
    <col min="14" max="14" width="38.44140625" bestFit="1" customWidth="1"/>
    <col min="15" max="15" width="36.44140625" customWidth="1"/>
    <col min="16" max="18" width="37.5546875" customWidth="1"/>
    <col min="19" max="19" width="39.33203125" bestFit="1" customWidth="1"/>
    <col min="20" max="21" width="37.109375" customWidth="1"/>
    <col min="22" max="22" width="40.5546875" bestFit="1" customWidth="1"/>
    <col min="23" max="23" width="16.88671875" bestFit="1" customWidth="1"/>
    <col min="24" max="24" width="16.109375" bestFit="1" customWidth="1"/>
    <col min="25" max="25" width="16.6640625" bestFit="1" customWidth="1"/>
  </cols>
  <sheetData>
    <row r="1" spans="3:24" ht="14.4" customHeight="1" x14ac:dyDescent="0.3">
      <c r="C1" s="79" t="s">
        <v>158</v>
      </c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</row>
    <row r="2" spans="3:24" x14ac:dyDescent="0.3"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</row>
    <row r="8" spans="3:24" ht="14.4" customHeight="1" x14ac:dyDescent="0.3">
      <c r="C8" s="77" t="s">
        <v>21</v>
      </c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</row>
    <row r="9" spans="3:24" x14ac:dyDescent="0.3"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</row>
    <row r="10" spans="3:24" x14ac:dyDescent="0.3">
      <c r="C10" s="61" t="s">
        <v>79</v>
      </c>
      <c r="D10" s="62" t="s">
        <v>19</v>
      </c>
      <c r="E10" s="32" t="s">
        <v>22</v>
      </c>
      <c r="F10" s="63" t="s">
        <v>138</v>
      </c>
      <c r="G10" s="63" t="s">
        <v>139</v>
      </c>
      <c r="H10" s="63" t="s">
        <v>152</v>
      </c>
      <c r="I10" s="63" t="s">
        <v>154</v>
      </c>
      <c r="J10" s="32" t="s">
        <v>26</v>
      </c>
      <c r="K10" s="32" t="s">
        <v>27</v>
      </c>
      <c r="L10" s="32" t="s">
        <v>28</v>
      </c>
      <c r="M10" s="32" t="s">
        <v>30</v>
      </c>
      <c r="N10" s="64" t="s">
        <v>155</v>
      </c>
      <c r="O10" s="32" t="s">
        <v>29</v>
      </c>
      <c r="P10" s="32" t="s">
        <v>31</v>
      </c>
      <c r="Q10" s="32" t="s">
        <v>32</v>
      </c>
      <c r="R10" s="32" t="s">
        <v>33</v>
      </c>
      <c r="S10" s="63" t="s">
        <v>156</v>
      </c>
      <c r="T10" s="63" t="s">
        <v>141</v>
      </c>
      <c r="U10" s="63" t="s">
        <v>140</v>
      </c>
      <c r="V10" s="63" t="s">
        <v>157</v>
      </c>
      <c r="W10" s="32" t="s">
        <v>34</v>
      </c>
      <c r="X10" s="65" t="s">
        <v>20</v>
      </c>
    </row>
    <row r="11" spans="3:24" ht="15.6" x14ac:dyDescent="0.3">
      <c r="C11" s="66" t="s">
        <v>80</v>
      </c>
      <c r="D11" s="67" t="s">
        <v>0</v>
      </c>
      <c r="E11" s="68">
        <v>20</v>
      </c>
      <c r="F11" s="30">
        <v>13</v>
      </c>
      <c r="G11" s="30">
        <v>19</v>
      </c>
      <c r="H11" s="30">
        <v>19</v>
      </c>
      <c r="I11" s="30">
        <f>SUM(IBM!$E11:$H11)</f>
        <v>71</v>
      </c>
      <c r="J11" s="30">
        <v>14</v>
      </c>
      <c r="K11" s="30">
        <v>10</v>
      </c>
      <c r="L11" s="30">
        <v>12</v>
      </c>
      <c r="M11" s="30">
        <v>10</v>
      </c>
      <c r="N11" s="30">
        <f>SUM(IBM!$J11:$M11)</f>
        <v>46</v>
      </c>
      <c r="O11" s="30">
        <v>17</v>
      </c>
      <c r="P11" s="30">
        <v>12</v>
      </c>
      <c r="Q11" s="30">
        <v>16</v>
      </c>
      <c r="R11" s="30">
        <v>11</v>
      </c>
      <c r="S11" s="30">
        <f>SUM(IBM!$O11:$R11)</f>
        <v>56</v>
      </c>
      <c r="T11" s="30">
        <v>11</v>
      </c>
      <c r="U11" s="30">
        <v>12</v>
      </c>
      <c r="V11" s="30">
        <f t="shared" ref="V11:V30" si="0">SUM(T11:U11)</f>
        <v>23</v>
      </c>
      <c r="W11" s="30">
        <f>SUM(I11,N11,S11,V11)</f>
        <v>196</v>
      </c>
      <c r="X11" s="24">
        <v>415</v>
      </c>
    </row>
    <row r="12" spans="3:24" ht="15.6" x14ac:dyDescent="0.3">
      <c r="C12" s="69" t="s">
        <v>81</v>
      </c>
      <c r="D12" s="67" t="s">
        <v>1</v>
      </c>
      <c r="E12" s="68">
        <v>17</v>
      </c>
      <c r="F12" s="30">
        <v>15</v>
      </c>
      <c r="G12" s="30">
        <v>14</v>
      </c>
      <c r="H12" s="30">
        <v>11</v>
      </c>
      <c r="I12" s="30">
        <f>SUM(IBM!$E12:$H12)</f>
        <v>57</v>
      </c>
      <c r="J12" s="30">
        <v>12</v>
      </c>
      <c r="K12" s="30">
        <v>16</v>
      </c>
      <c r="L12" s="30">
        <v>20</v>
      </c>
      <c r="M12" s="30">
        <v>17</v>
      </c>
      <c r="N12" s="30">
        <f>SUM(IBM!$J12:$M12)</f>
        <v>65</v>
      </c>
      <c r="O12" s="30">
        <v>20</v>
      </c>
      <c r="P12" s="30">
        <v>18</v>
      </c>
      <c r="Q12" s="30">
        <v>16</v>
      </c>
      <c r="R12" s="30">
        <v>12</v>
      </c>
      <c r="S12" s="30">
        <f>SUM(IBM!$O12:$R12)</f>
        <v>66</v>
      </c>
      <c r="T12" s="30">
        <v>11</v>
      </c>
      <c r="U12" s="30">
        <v>19</v>
      </c>
      <c r="V12" s="30">
        <f t="shared" si="0"/>
        <v>30</v>
      </c>
      <c r="W12" s="30">
        <f t="shared" ref="W12:W30" si="1">SUM(I12,N12,S12,V12)</f>
        <v>218</v>
      </c>
      <c r="X12" s="24">
        <v>616</v>
      </c>
    </row>
    <row r="13" spans="3:24" ht="15.6" x14ac:dyDescent="0.3">
      <c r="C13" s="66" t="s">
        <v>82</v>
      </c>
      <c r="D13" s="67" t="s">
        <v>2</v>
      </c>
      <c r="E13" s="68">
        <v>10</v>
      </c>
      <c r="F13" s="30">
        <v>18</v>
      </c>
      <c r="G13" s="30">
        <v>19</v>
      </c>
      <c r="H13" s="30">
        <v>16</v>
      </c>
      <c r="I13" s="30">
        <f>SUM(IBM!$E13:$H13)</f>
        <v>63</v>
      </c>
      <c r="J13" s="30">
        <v>17</v>
      </c>
      <c r="K13" s="30">
        <v>17</v>
      </c>
      <c r="L13" s="30">
        <v>11</v>
      </c>
      <c r="M13" s="30">
        <v>10</v>
      </c>
      <c r="N13" s="30">
        <f>SUM(IBM!$J13:$M13)</f>
        <v>55</v>
      </c>
      <c r="O13" s="30">
        <v>12</v>
      </c>
      <c r="P13" s="30">
        <v>19</v>
      </c>
      <c r="Q13" s="30">
        <v>18</v>
      </c>
      <c r="R13" s="30">
        <v>17</v>
      </c>
      <c r="S13" s="30">
        <f>SUM(IBM!$O13:$R13)</f>
        <v>66</v>
      </c>
      <c r="T13" s="30">
        <v>20</v>
      </c>
      <c r="U13" s="30">
        <v>20</v>
      </c>
      <c r="V13" s="30">
        <f t="shared" si="0"/>
        <v>40</v>
      </c>
      <c r="W13" s="30">
        <f t="shared" si="1"/>
        <v>224</v>
      </c>
      <c r="X13" s="24">
        <v>855</v>
      </c>
    </row>
    <row r="14" spans="3:24" ht="15.6" x14ac:dyDescent="0.3">
      <c r="C14" s="69" t="s">
        <v>83</v>
      </c>
      <c r="D14" s="67" t="s">
        <v>3</v>
      </c>
      <c r="E14" s="68">
        <v>17</v>
      </c>
      <c r="F14" s="30">
        <v>11</v>
      </c>
      <c r="G14" s="30">
        <v>19</v>
      </c>
      <c r="H14" s="30">
        <v>20</v>
      </c>
      <c r="I14" s="30">
        <f>SUM(IBM!$E14:$H14)</f>
        <v>67</v>
      </c>
      <c r="J14" s="30">
        <v>18</v>
      </c>
      <c r="K14" s="30">
        <v>13</v>
      </c>
      <c r="L14" s="30">
        <v>19</v>
      </c>
      <c r="M14" s="30">
        <v>18</v>
      </c>
      <c r="N14" s="30">
        <f>SUM(IBM!$J14:$M14)</f>
        <v>68</v>
      </c>
      <c r="O14" s="30">
        <v>19</v>
      </c>
      <c r="P14" s="30">
        <v>19</v>
      </c>
      <c r="Q14" s="30">
        <v>18</v>
      </c>
      <c r="R14" s="30">
        <v>12</v>
      </c>
      <c r="S14" s="30">
        <f>SUM(IBM!$O14:$R14)</f>
        <v>68</v>
      </c>
      <c r="T14" s="30">
        <v>13</v>
      </c>
      <c r="U14" s="30">
        <v>10</v>
      </c>
      <c r="V14" s="30">
        <f t="shared" si="0"/>
        <v>23</v>
      </c>
      <c r="W14" s="30">
        <f t="shared" si="1"/>
        <v>226</v>
      </c>
      <c r="X14" s="24">
        <v>795</v>
      </c>
    </row>
    <row r="15" spans="3:24" ht="15.6" x14ac:dyDescent="0.3">
      <c r="C15" s="66" t="s">
        <v>80</v>
      </c>
      <c r="D15" s="67" t="s">
        <v>4</v>
      </c>
      <c r="E15" s="68">
        <v>10</v>
      </c>
      <c r="F15" s="30">
        <v>12</v>
      </c>
      <c r="G15" s="30">
        <v>11</v>
      </c>
      <c r="H15" s="30">
        <v>16</v>
      </c>
      <c r="I15" s="30">
        <f>SUM(IBM!$E15:$H15)</f>
        <v>49</v>
      </c>
      <c r="J15" s="30">
        <v>20</v>
      </c>
      <c r="K15" s="30">
        <v>10</v>
      </c>
      <c r="L15" s="30">
        <v>10</v>
      </c>
      <c r="M15" s="30">
        <v>15</v>
      </c>
      <c r="N15" s="30">
        <f>SUM(IBM!$J15:$M15)</f>
        <v>55</v>
      </c>
      <c r="O15" s="30">
        <v>15</v>
      </c>
      <c r="P15" s="30">
        <v>17</v>
      </c>
      <c r="Q15" s="30">
        <v>13</v>
      </c>
      <c r="R15" s="30">
        <v>10</v>
      </c>
      <c r="S15" s="30">
        <f>SUM(IBM!$O15:$R15)</f>
        <v>55</v>
      </c>
      <c r="T15" s="30">
        <v>14</v>
      </c>
      <c r="U15" s="30">
        <v>14</v>
      </c>
      <c r="V15" s="30">
        <f t="shared" si="0"/>
        <v>28</v>
      </c>
      <c r="W15" s="30">
        <f t="shared" si="1"/>
        <v>187</v>
      </c>
      <c r="X15" s="24">
        <v>282</v>
      </c>
    </row>
    <row r="16" spans="3:24" ht="15.6" x14ac:dyDescent="0.3">
      <c r="C16" s="69" t="s">
        <v>81</v>
      </c>
      <c r="D16" s="67" t="s">
        <v>5</v>
      </c>
      <c r="E16" s="68">
        <v>15</v>
      </c>
      <c r="F16" s="30">
        <v>17</v>
      </c>
      <c r="G16" s="30">
        <v>14</v>
      </c>
      <c r="H16" s="30">
        <v>16</v>
      </c>
      <c r="I16" s="30">
        <f>SUM(IBM!$E16:$H16)</f>
        <v>62</v>
      </c>
      <c r="J16" s="30">
        <v>18</v>
      </c>
      <c r="K16" s="30">
        <v>11</v>
      </c>
      <c r="L16" s="30">
        <v>18</v>
      </c>
      <c r="M16" s="30">
        <v>15</v>
      </c>
      <c r="N16" s="30">
        <f>SUM(IBM!$J16:$M16)</f>
        <v>62</v>
      </c>
      <c r="O16" s="30">
        <v>19</v>
      </c>
      <c r="P16" s="30">
        <v>12</v>
      </c>
      <c r="Q16" s="30">
        <v>15</v>
      </c>
      <c r="R16" s="30">
        <v>11</v>
      </c>
      <c r="S16" s="30">
        <f>SUM(IBM!$O16:$R16)</f>
        <v>57</v>
      </c>
      <c r="T16" s="30">
        <v>10</v>
      </c>
      <c r="U16" s="30">
        <v>15</v>
      </c>
      <c r="V16" s="30">
        <f t="shared" si="0"/>
        <v>25</v>
      </c>
      <c r="W16" s="30">
        <f t="shared" si="1"/>
        <v>206</v>
      </c>
      <c r="X16" s="24">
        <v>636</v>
      </c>
    </row>
    <row r="17" spans="3:24" ht="15.6" x14ac:dyDescent="0.3">
      <c r="C17" s="66" t="s">
        <v>82</v>
      </c>
      <c r="D17" s="67" t="s">
        <v>6</v>
      </c>
      <c r="E17" s="68">
        <v>14</v>
      </c>
      <c r="F17" s="30">
        <v>17</v>
      </c>
      <c r="G17" s="30">
        <v>20</v>
      </c>
      <c r="H17" s="30">
        <v>15</v>
      </c>
      <c r="I17" s="30">
        <f>SUM(IBM!$E17:$H17)</f>
        <v>66</v>
      </c>
      <c r="J17" s="30">
        <v>18</v>
      </c>
      <c r="K17" s="30">
        <v>13</v>
      </c>
      <c r="L17" s="30">
        <v>20</v>
      </c>
      <c r="M17" s="30">
        <v>19</v>
      </c>
      <c r="N17" s="30">
        <f>SUM(IBM!$J17:$M17)</f>
        <v>70</v>
      </c>
      <c r="O17" s="30">
        <v>19</v>
      </c>
      <c r="P17" s="30">
        <v>17</v>
      </c>
      <c r="Q17" s="30">
        <v>15</v>
      </c>
      <c r="R17" s="30">
        <v>15</v>
      </c>
      <c r="S17" s="30">
        <f>SUM(IBM!$O17:$R17)</f>
        <v>66</v>
      </c>
      <c r="T17" s="30">
        <v>19</v>
      </c>
      <c r="U17" s="30">
        <v>12</v>
      </c>
      <c r="V17" s="30">
        <f t="shared" si="0"/>
        <v>31</v>
      </c>
      <c r="W17" s="30">
        <f t="shared" si="1"/>
        <v>233</v>
      </c>
      <c r="X17" s="24">
        <v>540</v>
      </c>
    </row>
    <row r="18" spans="3:24" ht="15.6" x14ac:dyDescent="0.3">
      <c r="C18" s="69" t="s">
        <v>83</v>
      </c>
      <c r="D18" s="67" t="s">
        <v>7</v>
      </c>
      <c r="E18" s="68">
        <v>10</v>
      </c>
      <c r="F18" s="30">
        <v>12</v>
      </c>
      <c r="G18" s="30">
        <v>12</v>
      </c>
      <c r="H18" s="30">
        <v>19</v>
      </c>
      <c r="I18" s="30">
        <f>SUM(IBM!$E18:$H18)</f>
        <v>53</v>
      </c>
      <c r="J18" s="30">
        <v>16</v>
      </c>
      <c r="K18" s="30">
        <v>18</v>
      </c>
      <c r="L18" s="30">
        <v>14</v>
      </c>
      <c r="M18" s="30">
        <v>14</v>
      </c>
      <c r="N18" s="30">
        <f>SUM(IBM!$J18:$M18)</f>
        <v>62</v>
      </c>
      <c r="O18" s="30">
        <v>12</v>
      </c>
      <c r="P18" s="30">
        <v>18</v>
      </c>
      <c r="Q18" s="30">
        <v>11</v>
      </c>
      <c r="R18" s="30">
        <v>10</v>
      </c>
      <c r="S18" s="30">
        <f>SUM(IBM!$O18:$R18)</f>
        <v>51</v>
      </c>
      <c r="T18" s="30">
        <v>10</v>
      </c>
      <c r="U18" s="30">
        <v>14</v>
      </c>
      <c r="V18" s="30">
        <f t="shared" si="0"/>
        <v>24</v>
      </c>
      <c r="W18" s="30">
        <f t="shared" si="1"/>
        <v>190</v>
      </c>
      <c r="X18" s="24">
        <v>838</v>
      </c>
    </row>
    <row r="19" spans="3:24" ht="15.6" x14ac:dyDescent="0.3">
      <c r="C19" s="66" t="s">
        <v>80</v>
      </c>
      <c r="D19" s="67" t="s">
        <v>8</v>
      </c>
      <c r="E19" s="68">
        <v>18</v>
      </c>
      <c r="F19" s="30">
        <v>10</v>
      </c>
      <c r="G19" s="30">
        <v>15</v>
      </c>
      <c r="H19" s="30">
        <v>10</v>
      </c>
      <c r="I19" s="30">
        <f>SUM(IBM!$E19:$H19)</f>
        <v>53</v>
      </c>
      <c r="J19" s="30">
        <v>19</v>
      </c>
      <c r="K19" s="30">
        <v>20</v>
      </c>
      <c r="L19" s="30">
        <v>17</v>
      </c>
      <c r="M19" s="30">
        <v>12</v>
      </c>
      <c r="N19" s="30">
        <f>SUM(IBM!$J19:$M19)</f>
        <v>68</v>
      </c>
      <c r="O19" s="30">
        <v>16</v>
      </c>
      <c r="P19" s="30">
        <v>20</v>
      </c>
      <c r="Q19" s="30">
        <v>20</v>
      </c>
      <c r="R19" s="30">
        <v>15</v>
      </c>
      <c r="S19" s="30">
        <f>SUM(IBM!$O19:$R19)</f>
        <v>71</v>
      </c>
      <c r="T19" s="30">
        <v>16</v>
      </c>
      <c r="U19" s="30">
        <v>20</v>
      </c>
      <c r="V19" s="30">
        <f t="shared" si="0"/>
        <v>36</v>
      </c>
      <c r="W19" s="30">
        <f t="shared" si="1"/>
        <v>228</v>
      </c>
      <c r="X19" s="24">
        <v>464</v>
      </c>
    </row>
    <row r="20" spans="3:24" ht="15.6" x14ac:dyDescent="0.3">
      <c r="C20" s="69" t="s">
        <v>81</v>
      </c>
      <c r="D20" s="67" t="s">
        <v>9</v>
      </c>
      <c r="E20" s="68">
        <v>11</v>
      </c>
      <c r="F20" s="30">
        <v>16</v>
      </c>
      <c r="G20" s="30">
        <v>15</v>
      </c>
      <c r="H20" s="30">
        <v>13</v>
      </c>
      <c r="I20" s="30">
        <f>SUM(IBM!$E20:$H20)</f>
        <v>55</v>
      </c>
      <c r="J20" s="30">
        <v>11</v>
      </c>
      <c r="K20" s="30">
        <v>17</v>
      </c>
      <c r="L20" s="30">
        <v>17</v>
      </c>
      <c r="M20" s="30">
        <v>13</v>
      </c>
      <c r="N20" s="30">
        <f>SUM(IBM!$J20:$M20)</f>
        <v>58</v>
      </c>
      <c r="O20" s="30">
        <v>11</v>
      </c>
      <c r="P20" s="30">
        <v>17</v>
      </c>
      <c r="Q20" s="30">
        <v>14</v>
      </c>
      <c r="R20" s="30">
        <v>18</v>
      </c>
      <c r="S20" s="30">
        <f>SUM(IBM!$O20:$R20)</f>
        <v>60</v>
      </c>
      <c r="T20" s="30">
        <v>11</v>
      </c>
      <c r="U20" s="30">
        <v>14</v>
      </c>
      <c r="V20" s="30">
        <f t="shared" si="0"/>
        <v>25</v>
      </c>
      <c r="W20" s="30">
        <f t="shared" si="1"/>
        <v>198</v>
      </c>
      <c r="X20" s="24">
        <v>834</v>
      </c>
    </row>
    <row r="21" spans="3:24" ht="15.6" x14ac:dyDescent="0.3">
      <c r="C21" s="69" t="s">
        <v>82</v>
      </c>
      <c r="D21" s="67" t="s">
        <v>10</v>
      </c>
      <c r="E21" s="68">
        <v>14</v>
      </c>
      <c r="F21" s="30">
        <v>10</v>
      </c>
      <c r="G21" s="30">
        <v>18</v>
      </c>
      <c r="H21" s="30">
        <v>12</v>
      </c>
      <c r="I21" s="30">
        <f>SUM(IBM!$E21:$H21)</f>
        <v>54</v>
      </c>
      <c r="J21" s="30">
        <v>11</v>
      </c>
      <c r="K21" s="30">
        <v>20</v>
      </c>
      <c r="L21" s="30">
        <v>19</v>
      </c>
      <c r="M21" s="30">
        <v>12</v>
      </c>
      <c r="N21" s="30">
        <f>SUM(IBM!$J21:$M21)</f>
        <v>62</v>
      </c>
      <c r="O21" s="30">
        <v>13</v>
      </c>
      <c r="P21" s="30">
        <v>12</v>
      </c>
      <c r="Q21" s="30">
        <v>19</v>
      </c>
      <c r="R21" s="30">
        <v>15</v>
      </c>
      <c r="S21" s="30">
        <f>SUM(IBM!$O21:$R21)</f>
        <v>59</v>
      </c>
      <c r="T21" s="30">
        <v>18</v>
      </c>
      <c r="U21" s="30">
        <v>14</v>
      </c>
      <c r="V21" s="30">
        <f t="shared" si="0"/>
        <v>32</v>
      </c>
      <c r="W21" s="30">
        <f t="shared" si="1"/>
        <v>207</v>
      </c>
      <c r="X21" s="24">
        <v>289</v>
      </c>
    </row>
    <row r="22" spans="3:24" ht="15.6" x14ac:dyDescent="0.3">
      <c r="C22" s="66" t="s">
        <v>83</v>
      </c>
      <c r="D22" s="67" t="s">
        <v>11</v>
      </c>
      <c r="E22" s="68">
        <v>12</v>
      </c>
      <c r="F22" s="30">
        <v>17</v>
      </c>
      <c r="G22" s="30">
        <v>11</v>
      </c>
      <c r="H22" s="30">
        <v>15</v>
      </c>
      <c r="I22" s="30">
        <f>SUM(IBM!$E22:$H22)</f>
        <v>55</v>
      </c>
      <c r="J22" s="30">
        <v>14</v>
      </c>
      <c r="K22" s="30">
        <v>17</v>
      </c>
      <c r="L22" s="30">
        <v>18</v>
      </c>
      <c r="M22" s="30">
        <v>13</v>
      </c>
      <c r="N22" s="30">
        <f>SUM(IBM!$J22:$M22)</f>
        <v>62</v>
      </c>
      <c r="O22" s="30">
        <v>18</v>
      </c>
      <c r="P22" s="30">
        <v>18</v>
      </c>
      <c r="Q22" s="30">
        <v>18</v>
      </c>
      <c r="R22" s="30">
        <v>11</v>
      </c>
      <c r="S22" s="30">
        <f>SUM(IBM!$O22:$R22)</f>
        <v>65</v>
      </c>
      <c r="T22" s="30">
        <v>10</v>
      </c>
      <c r="U22" s="30">
        <v>17</v>
      </c>
      <c r="V22" s="30">
        <f t="shared" si="0"/>
        <v>27</v>
      </c>
      <c r="W22" s="30">
        <f t="shared" si="1"/>
        <v>209</v>
      </c>
      <c r="X22" s="24">
        <v>582</v>
      </c>
    </row>
    <row r="23" spans="3:24" ht="15.6" x14ac:dyDescent="0.3">
      <c r="C23" s="69" t="s">
        <v>80</v>
      </c>
      <c r="D23" s="67" t="s">
        <v>3</v>
      </c>
      <c r="E23" s="68">
        <v>16</v>
      </c>
      <c r="F23" s="30">
        <v>13</v>
      </c>
      <c r="G23" s="30">
        <v>11</v>
      </c>
      <c r="H23" s="30">
        <v>18</v>
      </c>
      <c r="I23" s="30">
        <f>SUM(IBM!$E23:$H23)</f>
        <v>58</v>
      </c>
      <c r="J23" s="30">
        <v>20</v>
      </c>
      <c r="K23" s="30">
        <v>14</v>
      </c>
      <c r="L23" s="30">
        <v>16</v>
      </c>
      <c r="M23" s="30">
        <v>15</v>
      </c>
      <c r="N23" s="30">
        <f>SUM(IBM!$J23:$M23)</f>
        <v>65</v>
      </c>
      <c r="O23" s="30">
        <v>13</v>
      </c>
      <c r="P23" s="30">
        <v>10</v>
      </c>
      <c r="Q23" s="30">
        <v>15</v>
      </c>
      <c r="R23" s="30">
        <v>10</v>
      </c>
      <c r="S23" s="30">
        <f>SUM(IBM!$O23:$R23)</f>
        <v>48</v>
      </c>
      <c r="T23" s="30">
        <v>20</v>
      </c>
      <c r="U23" s="30">
        <v>15</v>
      </c>
      <c r="V23" s="30">
        <f t="shared" si="0"/>
        <v>35</v>
      </c>
      <c r="W23" s="30">
        <f t="shared" si="1"/>
        <v>206</v>
      </c>
      <c r="X23" s="24">
        <v>580</v>
      </c>
    </row>
    <row r="24" spans="3:24" ht="15.6" x14ac:dyDescent="0.3">
      <c r="C24" s="66" t="s">
        <v>81</v>
      </c>
      <c r="D24" s="67" t="s">
        <v>12</v>
      </c>
      <c r="E24" s="68">
        <v>16</v>
      </c>
      <c r="F24" s="30">
        <v>16</v>
      </c>
      <c r="G24" s="30">
        <v>20</v>
      </c>
      <c r="H24" s="30">
        <v>20</v>
      </c>
      <c r="I24" s="30">
        <f>SUM(IBM!$E24:$H24)</f>
        <v>72</v>
      </c>
      <c r="J24" s="30">
        <v>14</v>
      </c>
      <c r="K24" s="30">
        <v>20</v>
      </c>
      <c r="L24" s="30">
        <v>13</v>
      </c>
      <c r="M24" s="30">
        <v>12</v>
      </c>
      <c r="N24" s="30">
        <f>SUM(IBM!$J24:$M24)</f>
        <v>59</v>
      </c>
      <c r="O24" s="30">
        <v>20</v>
      </c>
      <c r="P24" s="30">
        <v>12</v>
      </c>
      <c r="Q24" s="30">
        <v>15</v>
      </c>
      <c r="R24" s="30">
        <v>15</v>
      </c>
      <c r="S24" s="30">
        <f>SUM(IBM!$O24:$R24)</f>
        <v>62</v>
      </c>
      <c r="T24" s="30">
        <v>13</v>
      </c>
      <c r="U24" s="30">
        <v>13</v>
      </c>
      <c r="V24" s="30">
        <f t="shared" si="0"/>
        <v>26</v>
      </c>
      <c r="W24" s="30">
        <f t="shared" si="1"/>
        <v>219</v>
      </c>
      <c r="X24" s="24">
        <v>548</v>
      </c>
    </row>
    <row r="25" spans="3:24" ht="15.6" x14ac:dyDescent="0.3">
      <c r="C25" s="69" t="s">
        <v>82</v>
      </c>
      <c r="D25" s="67" t="s">
        <v>13</v>
      </c>
      <c r="E25" s="68">
        <v>16</v>
      </c>
      <c r="F25" s="30">
        <v>18</v>
      </c>
      <c r="G25" s="30">
        <v>17</v>
      </c>
      <c r="H25" s="30">
        <v>19</v>
      </c>
      <c r="I25" s="30">
        <f>SUM(IBM!$E25:$H25)</f>
        <v>70</v>
      </c>
      <c r="J25" s="30">
        <v>18</v>
      </c>
      <c r="K25" s="30">
        <v>19</v>
      </c>
      <c r="L25" s="30">
        <v>11</v>
      </c>
      <c r="M25" s="30">
        <v>12</v>
      </c>
      <c r="N25" s="30">
        <f>SUM(IBM!$J25:$M25)</f>
        <v>60</v>
      </c>
      <c r="O25" s="30">
        <v>15</v>
      </c>
      <c r="P25" s="30">
        <v>17</v>
      </c>
      <c r="Q25" s="30">
        <v>16</v>
      </c>
      <c r="R25" s="30">
        <v>14</v>
      </c>
      <c r="S25" s="30">
        <f>SUM(IBM!$O25:$R25)</f>
        <v>62</v>
      </c>
      <c r="T25" s="30">
        <v>16</v>
      </c>
      <c r="U25" s="30">
        <v>17</v>
      </c>
      <c r="V25" s="30">
        <f t="shared" si="0"/>
        <v>33</v>
      </c>
      <c r="W25" s="30">
        <f t="shared" si="1"/>
        <v>225</v>
      </c>
      <c r="X25" s="24">
        <v>644</v>
      </c>
    </row>
    <row r="26" spans="3:24" ht="15.6" x14ac:dyDescent="0.3">
      <c r="C26" s="66" t="s">
        <v>83</v>
      </c>
      <c r="D26" s="67" t="s">
        <v>14</v>
      </c>
      <c r="E26" s="68">
        <v>10</v>
      </c>
      <c r="F26" s="30">
        <v>16</v>
      </c>
      <c r="G26" s="30">
        <v>10</v>
      </c>
      <c r="H26" s="30">
        <v>17</v>
      </c>
      <c r="I26" s="30">
        <f>SUM(IBM!$E26:$H26)</f>
        <v>53</v>
      </c>
      <c r="J26" s="30">
        <v>17</v>
      </c>
      <c r="K26" s="30">
        <v>17</v>
      </c>
      <c r="L26" s="30">
        <v>11</v>
      </c>
      <c r="M26" s="30">
        <v>19</v>
      </c>
      <c r="N26" s="30">
        <f>SUM(IBM!$J26:$M26)</f>
        <v>64</v>
      </c>
      <c r="O26" s="30">
        <v>18</v>
      </c>
      <c r="P26" s="30">
        <v>14</v>
      </c>
      <c r="Q26" s="30">
        <v>11</v>
      </c>
      <c r="R26" s="30">
        <v>14</v>
      </c>
      <c r="S26" s="30">
        <f>SUM(IBM!$O26:$R26)</f>
        <v>57</v>
      </c>
      <c r="T26" s="30">
        <v>17</v>
      </c>
      <c r="U26" s="30">
        <v>13</v>
      </c>
      <c r="V26" s="30">
        <f t="shared" si="0"/>
        <v>30</v>
      </c>
      <c r="W26" s="30">
        <f t="shared" si="1"/>
        <v>204</v>
      </c>
      <c r="X26" s="24">
        <v>749</v>
      </c>
    </row>
    <row r="27" spans="3:24" ht="15.6" x14ac:dyDescent="0.3">
      <c r="C27" s="69" t="s">
        <v>80</v>
      </c>
      <c r="D27" s="67" t="s">
        <v>15</v>
      </c>
      <c r="E27" s="68">
        <v>18</v>
      </c>
      <c r="F27" s="30">
        <v>20</v>
      </c>
      <c r="G27" s="30">
        <v>11</v>
      </c>
      <c r="H27" s="30">
        <v>15</v>
      </c>
      <c r="I27" s="30">
        <f>SUM(IBM!$E27:$H27)</f>
        <v>64</v>
      </c>
      <c r="J27" s="30">
        <v>16</v>
      </c>
      <c r="K27" s="30">
        <v>11</v>
      </c>
      <c r="L27" s="30">
        <v>12</v>
      </c>
      <c r="M27" s="30">
        <v>19</v>
      </c>
      <c r="N27" s="30">
        <f>SUM(IBM!$J27:$M27)</f>
        <v>58</v>
      </c>
      <c r="O27" s="30">
        <v>19</v>
      </c>
      <c r="P27" s="30">
        <v>19</v>
      </c>
      <c r="Q27" s="30">
        <v>18</v>
      </c>
      <c r="R27" s="30">
        <v>11</v>
      </c>
      <c r="S27" s="30">
        <f>SUM(IBM!$O27:$R27)</f>
        <v>67</v>
      </c>
      <c r="T27" s="30">
        <v>11</v>
      </c>
      <c r="U27" s="30">
        <v>18</v>
      </c>
      <c r="V27" s="30">
        <f t="shared" si="0"/>
        <v>29</v>
      </c>
      <c r="W27" s="30">
        <f t="shared" si="1"/>
        <v>218</v>
      </c>
      <c r="X27" s="24">
        <v>474</v>
      </c>
    </row>
    <row r="28" spans="3:24" ht="15.6" x14ac:dyDescent="0.3">
      <c r="C28" s="66" t="s">
        <v>81</v>
      </c>
      <c r="D28" s="67" t="s">
        <v>16</v>
      </c>
      <c r="E28" s="68">
        <v>10</v>
      </c>
      <c r="F28" s="30">
        <v>11</v>
      </c>
      <c r="G28" s="30">
        <v>17</v>
      </c>
      <c r="H28" s="30">
        <v>17</v>
      </c>
      <c r="I28" s="30">
        <f>SUM(IBM!$E28:$H28)</f>
        <v>55</v>
      </c>
      <c r="J28" s="30">
        <v>10</v>
      </c>
      <c r="K28" s="30">
        <v>19</v>
      </c>
      <c r="L28" s="30">
        <v>18</v>
      </c>
      <c r="M28" s="30">
        <v>18</v>
      </c>
      <c r="N28" s="30">
        <f>SUM(IBM!$J28:$M28)</f>
        <v>65</v>
      </c>
      <c r="O28" s="30">
        <v>13</v>
      </c>
      <c r="P28" s="30">
        <v>17</v>
      </c>
      <c r="Q28" s="30">
        <v>15</v>
      </c>
      <c r="R28" s="30">
        <v>20</v>
      </c>
      <c r="S28" s="30">
        <f>SUM(IBM!$O28:$R28)</f>
        <v>65</v>
      </c>
      <c r="T28" s="30">
        <v>19</v>
      </c>
      <c r="U28" s="30">
        <v>11</v>
      </c>
      <c r="V28" s="30">
        <f t="shared" si="0"/>
        <v>30</v>
      </c>
      <c r="W28" s="30">
        <f t="shared" si="1"/>
        <v>215</v>
      </c>
      <c r="X28" s="24">
        <v>713</v>
      </c>
    </row>
    <row r="29" spans="3:24" ht="15.6" x14ac:dyDescent="0.3">
      <c r="C29" s="69" t="s">
        <v>82</v>
      </c>
      <c r="D29" s="67" t="s">
        <v>17</v>
      </c>
      <c r="E29" s="68">
        <v>13</v>
      </c>
      <c r="F29" s="30">
        <v>16</v>
      </c>
      <c r="G29" s="30">
        <v>14</v>
      </c>
      <c r="H29" s="30">
        <v>10</v>
      </c>
      <c r="I29" s="30">
        <f>SUM(IBM!$E29:$H29)</f>
        <v>53</v>
      </c>
      <c r="J29" s="30">
        <v>10</v>
      </c>
      <c r="K29" s="30">
        <v>15</v>
      </c>
      <c r="L29" s="30">
        <v>20</v>
      </c>
      <c r="M29" s="30">
        <v>17</v>
      </c>
      <c r="N29" s="30">
        <f>SUM(IBM!$J29:$M29)</f>
        <v>62</v>
      </c>
      <c r="O29" s="30">
        <v>18</v>
      </c>
      <c r="P29" s="30">
        <v>19</v>
      </c>
      <c r="Q29" s="30">
        <v>18</v>
      </c>
      <c r="R29" s="30">
        <v>17</v>
      </c>
      <c r="S29" s="30">
        <f>SUM(IBM!$O29:$R29)</f>
        <v>72</v>
      </c>
      <c r="T29" s="30">
        <v>10</v>
      </c>
      <c r="U29" s="30">
        <v>12</v>
      </c>
      <c r="V29" s="30">
        <f t="shared" si="0"/>
        <v>22</v>
      </c>
      <c r="W29" s="30">
        <f t="shared" si="1"/>
        <v>209</v>
      </c>
      <c r="X29" s="24">
        <v>274</v>
      </c>
    </row>
    <row r="30" spans="3:24" ht="15.6" x14ac:dyDescent="0.3">
      <c r="C30" s="70" t="s">
        <v>83</v>
      </c>
      <c r="D30" s="71" t="s">
        <v>18</v>
      </c>
      <c r="E30" s="72">
        <v>10</v>
      </c>
      <c r="F30" s="31">
        <v>18</v>
      </c>
      <c r="G30" s="31">
        <v>13</v>
      </c>
      <c r="H30" s="31">
        <v>12</v>
      </c>
      <c r="I30" s="31">
        <f>SUM(IBM!$E30:$H30)</f>
        <v>53</v>
      </c>
      <c r="J30" s="31">
        <v>11</v>
      </c>
      <c r="K30" s="31">
        <v>15</v>
      </c>
      <c r="L30" s="31">
        <v>19</v>
      </c>
      <c r="M30" s="31">
        <v>12</v>
      </c>
      <c r="N30" s="31">
        <f>SUM(IBM!$J30:$M30)</f>
        <v>57</v>
      </c>
      <c r="O30" s="31">
        <v>11</v>
      </c>
      <c r="P30" s="31">
        <v>14</v>
      </c>
      <c r="Q30" s="31">
        <v>10</v>
      </c>
      <c r="R30" s="31">
        <v>15</v>
      </c>
      <c r="S30" s="31">
        <f>SUM(IBM!$O30:$R30)</f>
        <v>50</v>
      </c>
      <c r="T30" s="31">
        <v>20</v>
      </c>
      <c r="U30" s="31">
        <v>16</v>
      </c>
      <c r="V30" s="31">
        <f t="shared" si="0"/>
        <v>36</v>
      </c>
      <c r="W30" s="31">
        <f t="shared" si="1"/>
        <v>196</v>
      </c>
      <c r="X30" s="19">
        <v>868</v>
      </c>
    </row>
    <row r="37" spans="4:15" ht="14.4" customHeight="1" x14ac:dyDescent="0.3">
      <c r="D37" s="78" t="s">
        <v>163</v>
      </c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</row>
    <row r="38" spans="4:15" ht="14.4" customHeight="1" x14ac:dyDescent="0.3"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</row>
    <row r="39" spans="4:15" x14ac:dyDescent="0.3">
      <c r="D39" s="61" t="s">
        <v>84</v>
      </c>
      <c r="E39" s="62" t="s">
        <v>121</v>
      </c>
      <c r="F39" s="32" t="s">
        <v>95</v>
      </c>
      <c r="G39" s="63" t="s">
        <v>96</v>
      </c>
      <c r="H39" s="63" t="s">
        <v>97</v>
      </c>
      <c r="I39" s="63" t="s">
        <v>98</v>
      </c>
      <c r="J39" s="63" t="s">
        <v>88</v>
      </c>
      <c r="K39" s="32" t="s">
        <v>85</v>
      </c>
      <c r="L39" s="32" t="s">
        <v>89</v>
      </c>
      <c r="M39" s="32" t="s">
        <v>99</v>
      </c>
      <c r="N39" s="32" t="s">
        <v>78</v>
      </c>
      <c r="O39" s="73" t="s">
        <v>91</v>
      </c>
    </row>
    <row r="40" spans="4:15" ht="15.6" x14ac:dyDescent="0.3">
      <c r="D40" s="74" t="s">
        <v>80</v>
      </c>
      <c r="E40" s="6">
        <f>COUNTIFS(IBM!$C$11:$C$30,D40)</f>
        <v>5</v>
      </c>
      <c r="F40" s="6">
        <f>(SUMIFS(I11:I30,C11:C30,D40))*(SUMIFS(X11:X30,C11:C30,D40))</f>
        <v>653425</v>
      </c>
      <c r="G40" s="6">
        <f>(SUMIFS(N11:N30,C11:C30,D40))*(SUMIFS(X11:X30,C11:C30,D40))</f>
        <v>646780</v>
      </c>
      <c r="H40" s="6">
        <f>(SUMIFS(S11:S30,C11:C30,D40))*(SUMIFS(X11:X30,C11:C30,D40))</f>
        <v>657855</v>
      </c>
      <c r="I40" s="6">
        <f>(SUMIFS(V11:V30,C11:C30,D40))*(SUMIFS(X11:X30,C11:C30,D40))</f>
        <v>334465</v>
      </c>
      <c r="J40" s="6">
        <v>5000000</v>
      </c>
      <c r="K40" s="6">
        <v>0</v>
      </c>
      <c r="L40" s="6">
        <f>J40+K40</f>
        <v>5000000</v>
      </c>
      <c r="M40" s="6">
        <f>SUM(F40:I40)</f>
        <v>2292525</v>
      </c>
      <c r="N40" s="6">
        <f>(L40-M40)</f>
        <v>2707475</v>
      </c>
      <c r="O40" s="8">
        <f>N40/J40</f>
        <v>0.54149499999999995</v>
      </c>
    </row>
    <row r="41" spans="4:15" ht="15.6" x14ac:dyDescent="0.3">
      <c r="D41" s="75" t="s">
        <v>81</v>
      </c>
      <c r="E41" s="6">
        <f>COUNTIFS(IBM!$C$11:$C$30,D41)</f>
        <v>5</v>
      </c>
      <c r="F41" s="6">
        <f>(SUMIFS(I12:I31,C12:C31,D41))*(SUMIFS(X12:X31,C12:C31,D41))</f>
        <v>1007447</v>
      </c>
      <c r="G41" s="6">
        <f>(SUMIFS(N12:N31,C12:C31,D41))*(SUMIFS(X12:X31,C12:C31,D41))</f>
        <v>1034223</v>
      </c>
      <c r="H41" s="6">
        <f>(SUMIFS(S12:S31,C12:C31,D41))*(SUMIFS(X12:X31,C12:C31,D41))</f>
        <v>1037570</v>
      </c>
      <c r="I41" s="6">
        <f>(SUMIFS(V12:V31,C12:C31,D41))*(SUMIFS(X12:X31,C12:C31,D41))</f>
        <v>455192</v>
      </c>
      <c r="J41" s="6">
        <v>5000000</v>
      </c>
      <c r="K41" s="6">
        <v>0</v>
      </c>
      <c r="L41" s="6">
        <f>J41+K41</f>
        <v>5000000</v>
      </c>
      <c r="M41" s="6">
        <f>SUM(F41:I41)</f>
        <v>3534432</v>
      </c>
      <c r="N41" s="6">
        <f>(L41-M41)</f>
        <v>1465568</v>
      </c>
      <c r="O41" s="8">
        <f>N41/J41</f>
        <v>0.29311359999999997</v>
      </c>
    </row>
    <row r="42" spans="4:15" ht="15.6" x14ac:dyDescent="0.3">
      <c r="D42" s="74" t="s">
        <v>82</v>
      </c>
      <c r="E42" s="6">
        <f>COUNTIFS(IBM!$C$11:$C$30,D42)</f>
        <v>5</v>
      </c>
      <c r="F42" s="6">
        <f>(SUMIFS(I13:I32,C13:C32,D42))*(SUMIFS(X13:X32,C13:C32,D42))</f>
        <v>796212</v>
      </c>
      <c r="G42" s="6">
        <f>(SUMIFS(N13:N32,C13:C32,D42))*(SUMIFS(X13:X32,C13:C32,D42))</f>
        <v>804018</v>
      </c>
      <c r="H42" s="6">
        <f>(SUMIFS(S13:S32,C13:C32,D42))*(SUMIFS(X13:X32,C13:C32,D42))</f>
        <v>845650</v>
      </c>
      <c r="I42" s="6">
        <f>(SUMIFS(V13:V32,C13:C32,D42))*(SUMIFS(X13:X32,C13:C32,D42))</f>
        <v>411116</v>
      </c>
      <c r="J42" s="6">
        <v>5000000</v>
      </c>
      <c r="K42" s="6">
        <v>0</v>
      </c>
      <c r="L42" s="6">
        <f>J42+K42</f>
        <v>5000000</v>
      </c>
      <c r="M42" s="6">
        <f>SUM(F42:I42)</f>
        <v>2856996</v>
      </c>
      <c r="N42" s="6">
        <f>(L42-M42)</f>
        <v>2143004</v>
      </c>
      <c r="O42" s="8">
        <f>N42/J42</f>
        <v>0.4286008</v>
      </c>
    </row>
    <row r="43" spans="4:15" ht="15.6" x14ac:dyDescent="0.3">
      <c r="D43" s="76" t="s">
        <v>83</v>
      </c>
      <c r="E43" s="10">
        <f>COUNTIFS(IBM!$C$11:$C$30,D43)</f>
        <v>5</v>
      </c>
      <c r="F43" s="10">
        <f>(SUMIFS(I14:I33,C14:C33,D43))*(SUMIFS(X14:X33,C14:C33,D43))</f>
        <v>1076792</v>
      </c>
      <c r="G43" s="10">
        <f>(SUMIFS(N14:N33,C14:C33,D43))*(SUMIFS(X14:X33,C14:C33,D43))</f>
        <v>1199416</v>
      </c>
      <c r="H43" s="10">
        <f>(SUMIFS(S14:S33,C14:C33,D43))*(SUMIFS(X14:X33,C14:C33,D43))</f>
        <v>1115112</v>
      </c>
      <c r="I43" s="10">
        <f>(SUMIFS(V14:V33,C14:C33,D43))*(SUMIFS(X14:X33,C14:C33,D43))</f>
        <v>536480</v>
      </c>
      <c r="J43" s="10">
        <v>5000000</v>
      </c>
      <c r="K43" s="10">
        <v>0</v>
      </c>
      <c r="L43" s="10">
        <f>J43+K43</f>
        <v>5000000</v>
      </c>
      <c r="M43" s="10">
        <f>SUM(F43:I43)</f>
        <v>3927800</v>
      </c>
      <c r="N43" s="10">
        <f>(L43-M43)</f>
        <v>1072200</v>
      </c>
      <c r="O43" s="4">
        <f>N43/J43</f>
        <v>0.21443999999999999</v>
      </c>
    </row>
  </sheetData>
  <mergeCells count="3">
    <mergeCell ref="C8:X9"/>
    <mergeCell ref="D37:O38"/>
    <mergeCell ref="C1:X2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29525-F7D3-4E98-A9CC-EF4FB183E3F8}">
  <dimension ref="C1:AC37"/>
  <sheetViews>
    <sheetView showGridLines="0" tabSelected="1" topLeftCell="C4" zoomScale="75" zoomScaleNormal="75" workbookViewId="0">
      <selection activeCell="D34" sqref="D34:P34"/>
    </sheetView>
  </sheetViews>
  <sheetFormatPr defaultRowHeight="14.4" x14ac:dyDescent="0.3"/>
  <cols>
    <col min="3" max="3" width="18.5546875" bestFit="1" customWidth="1"/>
    <col min="4" max="4" width="16.6640625" bestFit="1" customWidth="1"/>
    <col min="5" max="5" width="36" customWidth="1"/>
    <col min="6" max="6" width="36.77734375" hidden="1" customWidth="1"/>
    <col min="7" max="8" width="36.44140625" hidden="1" customWidth="1"/>
    <col min="9" max="9" width="19.33203125" hidden="1" customWidth="1"/>
    <col min="10" max="10" width="36.44140625" hidden="1" customWidth="1"/>
    <col min="11" max="11" width="36.44140625" customWidth="1"/>
    <col min="12" max="13" width="36.77734375" customWidth="1"/>
    <col min="14" max="14" width="23.109375" customWidth="1"/>
    <col min="15" max="15" width="36.44140625" hidden="1" customWidth="1"/>
    <col min="16" max="18" width="37.5546875" customWidth="1"/>
    <col min="19" max="19" width="18.33203125" bestFit="1" customWidth="1"/>
    <col min="20" max="22" width="37.5546875" hidden="1" customWidth="1"/>
    <col min="23" max="23" width="37.6640625" hidden="1" customWidth="1"/>
    <col min="24" max="24" width="19.5546875" bestFit="1" customWidth="1"/>
    <col min="25" max="25" width="37.6640625" hidden="1" customWidth="1"/>
    <col min="26" max="26" width="38.88671875" hidden="1" customWidth="1"/>
    <col min="27" max="27" width="18.21875" bestFit="1" customWidth="1"/>
    <col min="28" max="28" width="16.88671875" bestFit="1" customWidth="1"/>
    <col min="29" max="29" width="16.109375" bestFit="1" customWidth="1"/>
  </cols>
  <sheetData>
    <row r="1" spans="3:29" ht="14.4" customHeight="1" x14ac:dyDescent="0.3">
      <c r="C1" s="79" t="s">
        <v>159</v>
      </c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</row>
    <row r="2" spans="3:29" x14ac:dyDescent="0.3"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</row>
    <row r="8" spans="3:29" ht="14.4" customHeight="1" x14ac:dyDescent="0.3">
      <c r="C8" s="77" t="s">
        <v>21</v>
      </c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</row>
    <row r="9" spans="3:29" ht="14.4" customHeight="1" x14ac:dyDescent="0.3"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</row>
    <row r="10" spans="3:29" x14ac:dyDescent="0.3">
      <c r="C10" s="25" t="s">
        <v>79</v>
      </c>
      <c r="D10" s="26" t="s">
        <v>19</v>
      </c>
      <c r="E10" s="27" t="s">
        <v>22</v>
      </c>
      <c r="F10" s="28" t="s">
        <v>23</v>
      </c>
      <c r="G10" s="28" t="s">
        <v>24</v>
      </c>
      <c r="H10" s="28" t="s">
        <v>25</v>
      </c>
      <c r="I10" s="28" t="s">
        <v>103</v>
      </c>
      <c r="J10" s="27" t="s">
        <v>26</v>
      </c>
      <c r="K10" s="27" t="s">
        <v>27</v>
      </c>
      <c r="L10" s="27" t="s">
        <v>28</v>
      </c>
      <c r="M10" s="27" t="s">
        <v>30</v>
      </c>
      <c r="N10" s="29" t="s">
        <v>104</v>
      </c>
      <c r="O10" s="27" t="s">
        <v>29</v>
      </c>
      <c r="P10" s="27" t="s">
        <v>31</v>
      </c>
      <c r="Q10" s="27" t="s">
        <v>32</v>
      </c>
      <c r="R10" s="27" t="s">
        <v>33</v>
      </c>
      <c r="S10" s="28" t="s">
        <v>105</v>
      </c>
      <c r="T10" s="28" t="s">
        <v>35</v>
      </c>
      <c r="U10" s="28" t="s">
        <v>36</v>
      </c>
      <c r="V10" s="28" t="s">
        <v>37</v>
      </c>
      <c r="W10" s="27" t="s">
        <v>38</v>
      </c>
      <c r="X10" s="27" t="s">
        <v>106</v>
      </c>
      <c r="Y10" s="27" t="s">
        <v>39</v>
      </c>
      <c r="Z10" s="27" t="s">
        <v>40</v>
      </c>
      <c r="AA10" s="27" t="s">
        <v>107</v>
      </c>
      <c r="AB10" s="27" t="s">
        <v>34</v>
      </c>
      <c r="AC10" s="27" t="s">
        <v>20</v>
      </c>
    </row>
    <row r="11" spans="3:29" ht="15.6" x14ac:dyDescent="0.3">
      <c r="C11" s="16" t="s">
        <v>92</v>
      </c>
      <c r="D11" s="17" t="s">
        <v>0</v>
      </c>
      <c r="E11" s="18">
        <v>10</v>
      </c>
      <c r="F11" s="19">
        <v>19</v>
      </c>
      <c r="G11" s="19">
        <v>15</v>
      </c>
      <c r="H11" s="19">
        <v>18</v>
      </c>
      <c r="I11" s="19">
        <f>SUM(Table1[[#This Row],[Week-1(13/03/2023-17/03/2023)]:[''Week-4(03/04/2023-07/04/2023)]])</f>
        <v>62</v>
      </c>
      <c r="J11" s="19">
        <v>11</v>
      </c>
      <c r="K11" s="19">
        <v>10</v>
      </c>
      <c r="L11" s="19">
        <v>13</v>
      </c>
      <c r="M11" s="19">
        <v>14</v>
      </c>
      <c r="N11" s="19">
        <f>SUM(Table1[[#This Row],[''Week-5(10/04/2023-14/04/2023)]:[''Week-8 (01/05/2023-05/05/2023)]])</f>
        <v>48</v>
      </c>
      <c r="O11" s="19">
        <v>20</v>
      </c>
      <c r="P11" s="19">
        <v>16</v>
      </c>
      <c r="Q11" s="19">
        <v>16</v>
      </c>
      <c r="R11" s="19">
        <v>15</v>
      </c>
      <c r="S11" s="19">
        <f>SUM(Table1[[#This Row],[''Week-9(08/05/2023-12/05/2023)]:[''Week-12(29/05/2023-02/06/2023)]])</f>
        <v>67</v>
      </c>
      <c r="T11" s="19">
        <v>20</v>
      </c>
      <c r="U11" s="19">
        <v>12</v>
      </c>
      <c r="V11" s="19">
        <v>14</v>
      </c>
      <c r="W11" s="19">
        <v>18</v>
      </c>
      <c r="X11" s="19">
        <f>SUM(Table1[[#This Row],[''Week-13(05/06/2023-09/06/2023)]:[Week - 16(26/06/2023-30/06/2023)]])</f>
        <v>64</v>
      </c>
      <c r="Y11" s="19">
        <v>16</v>
      </c>
      <c r="Z11" s="19">
        <v>16</v>
      </c>
      <c r="AA11" s="19">
        <f>SUM(Table1[[#This Row],[Week - 17(03/07/2023-07/07/2023)]:[^Week - 18(10/07/2023-14/07/2023)]])</f>
        <v>32</v>
      </c>
      <c r="AB11" s="19">
        <f t="shared" ref="AB11:AB30" si="0">SUM(E11:Z11)</f>
        <v>514</v>
      </c>
      <c r="AC11" s="19">
        <v>791</v>
      </c>
    </row>
    <row r="12" spans="3:29" ht="15.6" x14ac:dyDescent="0.3">
      <c r="C12" s="20" t="s">
        <v>87</v>
      </c>
      <c r="D12" s="17" t="s">
        <v>1</v>
      </c>
      <c r="E12" s="18">
        <v>10</v>
      </c>
      <c r="F12" s="19">
        <v>14</v>
      </c>
      <c r="G12" s="19">
        <v>12</v>
      </c>
      <c r="H12" s="19">
        <v>14</v>
      </c>
      <c r="I12" s="19">
        <f>SUM(Table1[[#This Row],[Week-1(13/03/2023-17/03/2023)]:[''Week-4(03/04/2023-07/04/2023)]])</f>
        <v>50</v>
      </c>
      <c r="J12" s="19">
        <v>18</v>
      </c>
      <c r="K12" s="19">
        <v>13</v>
      </c>
      <c r="L12" s="19">
        <v>10</v>
      </c>
      <c r="M12" s="19">
        <v>18</v>
      </c>
      <c r="N12" s="19">
        <f>SUM(Table1[[#This Row],[''Week-5(10/04/2023-14/04/2023)]:[''Week-8 (01/05/2023-05/05/2023)]])</f>
        <v>59</v>
      </c>
      <c r="O12" s="19">
        <v>11</v>
      </c>
      <c r="P12" s="19">
        <v>20</v>
      </c>
      <c r="Q12" s="19">
        <v>10</v>
      </c>
      <c r="R12" s="19">
        <v>13</v>
      </c>
      <c r="S12" s="19">
        <f>SUM(Table1[[#This Row],[''Week-9(08/05/2023-12/05/2023)]:[''Week-12(29/05/2023-02/06/2023)]])</f>
        <v>54</v>
      </c>
      <c r="T12" s="19">
        <v>16</v>
      </c>
      <c r="U12" s="19">
        <v>17</v>
      </c>
      <c r="V12" s="19">
        <v>15</v>
      </c>
      <c r="W12" s="19">
        <v>19</v>
      </c>
      <c r="X12" s="19">
        <f>SUM(Table1[[#This Row],[''Week-13(05/06/2023-09/06/2023)]:[Week - 16(26/06/2023-30/06/2023)]])</f>
        <v>67</v>
      </c>
      <c r="Y12" s="19">
        <v>11</v>
      </c>
      <c r="Z12" s="19">
        <v>17</v>
      </c>
      <c r="AA12" s="19">
        <f>SUM(Table1[[#This Row],[Week - 17(03/07/2023-07/07/2023)]:[^Week - 18(10/07/2023-14/07/2023)]])</f>
        <v>28</v>
      </c>
      <c r="AB12" s="19">
        <f t="shared" si="0"/>
        <v>488</v>
      </c>
      <c r="AC12" s="19">
        <v>670</v>
      </c>
    </row>
    <row r="13" spans="3:29" ht="15.6" x14ac:dyDescent="0.3">
      <c r="C13" s="16" t="s">
        <v>93</v>
      </c>
      <c r="D13" s="17" t="s">
        <v>2</v>
      </c>
      <c r="E13" s="18">
        <v>18</v>
      </c>
      <c r="F13" s="19">
        <v>18</v>
      </c>
      <c r="G13" s="19">
        <v>20</v>
      </c>
      <c r="H13" s="19">
        <v>17</v>
      </c>
      <c r="I13" s="19">
        <f>SUM(Table1[[#This Row],[Week-1(13/03/2023-17/03/2023)]:[''Week-4(03/04/2023-07/04/2023)]])</f>
        <v>73</v>
      </c>
      <c r="J13" s="19">
        <v>12</v>
      </c>
      <c r="K13" s="19">
        <v>17</v>
      </c>
      <c r="L13" s="19">
        <v>13</v>
      </c>
      <c r="M13" s="19">
        <v>13</v>
      </c>
      <c r="N13" s="19">
        <f>SUM(Table1[[#This Row],[''Week-5(10/04/2023-14/04/2023)]:[''Week-8 (01/05/2023-05/05/2023)]])</f>
        <v>55</v>
      </c>
      <c r="O13" s="19">
        <v>12</v>
      </c>
      <c r="P13" s="19">
        <v>17</v>
      </c>
      <c r="Q13" s="19">
        <v>13</v>
      </c>
      <c r="R13" s="19">
        <v>12</v>
      </c>
      <c r="S13" s="19">
        <f>SUM(Table1[[#This Row],[''Week-9(08/05/2023-12/05/2023)]:[''Week-12(29/05/2023-02/06/2023)]])</f>
        <v>54</v>
      </c>
      <c r="T13" s="19">
        <v>14</v>
      </c>
      <c r="U13" s="19">
        <v>18</v>
      </c>
      <c r="V13" s="19">
        <v>15</v>
      </c>
      <c r="W13" s="19">
        <v>16</v>
      </c>
      <c r="X13" s="19">
        <f>SUM(Table1[[#This Row],[''Week-13(05/06/2023-09/06/2023)]:[Week - 16(26/06/2023-30/06/2023)]])</f>
        <v>63</v>
      </c>
      <c r="Y13" s="19">
        <v>18</v>
      </c>
      <c r="Z13" s="19">
        <v>18</v>
      </c>
      <c r="AA13" s="19">
        <f>SUM(Table1[[#This Row],[Week - 17(03/07/2023-07/07/2023)]:[^Week - 18(10/07/2023-14/07/2023)]])</f>
        <v>36</v>
      </c>
      <c r="AB13" s="19">
        <f t="shared" si="0"/>
        <v>526</v>
      </c>
      <c r="AC13" s="19">
        <v>881</v>
      </c>
    </row>
    <row r="14" spans="3:29" ht="15.6" x14ac:dyDescent="0.3">
      <c r="C14" s="20" t="s">
        <v>92</v>
      </c>
      <c r="D14" s="17" t="s">
        <v>3</v>
      </c>
      <c r="E14" s="18">
        <v>12</v>
      </c>
      <c r="F14" s="19">
        <v>16</v>
      </c>
      <c r="G14" s="19">
        <v>17</v>
      </c>
      <c r="H14" s="19">
        <v>14</v>
      </c>
      <c r="I14" s="19">
        <f>SUM(Table1[[#This Row],[Week-1(13/03/2023-17/03/2023)]:[''Week-4(03/04/2023-07/04/2023)]])</f>
        <v>59</v>
      </c>
      <c r="J14" s="19">
        <v>13</v>
      </c>
      <c r="K14" s="19">
        <v>12</v>
      </c>
      <c r="L14" s="19">
        <v>20</v>
      </c>
      <c r="M14" s="19">
        <v>17</v>
      </c>
      <c r="N14" s="19">
        <f>SUM(Table1[[#This Row],[''Week-5(10/04/2023-14/04/2023)]:[''Week-8 (01/05/2023-05/05/2023)]])</f>
        <v>62</v>
      </c>
      <c r="O14" s="19">
        <v>12</v>
      </c>
      <c r="P14" s="19">
        <v>13</v>
      </c>
      <c r="Q14" s="19">
        <v>11</v>
      </c>
      <c r="R14" s="19">
        <v>19</v>
      </c>
      <c r="S14" s="19">
        <f>SUM(Table1[[#This Row],[''Week-9(08/05/2023-12/05/2023)]:[''Week-12(29/05/2023-02/06/2023)]])</f>
        <v>55</v>
      </c>
      <c r="T14" s="19">
        <v>12</v>
      </c>
      <c r="U14" s="19">
        <v>14</v>
      </c>
      <c r="V14" s="19">
        <v>13</v>
      </c>
      <c r="W14" s="19">
        <v>11</v>
      </c>
      <c r="X14" s="19">
        <f>SUM(Table1[[#This Row],[''Week-13(05/06/2023-09/06/2023)]:[Week - 16(26/06/2023-30/06/2023)]])</f>
        <v>50</v>
      </c>
      <c r="Y14" s="19">
        <v>20</v>
      </c>
      <c r="Z14" s="19">
        <v>20</v>
      </c>
      <c r="AA14" s="19">
        <f>SUM(Table1[[#This Row],[Week - 17(03/07/2023-07/07/2023)]:[^Week - 18(10/07/2023-14/07/2023)]])</f>
        <v>40</v>
      </c>
      <c r="AB14" s="19">
        <f t="shared" si="0"/>
        <v>492</v>
      </c>
      <c r="AC14" s="19">
        <v>775</v>
      </c>
    </row>
    <row r="15" spans="3:29" ht="15.6" x14ac:dyDescent="0.3">
      <c r="C15" s="16" t="s">
        <v>87</v>
      </c>
      <c r="D15" s="17" t="s">
        <v>4</v>
      </c>
      <c r="E15" s="18">
        <v>16</v>
      </c>
      <c r="F15" s="19">
        <v>19</v>
      </c>
      <c r="G15" s="19">
        <v>17</v>
      </c>
      <c r="H15" s="19">
        <v>12</v>
      </c>
      <c r="I15" s="19">
        <f>SUM(Table1[[#This Row],[Week-1(13/03/2023-17/03/2023)]:[''Week-4(03/04/2023-07/04/2023)]])</f>
        <v>64</v>
      </c>
      <c r="J15" s="19">
        <v>18</v>
      </c>
      <c r="K15" s="19">
        <v>17</v>
      </c>
      <c r="L15" s="19">
        <v>19</v>
      </c>
      <c r="M15" s="19">
        <v>19</v>
      </c>
      <c r="N15" s="19">
        <f>SUM(Table1[[#This Row],[''Week-5(10/04/2023-14/04/2023)]:[''Week-8 (01/05/2023-05/05/2023)]])</f>
        <v>73</v>
      </c>
      <c r="O15" s="19">
        <v>10</v>
      </c>
      <c r="P15" s="19">
        <v>16</v>
      </c>
      <c r="Q15" s="19">
        <v>15</v>
      </c>
      <c r="R15" s="19">
        <v>20</v>
      </c>
      <c r="S15" s="19">
        <f>SUM(Table1[[#This Row],[''Week-9(08/05/2023-12/05/2023)]:[''Week-12(29/05/2023-02/06/2023)]])</f>
        <v>61</v>
      </c>
      <c r="T15" s="19">
        <v>13</v>
      </c>
      <c r="U15" s="19">
        <v>13</v>
      </c>
      <c r="V15" s="19">
        <v>15</v>
      </c>
      <c r="W15" s="19">
        <v>16</v>
      </c>
      <c r="X15" s="19">
        <f>SUM(Table1[[#This Row],[''Week-13(05/06/2023-09/06/2023)]:[Week - 16(26/06/2023-30/06/2023)]])</f>
        <v>57</v>
      </c>
      <c r="Y15" s="19">
        <v>17</v>
      </c>
      <c r="Z15" s="19">
        <v>14</v>
      </c>
      <c r="AA15" s="19">
        <f>SUM(Table1[[#This Row],[Week - 17(03/07/2023-07/07/2023)]:[^Week - 18(10/07/2023-14/07/2023)]])</f>
        <v>31</v>
      </c>
      <c r="AB15" s="19">
        <f t="shared" si="0"/>
        <v>541</v>
      </c>
      <c r="AC15" s="19">
        <v>845</v>
      </c>
    </row>
    <row r="16" spans="3:29" ht="15.6" x14ac:dyDescent="0.3">
      <c r="C16" s="20" t="s">
        <v>93</v>
      </c>
      <c r="D16" s="17" t="s">
        <v>5</v>
      </c>
      <c r="E16" s="18">
        <v>19</v>
      </c>
      <c r="F16" s="19">
        <v>12</v>
      </c>
      <c r="G16" s="19">
        <v>10</v>
      </c>
      <c r="H16" s="19">
        <v>17</v>
      </c>
      <c r="I16" s="19">
        <f>SUM(Table1[[#This Row],[Week-1(13/03/2023-17/03/2023)]:[''Week-4(03/04/2023-07/04/2023)]])</f>
        <v>58</v>
      </c>
      <c r="J16" s="19">
        <v>17</v>
      </c>
      <c r="K16" s="19">
        <v>18</v>
      </c>
      <c r="L16" s="19">
        <v>18</v>
      </c>
      <c r="M16" s="19">
        <v>19</v>
      </c>
      <c r="N16" s="19">
        <f>SUM(Table1[[#This Row],[''Week-5(10/04/2023-14/04/2023)]:[''Week-8 (01/05/2023-05/05/2023)]])</f>
        <v>72</v>
      </c>
      <c r="O16" s="19">
        <v>14</v>
      </c>
      <c r="P16" s="19">
        <v>20</v>
      </c>
      <c r="Q16" s="19">
        <v>18</v>
      </c>
      <c r="R16" s="19">
        <v>18</v>
      </c>
      <c r="S16" s="19">
        <f>SUM(Table1[[#This Row],[''Week-9(08/05/2023-12/05/2023)]:[''Week-12(29/05/2023-02/06/2023)]])</f>
        <v>70</v>
      </c>
      <c r="T16" s="19">
        <v>10</v>
      </c>
      <c r="U16" s="19">
        <v>14</v>
      </c>
      <c r="V16" s="19">
        <v>12</v>
      </c>
      <c r="W16" s="19">
        <v>14</v>
      </c>
      <c r="X16" s="19">
        <f>SUM(Table1[[#This Row],[''Week-13(05/06/2023-09/06/2023)]:[Week - 16(26/06/2023-30/06/2023)]])</f>
        <v>50</v>
      </c>
      <c r="Y16" s="19">
        <v>15</v>
      </c>
      <c r="Z16" s="19">
        <v>18</v>
      </c>
      <c r="AA16" s="19">
        <f>SUM(Table1[[#This Row],[Week - 17(03/07/2023-07/07/2023)]:[^Week - 18(10/07/2023-14/07/2023)]])</f>
        <v>33</v>
      </c>
      <c r="AB16" s="19">
        <f t="shared" si="0"/>
        <v>533</v>
      </c>
      <c r="AC16" s="19">
        <v>589</v>
      </c>
    </row>
    <row r="17" spans="3:29" ht="15.6" x14ac:dyDescent="0.3">
      <c r="C17" s="16" t="s">
        <v>92</v>
      </c>
      <c r="D17" s="17" t="s">
        <v>6</v>
      </c>
      <c r="E17" s="18">
        <v>14</v>
      </c>
      <c r="F17" s="19">
        <v>14</v>
      </c>
      <c r="G17" s="19">
        <v>19</v>
      </c>
      <c r="H17" s="19">
        <v>18</v>
      </c>
      <c r="I17" s="19">
        <f>SUM(Table1[[#This Row],[Week-1(13/03/2023-17/03/2023)]:[''Week-4(03/04/2023-07/04/2023)]])</f>
        <v>65</v>
      </c>
      <c r="J17" s="19">
        <v>11</v>
      </c>
      <c r="K17" s="19">
        <v>14</v>
      </c>
      <c r="L17" s="19">
        <v>12</v>
      </c>
      <c r="M17" s="19">
        <v>13</v>
      </c>
      <c r="N17" s="19">
        <f>SUM(Table1[[#This Row],[''Week-5(10/04/2023-14/04/2023)]:[''Week-8 (01/05/2023-05/05/2023)]])</f>
        <v>50</v>
      </c>
      <c r="O17" s="19">
        <v>13</v>
      </c>
      <c r="P17" s="19">
        <v>13</v>
      </c>
      <c r="Q17" s="19">
        <v>12</v>
      </c>
      <c r="R17" s="19">
        <v>17</v>
      </c>
      <c r="S17" s="19">
        <f>SUM(Table1[[#This Row],[''Week-9(08/05/2023-12/05/2023)]:[''Week-12(29/05/2023-02/06/2023)]])</f>
        <v>55</v>
      </c>
      <c r="T17" s="19">
        <v>14</v>
      </c>
      <c r="U17" s="19">
        <v>13</v>
      </c>
      <c r="V17" s="19">
        <v>13</v>
      </c>
      <c r="W17" s="19">
        <v>19</v>
      </c>
      <c r="X17" s="19">
        <f>SUM(Table1[[#This Row],[''Week-13(05/06/2023-09/06/2023)]:[Week - 16(26/06/2023-30/06/2023)]])</f>
        <v>59</v>
      </c>
      <c r="Y17" s="19">
        <v>11</v>
      </c>
      <c r="Z17" s="19">
        <v>18</v>
      </c>
      <c r="AA17" s="19">
        <f>SUM(Table1[[#This Row],[Week - 17(03/07/2023-07/07/2023)]:[^Week - 18(10/07/2023-14/07/2023)]])</f>
        <v>29</v>
      </c>
      <c r="AB17" s="19">
        <f t="shared" si="0"/>
        <v>487</v>
      </c>
      <c r="AC17" s="19">
        <v>909</v>
      </c>
    </row>
    <row r="18" spans="3:29" ht="15.6" x14ac:dyDescent="0.3">
      <c r="C18" s="20" t="s">
        <v>87</v>
      </c>
      <c r="D18" s="17" t="s">
        <v>7</v>
      </c>
      <c r="E18" s="18">
        <v>16</v>
      </c>
      <c r="F18" s="19">
        <v>14</v>
      </c>
      <c r="G18" s="19">
        <v>10</v>
      </c>
      <c r="H18" s="19">
        <v>11</v>
      </c>
      <c r="I18" s="19">
        <f>SUM(Table1[[#This Row],[Week-1(13/03/2023-17/03/2023)]:[''Week-4(03/04/2023-07/04/2023)]])</f>
        <v>51</v>
      </c>
      <c r="J18" s="19">
        <v>20</v>
      </c>
      <c r="K18" s="19">
        <v>10</v>
      </c>
      <c r="L18" s="19">
        <v>12</v>
      </c>
      <c r="M18" s="19">
        <v>20</v>
      </c>
      <c r="N18" s="19">
        <f>SUM(Table1[[#This Row],[''Week-5(10/04/2023-14/04/2023)]:[''Week-8 (01/05/2023-05/05/2023)]])</f>
        <v>62</v>
      </c>
      <c r="O18" s="19">
        <v>14</v>
      </c>
      <c r="P18" s="19">
        <v>15</v>
      </c>
      <c r="Q18" s="19">
        <v>10</v>
      </c>
      <c r="R18" s="19">
        <v>14</v>
      </c>
      <c r="S18" s="19">
        <f>SUM(Table1[[#This Row],[''Week-9(08/05/2023-12/05/2023)]:[''Week-12(29/05/2023-02/06/2023)]])</f>
        <v>53</v>
      </c>
      <c r="T18" s="19">
        <v>12</v>
      </c>
      <c r="U18" s="19">
        <v>12</v>
      </c>
      <c r="V18" s="19">
        <v>11</v>
      </c>
      <c r="W18" s="19">
        <v>13</v>
      </c>
      <c r="X18" s="19">
        <f>SUM(Table1[[#This Row],[''Week-13(05/06/2023-09/06/2023)]:[Week - 16(26/06/2023-30/06/2023)]])</f>
        <v>48</v>
      </c>
      <c r="Y18" s="19">
        <v>13</v>
      </c>
      <c r="Z18" s="19">
        <v>16</v>
      </c>
      <c r="AA18" s="19">
        <f>SUM(Table1[[#This Row],[Week - 17(03/07/2023-07/07/2023)]:[^Week - 18(10/07/2023-14/07/2023)]])</f>
        <v>29</v>
      </c>
      <c r="AB18" s="19">
        <f t="shared" si="0"/>
        <v>457</v>
      </c>
      <c r="AC18" s="19">
        <v>751</v>
      </c>
    </row>
    <row r="19" spans="3:29" ht="15.6" x14ac:dyDescent="0.3">
      <c r="C19" s="16" t="s">
        <v>93</v>
      </c>
      <c r="D19" s="17" t="s">
        <v>8</v>
      </c>
      <c r="E19" s="18">
        <v>18</v>
      </c>
      <c r="F19" s="19">
        <v>19</v>
      </c>
      <c r="G19" s="19">
        <v>18</v>
      </c>
      <c r="H19" s="19">
        <v>17</v>
      </c>
      <c r="I19" s="19">
        <f>SUM(Table1[[#This Row],[Week-1(13/03/2023-17/03/2023)]:[''Week-4(03/04/2023-07/04/2023)]])</f>
        <v>72</v>
      </c>
      <c r="J19" s="19">
        <v>20</v>
      </c>
      <c r="K19" s="19">
        <v>12</v>
      </c>
      <c r="L19" s="19">
        <v>12</v>
      </c>
      <c r="M19" s="19">
        <v>15</v>
      </c>
      <c r="N19" s="19">
        <f>SUM(Table1[[#This Row],[''Week-5(10/04/2023-14/04/2023)]:[''Week-8 (01/05/2023-05/05/2023)]])</f>
        <v>59</v>
      </c>
      <c r="O19" s="19">
        <v>19</v>
      </c>
      <c r="P19" s="19">
        <v>20</v>
      </c>
      <c r="Q19" s="19">
        <v>16</v>
      </c>
      <c r="R19" s="19">
        <v>20</v>
      </c>
      <c r="S19" s="19">
        <f>SUM(Table1[[#This Row],[''Week-9(08/05/2023-12/05/2023)]:[''Week-12(29/05/2023-02/06/2023)]])</f>
        <v>75</v>
      </c>
      <c r="T19" s="19">
        <v>14</v>
      </c>
      <c r="U19" s="19">
        <v>16</v>
      </c>
      <c r="V19" s="19">
        <v>20</v>
      </c>
      <c r="W19" s="19">
        <v>18</v>
      </c>
      <c r="X19" s="19">
        <f>SUM(Table1[[#This Row],[''Week-13(05/06/2023-09/06/2023)]:[Week - 16(26/06/2023-30/06/2023)]])</f>
        <v>68</v>
      </c>
      <c r="Y19" s="19">
        <v>14</v>
      </c>
      <c r="Z19" s="19">
        <v>16</v>
      </c>
      <c r="AA19" s="19">
        <f>SUM(Table1[[#This Row],[Week - 17(03/07/2023-07/07/2023)]:[^Week - 18(10/07/2023-14/07/2023)]])</f>
        <v>30</v>
      </c>
      <c r="AB19" s="19">
        <f t="shared" si="0"/>
        <v>578</v>
      </c>
      <c r="AC19" s="19">
        <v>593</v>
      </c>
    </row>
    <row r="20" spans="3:29" ht="15.6" x14ac:dyDescent="0.3">
      <c r="C20" s="20" t="s">
        <v>92</v>
      </c>
      <c r="D20" s="17" t="s">
        <v>9</v>
      </c>
      <c r="E20" s="18">
        <v>10</v>
      </c>
      <c r="F20" s="19">
        <v>14</v>
      </c>
      <c r="G20" s="19">
        <v>14</v>
      </c>
      <c r="H20" s="19">
        <v>15</v>
      </c>
      <c r="I20" s="19">
        <f>SUM(Table1[[#This Row],[Week-1(13/03/2023-17/03/2023)]:[''Week-4(03/04/2023-07/04/2023)]])</f>
        <v>53</v>
      </c>
      <c r="J20" s="19">
        <v>19</v>
      </c>
      <c r="K20" s="19">
        <v>11</v>
      </c>
      <c r="L20" s="19">
        <v>19</v>
      </c>
      <c r="M20" s="19">
        <v>18</v>
      </c>
      <c r="N20" s="19">
        <f>SUM(Table1[[#This Row],[''Week-5(10/04/2023-14/04/2023)]:[''Week-8 (01/05/2023-05/05/2023)]])</f>
        <v>67</v>
      </c>
      <c r="O20" s="19">
        <v>12</v>
      </c>
      <c r="P20" s="19">
        <v>17</v>
      </c>
      <c r="Q20" s="19">
        <v>18</v>
      </c>
      <c r="R20" s="19">
        <v>19</v>
      </c>
      <c r="S20" s="19">
        <f>SUM(Table1[[#This Row],[''Week-9(08/05/2023-12/05/2023)]:[''Week-12(29/05/2023-02/06/2023)]])</f>
        <v>66</v>
      </c>
      <c r="T20" s="19">
        <v>16</v>
      </c>
      <c r="U20" s="19">
        <v>10</v>
      </c>
      <c r="V20" s="19">
        <v>12</v>
      </c>
      <c r="W20" s="19">
        <v>20</v>
      </c>
      <c r="X20" s="19">
        <f>SUM(Table1[[#This Row],[''Week-13(05/06/2023-09/06/2023)]:[Week - 16(26/06/2023-30/06/2023)]])</f>
        <v>58</v>
      </c>
      <c r="Y20" s="19">
        <v>14</v>
      </c>
      <c r="Z20" s="19">
        <v>13</v>
      </c>
      <c r="AA20" s="19">
        <f>SUM(Table1[[#This Row],[Week - 17(03/07/2023-07/07/2023)]:[^Week - 18(10/07/2023-14/07/2023)]])</f>
        <v>27</v>
      </c>
      <c r="AB20" s="19">
        <f t="shared" si="0"/>
        <v>515</v>
      </c>
      <c r="AC20" s="19">
        <v>601</v>
      </c>
    </row>
    <row r="21" spans="3:29" ht="15.6" x14ac:dyDescent="0.3">
      <c r="C21" s="20" t="s">
        <v>87</v>
      </c>
      <c r="D21" s="17" t="s">
        <v>10</v>
      </c>
      <c r="E21" s="18">
        <v>12</v>
      </c>
      <c r="F21" s="19">
        <v>13</v>
      </c>
      <c r="G21" s="19">
        <v>14</v>
      </c>
      <c r="H21" s="19">
        <v>10</v>
      </c>
      <c r="I21" s="19">
        <f>SUM(Table1[[#This Row],[Week-1(13/03/2023-17/03/2023)]:[''Week-4(03/04/2023-07/04/2023)]])</f>
        <v>49</v>
      </c>
      <c r="J21" s="19">
        <v>20</v>
      </c>
      <c r="K21" s="19">
        <v>17</v>
      </c>
      <c r="L21" s="19">
        <v>17</v>
      </c>
      <c r="M21" s="19">
        <v>15</v>
      </c>
      <c r="N21" s="19">
        <f>SUM(Table1[[#This Row],[''Week-5(10/04/2023-14/04/2023)]:[''Week-8 (01/05/2023-05/05/2023)]])</f>
        <v>69</v>
      </c>
      <c r="O21" s="19">
        <v>19</v>
      </c>
      <c r="P21" s="19">
        <v>20</v>
      </c>
      <c r="Q21" s="19">
        <v>17</v>
      </c>
      <c r="R21" s="19">
        <v>16</v>
      </c>
      <c r="S21" s="19">
        <f>SUM(Table1[[#This Row],[''Week-9(08/05/2023-12/05/2023)]:[''Week-12(29/05/2023-02/06/2023)]])</f>
        <v>72</v>
      </c>
      <c r="T21" s="19">
        <v>16</v>
      </c>
      <c r="U21" s="19">
        <v>18</v>
      </c>
      <c r="V21" s="19">
        <v>18</v>
      </c>
      <c r="W21" s="19">
        <v>13</v>
      </c>
      <c r="X21" s="19">
        <f>SUM(Table1[[#This Row],[''Week-13(05/06/2023-09/06/2023)]:[Week - 16(26/06/2023-30/06/2023)]])</f>
        <v>65</v>
      </c>
      <c r="Y21" s="19">
        <v>12</v>
      </c>
      <c r="Z21" s="19">
        <v>18</v>
      </c>
      <c r="AA21" s="19">
        <f>SUM(Table1[[#This Row],[Week - 17(03/07/2023-07/07/2023)]:[^Week - 18(10/07/2023-14/07/2023)]])</f>
        <v>30</v>
      </c>
      <c r="AB21" s="19">
        <f t="shared" si="0"/>
        <v>540</v>
      </c>
      <c r="AC21" s="19">
        <v>938</v>
      </c>
    </row>
    <row r="22" spans="3:29" ht="15.6" x14ac:dyDescent="0.3">
      <c r="C22" s="16" t="s">
        <v>93</v>
      </c>
      <c r="D22" s="17" t="s">
        <v>11</v>
      </c>
      <c r="E22" s="18">
        <v>14</v>
      </c>
      <c r="F22" s="19">
        <v>15</v>
      </c>
      <c r="G22" s="19">
        <v>11</v>
      </c>
      <c r="H22" s="19">
        <v>10</v>
      </c>
      <c r="I22" s="19">
        <f>SUM(Table1[[#This Row],[Week-1(13/03/2023-17/03/2023)]:[''Week-4(03/04/2023-07/04/2023)]])</f>
        <v>50</v>
      </c>
      <c r="J22" s="19">
        <v>11</v>
      </c>
      <c r="K22" s="19">
        <v>19</v>
      </c>
      <c r="L22" s="19">
        <v>20</v>
      </c>
      <c r="M22" s="19">
        <v>20</v>
      </c>
      <c r="N22" s="19">
        <f>SUM(Table1[[#This Row],[''Week-5(10/04/2023-14/04/2023)]:[''Week-8 (01/05/2023-05/05/2023)]])</f>
        <v>70</v>
      </c>
      <c r="O22" s="19">
        <v>10</v>
      </c>
      <c r="P22" s="19">
        <v>11</v>
      </c>
      <c r="Q22" s="19">
        <v>16</v>
      </c>
      <c r="R22" s="19">
        <v>18</v>
      </c>
      <c r="S22" s="19">
        <f>SUM(Table1[[#This Row],[''Week-9(08/05/2023-12/05/2023)]:[''Week-12(29/05/2023-02/06/2023)]])</f>
        <v>55</v>
      </c>
      <c r="T22" s="19">
        <v>20</v>
      </c>
      <c r="U22" s="19">
        <v>14</v>
      </c>
      <c r="V22" s="19">
        <v>15</v>
      </c>
      <c r="W22" s="19">
        <v>14</v>
      </c>
      <c r="X22" s="19">
        <f>SUM(Table1[[#This Row],[''Week-13(05/06/2023-09/06/2023)]:[Week - 16(26/06/2023-30/06/2023)]])</f>
        <v>63</v>
      </c>
      <c r="Y22" s="19">
        <v>20</v>
      </c>
      <c r="Z22" s="19">
        <v>20</v>
      </c>
      <c r="AA22" s="19">
        <f>SUM(Table1[[#This Row],[Week - 17(03/07/2023-07/07/2023)]:[^Week - 18(10/07/2023-14/07/2023)]])</f>
        <v>40</v>
      </c>
      <c r="AB22" s="19">
        <f t="shared" si="0"/>
        <v>516</v>
      </c>
      <c r="AC22" s="19">
        <v>885</v>
      </c>
    </row>
    <row r="23" spans="3:29" ht="15.6" x14ac:dyDescent="0.3">
      <c r="C23" s="20" t="s">
        <v>92</v>
      </c>
      <c r="D23" s="17" t="s">
        <v>3</v>
      </c>
      <c r="E23" s="18">
        <v>10</v>
      </c>
      <c r="F23" s="19">
        <v>15</v>
      </c>
      <c r="G23" s="19">
        <v>11</v>
      </c>
      <c r="H23" s="19">
        <v>17</v>
      </c>
      <c r="I23" s="19">
        <f>SUM(Table1[[#This Row],[Week-1(13/03/2023-17/03/2023)]:[''Week-4(03/04/2023-07/04/2023)]])</f>
        <v>53</v>
      </c>
      <c r="J23" s="19">
        <v>11</v>
      </c>
      <c r="K23" s="19">
        <v>13</v>
      </c>
      <c r="L23" s="19">
        <v>15</v>
      </c>
      <c r="M23" s="19">
        <v>20</v>
      </c>
      <c r="N23" s="19">
        <f>SUM(Table1[[#This Row],[''Week-5(10/04/2023-14/04/2023)]:[''Week-8 (01/05/2023-05/05/2023)]])</f>
        <v>59</v>
      </c>
      <c r="O23" s="19">
        <v>13</v>
      </c>
      <c r="P23" s="19">
        <v>13</v>
      </c>
      <c r="Q23" s="19">
        <v>10</v>
      </c>
      <c r="R23" s="19">
        <v>18</v>
      </c>
      <c r="S23" s="19">
        <f>SUM(Table1[[#This Row],[''Week-9(08/05/2023-12/05/2023)]:[''Week-12(29/05/2023-02/06/2023)]])</f>
        <v>54</v>
      </c>
      <c r="T23" s="19">
        <v>17</v>
      </c>
      <c r="U23" s="19">
        <v>13</v>
      </c>
      <c r="V23" s="19">
        <v>18</v>
      </c>
      <c r="W23" s="19">
        <v>18</v>
      </c>
      <c r="X23" s="19">
        <f>SUM(Table1[[#This Row],[''Week-13(05/06/2023-09/06/2023)]:[Week - 16(26/06/2023-30/06/2023)]])</f>
        <v>66</v>
      </c>
      <c r="Y23" s="19">
        <v>11</v>
      </c>
      <c r="Z23" s="19">
        <v>15</v>
      </c>
      <c r="AA23" s="19">
        <f>SUM(Table1[[#This Row],[Week - 17(03/07/2023-07/07/2023)]:[^Week - 18(10/07/2023-14/07/2023)]])</f>
        <v>26</v>
      </c>
      <c r="AB23" s="19">
        <f t="shared" si="0"/>
        <v>490</v>
      </c>
      <c r="AC23" s="19">
        <v>603</v>
      </c>
    </row>
    <row r="24" spans="3:29" ht="15.6" x14ac:dyDescent="0.3">
      <c r="C24" s="16" t="s">
        <v>87</v>
      </c>
      <c r="D24" s="17" t="s">
        <v>12</v>
      </c>
      <c r="E24" s="18">
        <v>11</v>
      </c>
      <c r="F24" s="19">
        <v>17</v>
      </c>
      <c r="G24" s="19">
        <v>16</v>
      </c>
      <c r="H24" s="19">
        <v>20</v>
      </c>
      <c r="I24" s="19">
        <f>SUM(Table1[[#This Row],[Week-1(13/03/2023-17/03/2023)]:[''Week-4(03/04/2023-07/04/2023)]])</f>
        <v>64</v>
      </c>
      <c r="J24" s="19">
        <v>20</v>
      </c>
      <c r="K24" s="19">
        <v>11</v>
      </c>
      <c r="L24" s="19">
        <v>16</v>
      </c>
      <c r="M24" s="19">
        <v>19</v>
      </c>
      <c r="N24" s="19">
        <f>SUM(Table1[[#This Row],[''Week-5(10/04/2023-14/04/2023)]:[''Week-8 (01/05/2023-05/05/2023)]])</f>
        <v>66</v>
      </c>
      <c r="O24" s="19">
        <v>15</v>
      </c>
      <c r="P24" s="19">
        <v>17</v>
      </c>
      <c r="Q24" s="19">
        <v>15</v>
      </c>
      <c r="R24" s="19">
        <v>19</v>
      </c>
      <c r="S24" s="19">
        <f>SUM(Table1[[#This Row],[''Week-9(08/05/2023-12/05/2023)]:[''Week-12(29/05/2023-02/06/2023)]])</f>
        <v>66</v>
      </c>
      <c r="T24" s="19">
        <v>14</v>
      </c>
      <c r="U24" s="19">
        <v>13</v>
      </c>
      <c r="V24" s="19">
        <v>12</v>
      </c>
      <c r="W24" s="19">
        <v>15</v>
      </c>
      <c r="X24" s="19">
        <f>SUM(Table1[[#This Row],[''Week-13(05/06/2023-09/06/2023)]:[Week - 16(26/06/2023-30/06/2023)]])</f>
        <v>54</v>
      </c>
      <c r="Y24" s="19">
        <v>18</v>
      </c>
      <c r="Z24" s="19">
        <v>20</v>
      </c>
      <c r="AA24" s="19">
        <f>SUM(Table1[[#This Row],[Week - 17(03/07/2023-07/07/2023)]:[^Week - 18(10/07/2023-14/07/2023)]])</f>
        <v>38</v>
      </c>
      <c r="AB24" s="19">
        <f t="shared" si="0"/>
        <v>538</v>
      </c>
      <c r="AC24" s="19">
        <v>588</v>
      </c>
    </row>
    <row r="25" spans="3:29" ht="15.6" x14ac:dyDescent="0.3">
      <c r="C25" s="20" t="s">
        <v>93</v>
      </c>
      <c r="D25" s="17" t="s">
        <v>13</v>
      </c>
      <c r="E25" s="18">
        <v>20</v>
      </c>
      <c r="F25" s="19">
        <v>19</v>
      </c>
      <c r="G25" s="19">
        <v>14</v>
      </c>
      <c r="H25" s="19">
        <v>11</v>
      </c>
      <c r="I25" s="19">
        <f>SUM(Table1[[#This Row],[Week-1(13/03/2023-17/03/2023)]:[''Week-4(03/04/2023-07/04/2023)]])</f>
        <v>64</v>
      </c>
      <c r="J25" s="19">
        <v>10</v>
      </c>
      <c r="K25" s="19">
        <v>10</v>
      </c>
      <c r="L25" s="19">
        <v>14</v>
      </c>
      <c r="M25" s="19">
        <v>17</v>
      </c>
      <c r="N25" s="19">
        <f>SUM(Table1[[#This Row],[''Week-5(10/04/2023-14/04/2023)]:[''Week-8 (01/05/2023-05/05/2023)]])</f>
        <v>51</v>
      </c>
      <c r="O25" s="19">
        <v>13</v>
      </c>
      <c r="P25" s="19">
        <v>16</v>
      </c>
      <c r="Q25" s="19">
        <v>10</v>
      </c>
      <c r="R25" s="19">
        <v>14</v>
      </c>
      <c r="S25" s="19">
        <f>SUM(Table1[[#This Row],[''Week-9(08/05/2023-12/05/2023)]:[''Week-12(29/05/2023-02/06/2023)]])</f>
        <v>53</v>
      </c>
      <c r="T25" s="19">
        <v>17</v>
      </c>
      <c r="U25" s="19">
        <v>16</v>
      </c>
      <c r="V25" s="19">
        <v>12</v>
      </c>
      <c r="W25" s="19">
        <v>16</v>
      </c>
      <c r="X25" s="19">
        <f>SUM(Table1[[#This Row],[''Week-13(05/06/2023-09/06/2023)]:[Week - 16(26/06/2023-30/06/2023)]])</f>
        <v>61</v>
      </c>
      <c r="Y25" s="19">
        <v>10</v>
      </c>
      <c r="Z25" s="19">
        <v>18</v>
      </c>
      <c r="AA25" s="19">
        <f>SUM(Table1[[#This Row],[Week - 17(03/07/2023-07/07/2023)]:[^Week - 18(10/07/2023-14/07/2023)]])</f>
        <v>28</v>
      </c>
      <c r="AB25" s="19">
        <f t="shared" si="0"/>
        <v>486</v>
      </c>
      <c r="AC25" s="19">
        <v>740</v>
      </c>
    </row>
    <row r="26" spans="3:29" ht="15.6" x14ac:dyDescent="0.3">
      <c r="C26" s="16" t="s">
        <v>92</v>
      </c>
      <c r="D26" s="17" t="s">
        <v>14</v>
      </c>
      <c r="E26" s="18">
        <v>17</v>
      </c>
      <c r="F26" s="19">
        <v>15</v>
      </c>
      <c r="G26" s="19">
        <v>19</v>
      </c>
      <c r="H26" s="19">
        <v>16</v>
      </c>
      <c r="I26" s="19">
        <f>SUM(Table1[[#This Row],[Week-1(13/03/2023-17/03/2023)]:[''Week-4(03/04/2023-07/04/2023)]])</f>
        <v>67</v>
      </c>
      <c r="J26" s="19">
        <v>19</v>
      </c>
      <c r="K26" s="19">
        <v>20</v>
      </c>
      <c r="L26" s="19">
        <v>12</v>
      </c>
      <c r="M26" s="19">
        <v>13</v>
      </c>
      <c r="N26" s="19">
        <f>SUM(Table1[[#This Row],[''Week-5(10/04/2023-14/04/2023)]:[''Week-8 (01/05/2023-05/05/2023)]])</f>
        <v>64</v>
      </c>
      <c r="O26" s="19">
        <v>18</v>
      </c>
      <c r="P26" s="19">
        <v>11</v>
      </c>
      <c r="Q26" s="19">
        <v>18</v>
      </c>
      <c r="R26" s="19">
        <v>11</v>
      </c>
      <c r="S26" s="19">
        <f>SUM(Table1[[#This Row],[''Week-9(08/05/2023-12/05/2023)]:[''Week-12(29/05/2023-02/06/2023)]])</f>
        <v>58</v>
      </c>
      <c r="T26" s="19">
        <v>12</v>
      </c>
      <c r="U26" s="19">
        <v>18</v>
      </c>
      <c r="V26" s="19">
        <v>13</v>
      </c>
      <c r="W26" s="19">
        <v>18</v>
      </c>
      <c r="X26" s="19">
        <f>SUM(Table1[[#This Row],[''Week-13(05/06/2023-09/06/2023)]:[Week - 16(26/06/2023-30/06/2023)]])</f>
        <v>61</v>
      </c>
      <c r="Y26" s="19">
        <v>18</v>
      </c>
      <c r="Z26" s="19">
        <v>18</v>
      </c>
      <c r="AA26" s="19">
        <f>SUM(Table1[[#This Row],[Week - 17(03/07/2023-07/07/2023)]:[^Week - 18(10/07/2023-14/07/2023)]])</f>
        <v>36</v>
      </c>
      <c r="AB26" s="19">
        <f t="shared" si="0"/>
        <v>536</v>
      </c>
      <c r="AC26" s="19">
        <v>920</v>
      </c>
    </row>
    <row r="27" spans="3:29" ht="15.6" x14ac:dyDescent="0.3">
      <c r="C27" s="20" t="s">
        <v>87</v>
      </c>
      <c r="D27" s="17" t="s">
        <v>15</v>
      </c>
      <c r="E27" s="18">
        <v>11</v>
      </c>
      <c r="F27" s="19">
        <v>14</v>
      </c>
      <c r="G27" s="19">
        <v>13</v>
      </c>
      <c r="H27" s="19">
        <v>17</v>
      </c>
      <c r="I27" s="19">
        <f>SUM(Table1[[#This Row],[Week-1(13/03/2023-17/03/2023)]:[''Week-4(03/04/2023-07/04/2023)]])</f>
        <v>55</v>
      </c>
      <c r="J27" s="19">
        <v>12</v>
      </c>
      <c r="K27" s="19">
        <v>14</v>
      </c>
      <c r="L27" s="19">
        <v>13</v>
      </c>
      <c r="M27" s="19">
        <v>10</v>
      </c>
      <c r="N27" s="19">
        <f>SUM(Table1[[#This Row],[''Week-5(10/04/2023-14/04/2023)]:[''Week-8 (01/05/2023-05/05/2023)]])</f>
        <v>49</v>
      </c>
      <c r="O27" s="19">
        <v>12</v>
      </c>
      <c r="P27" s="19">
        <v>14</v>
      </c>
      <c r="Q27" s="19">
        <v>18</v>
      </c>
      <c r="R27" s="19">
        <v>18</v>
      </c>
      <c r="S27" s="19">
        <f>SUM(Table1[[#This Row],[''Week-9(08/05/2023-12/05/2023)]:[''Week-12(29/05/2023-02/06/2023)]])</f>
        <v>62</v>
      </c>
      <c r="T27" s="19">
        <v>18</v>
      </c>
      <c r="U27" s="19">
        <v>14</v>
      </c>
      <c r="V27" s="19">
        <v>15</v>
      </c>
      <c r="W27" s="19">
        <v>12</v>
      </c>
      <c r="X27" s="19">
        <f>SUM(Table1[[#This Row],[''Week-13(05/06/2023-09/06/2023)]:[Week - 16(26/06/2023-30/06/2023)]])</f>
        <v>59</v>
      </c>
      <c r="Y27" s="19">
        <v>14</v>
      </c>
      <c r="Z27" s="19">
        <v>14</v>
      </c>
      <c r="AA27" s="19">
        <f>SUM(Table1[[#This Row],[Week - 17(03/07/2023-07/07/2023)]:[^Week - 18(10/07/2023-14/07/2023)]])</f>
        <v>28</v>
      </c>
      <c r="AB27" s="19">
        <f t="shared" si="0"/>
        <v>478</v>
      </c>
      <c r="AC27" s="19">
        <v>817</v>
      </c>
    </row>
    <row r="28" spans="3:29" ht="15.6" x14ac:dyDescent="0.3">
      <c r="C28" s="16" t="s">
        <v>93</v>
      </c>
      <c r="D28" s="17" t="s">
        <v>16</v>
      </c>
      <c r="E28" s="18">
        <v>19</v>
      </c>
      <c r="F28" s="19">
        <v>10</v>
      </c>
      <c r="G28" s="19">
        <v>20</v>
      </c>
      <c r="H28" s="19">
        <v>17</v>
      </c>
      <c r="I28" s="19">
        <f>SUM(Table1[[#This Row],[Week-1(13/03/2023-17/03/2023)]:[''Week-4(03/04/2023-07/04/2023)]])</f>
        <v>66</v>
      </c>
      <c r="J28" s="19">
        <v>18</v>
      </c>
      <c r="K28" s="19">
        <v>19</v>
      </c>
      <c r="L28" s="19">
        <v>14</v>
      </c>
      <c r="M28" s="19">
        <v>18</v>
      </c>
      <c r="N28" s="19">
        <f>SUM(Table1[[#This Row],[''Week-5(10/04/2023-14/04/2023)]:[''Week-8 (01/05/2023-05/05/2023)]])</f>
        <v>69</v>
      </c>
      <c r="O28" s="19">
        <v>10</v>
      </c>
      <c r="P28" s="19">
        <v>12</v>
      </c>
      <c r="Q28" s="19">
        <v>12</v>
      </c>
      <c r="R28" s="19">
        <v>20</v>
      </c>
      <c r="S28" s="19">
        <f>SUM(Table1[[#This Row],[''Week-9(08/05/2023-12/05/2023)]:[''Week-12(29/05/2023-02/06/2023)]])</f>
        <v>54</v>
      </c>
      <c r="T28" s="19">
        <v>15</v>
      </c>
      <c r="U28" s="19">
        <v>13</v>
      </c>
      <c r="V28" s="19">
        <v>10</v>
      </c>
      <c r="W28" s="19">
        <v>12</v>
      </c>
      <c r="X28" s="19">
        <f>SUM(Table1[[#This Row],[''Week-13(05/06/2023-09/06/2023)]:[Week - 16(26/06/2023-30/06/2023)]])</f>
        <v>50</v>
      </c>
      <c r="Y28" s="19">
        <v>11</v>
      </c>
      <c r="Z28" s="19">
        <v>20</v>
      </c>
      <c r="AA28" s="19">
        <f>SUM(Table1[[#This Row],[Week - 17(03/07/2023-07/07/2023)]:[^Week - 18(10/07/2023-14/07/2023)]])</f>
        <v>31</v>
      </c>
      <c r="AB28" s="19">
        <f t="shared" si="0"/>
        <v>509</v>
      </c>
      <c r="AC28" s="19">
        <v>873</v>
      </c>
    </row>
    <row r="29" spans="3:29" ht="15.6" x14ac:dyDescent="0.3">
      <c r="C29" s="20" t="s">
        <v>92</v>
      </c>
      <c r="D29" s="17" t="s">
        <v>17</v>
      </c>
      <c r="E29" s="18">
        <v>17</v>
      </c>
      <c r="F29" s="19">
        <v>14</v>
      </c>
      <c r="G29" s="19">
        <v>10</v>
      </c>
      <c r="H29" s="19">
        <v>17</v>
      </c>
      <c r="I29" s="19">
        <f>SUM(Table1[[#This Row],[Week-1(13/03/2023-17/03/2023)]:[''Week-4(03/04/2023-07/04/2023)]])</f>
        <v>58</v>
      </c>
      <c r="J29" s="19">
        <v>13</v>
      </c>
      <c r="K29" s="19">
        <v>13</v>
      </c>
      <c r="L29" s="19">
        <v>11</v>
      </c>
      <c r="M29" s="19">
        <v>18</v>
      </c>
      <c r="N29" s="19">
        <f>SUM(Table1[[#This Row],[''Week-5(10/04/2023-14/04/2023)]:[''Week-8 (01/05/2023-05/05/2023)]])</f>
        <v>55</v>
      </c>
      <c r="O29" s="19">
        <v>12</v>
      </c>
      <c r="P29" s="19">
        <v>14</v>
      </c>
      <c r="Q29" s="19">
        <v>10</v>
      </c>
      <c r="R29" s="19">
        <v>15</v>
      </c>
      <c r="S29" s="19">
        <f>SUM(Table1[[#This Row],[''Week-9(08/05/2023-12/05/2023)]:[''Week-12(29/05/2023-02/06/2023)]])</f>
        <v>51</v>
      </c>
      <c r="T29" s="19">
        <v>18</v>
      </c>
      <c r="U29" s="19">
        <v>13</v>
      </c>
      <c r="V29" s="19">
        <v>16</v>
      </c>
      <c r="W29" s="19">
        <v>18</v>
      </c>
      <c r="X29" s="19">
        <f>SUM(Table1[[#This Row],[''Week-13(05/06/2023-09/06/2023)]:[Week - 16(26/06/2023-30/06/2023)]])</f>
        <v>65</v>
      </c>
      <c r="Y29" s="19">
        <v>20</v>
      </c>
      <c r="Z29" s="19">
        <v>11</v>
      </c>
      <c r="AA29" s="19">
        <f>SUM(Table1[[#This Row],[Week - 17(03/07/2023-07/07/2023)]:[^Week - 18(10/07/2023-14/07/2023)]])</f>
        <v>31</v>
      </c>
      <c r="AB29" s="19">
        <f t="shared" si="0"/>
        <v>489</v>
      </c>
      <c r="AC29" s="19">
        <v>872</v>
      </c>
    </row>
    <row r="30" spans="3:29" ht="15.6" x14ac:dyDescent="0.3">
      <c r="C30" s="21" t="s">
        <v>87</v>
      </c>
      <c r="D30" s="22" t="s">
        <v>18</v>
      </c>
      <c r="E30" s="23">
        <v>16</v>
      </c>
      <c r="F30" s="24">
        <v>20</v>
      </c>
      <c r="G30" s="24">
        <v>10</v>
      </c>
      <c r="H30" s="24">
        <v>19</v>
      </c>
      <c r="I30" s="24">
        <f>SUM(Table1[[#This Row],[Week-1(13/03/2023-17/03/2023)]:[''Week-4(03/04/2023-07/04/2023)]])</f>
        <v>65</v>
      </c>
      <c r="J30" s="24">
        <v>20</v>
      </c>
      <c r="K30" s="24">
        <v>19</v>
      </c>
      <c r="L30" s="24">
        <v>13</v>
      </c>
      <c r="M30" s="24">
        <v>11</v>
      </c>
      <c r="N30" s="24">
        <f>SUM(Table1[[#This Row],[''Week-5(10/04/2023-14/04/2023)]:[''Week-8 (01/05/2023-05/05/2023)]])</f>
        <v>63</v>
      </c>
      <c r="O30" s="24">
        <v>16</v>
      </c>
      <c r="P30" s="24">
        <v>10</v>
      </c>
      <c r="Q30" s="24">
        <v>15</v>
      </c>
      <c r="R30" s="24">
        <v>15</v>
      </c>
      <c r="S30" s="24">
        <f>SUM(Table1[[#This Row],[''Week-9(08/05/2023-12/05/2023)]:[''Week-12(29/05/2023-02/06/2023)]])</f>
        <v>56</v>
      </c>
      <c r="T30" s="24">
        <v>11</v>
      </c>
      <c r="U30" s="24">
        <v>14</v>
      </c>
      <c r="V30" s="24">
        <v>16</v>
      </c>
      <c r="W30" s="19">
        <v>12</v>
      </c>
      <c r="X30" s="24">
        <f>SUM(Table1[[#This Row],[''Week-13(05/06/2023-09/06/2023)]:[Week - 16(26/06/2023-30/06/2023)]])</f>
        <v>53</v>
      </c>
      <c r="Y30" s="19">
        <v>14</v>
      </c>
      <c r="Z30" s="19">
        <v>13</v>
      </c>
      <c r="AA30" s="19">
        <f>SUM(Table1[[#This Row],[Week - 17(03/07/2023-07/07/2023)]:[^Week - 18(10/07/2023-14/07/2023)]])</f>
        <v>27</v>
      </c>
      <c r="AB30" s="19">
        <f t="shared" si="0"/>
        <v>501</v>
      </c>
      <c r="AC30" s="24">
        <v>824</v>
      </c>
    </row>
    <row r="32" spans="3:29" ht="14.4" customHeight="1" x14ac:dyDescent="0.3">
      <c r="D32" s="77" t="s">
        <v>86</v>
      </c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</row>
    <row r="33" spans="4:16" ht="14.4" customHeight="1" x14ac:dyDescent="0.3"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</row>
    <row r="34" spans="4:16" x14ac:dyDescent="0.3">
      <c r="D34" s="43" t="s">
        <v>84</v>
      </c>
      <c r="E34" s="26" t="s">
        <v>121</v>
      </c>
      <c r="F34" s="44" t="s">
        <v>94</v>
      </c>
      <c r="G34" s="45" t="s">
        <v>100</v>
      </c>
      <c r="H34" s="45" t="s">
        <v>101</v>
      </c>
      <c r="I34" s="45" t="s">
        <v>98</v>
      </c>
      <c r="J34" s="45" t="s">
        <v>102</v>
      </c>
      <c r="K34" s="44" t="s">
        <v>88</v>
      </c>
      <c r="L34" s="44" t="s">
        <v>85</v>
      </c>
      <c r="M34" s="44" t="s">
        <v>89</v>
      </c>
      <c r="N34" s="44" t="s">
        <v>90</v>
      </c>
      <c r="O34" s="46" t="s">
        <v>78</v>
      </c>
      <c r="P34" s="86" t="s">
        <v>91</v>
      </c>
    </row>
    <row r="35" spans="4:16" ht="15.6" x14ac:dyDescent="0.3">
      <c r="D35" s="16" t="s">
        <v>92</v>
      </c>
      <c r="E35" s="17">
        <f>COUNTIF(Table1[Project Name],D35)</f>
        <v>7</v>
      </c>
      <c r="F35" s="18">
        <f>(SUMIFS(Table1[^''First Month],Table1[Project Name],D35))*(SUMIFS(Table1[Hours rate],Table1[Project Name],C11))</f>
        <v>2281407</v>
      </c>
      <c r="G35" s="19">
        <f>(SUMIFS(Table1[''Second Month],Table1[Project Name],D35))*(SUMIFS(Table1[Hours rate],Table1[Project Name],D35))</f>
        <v>2215755</v>
      </c>
      <c r="H35" s="19">
        <f>(SUMIFS(Table1[Third Month],Table1[Project Name],D35))*(SUMIFS(Table1[Hours rate],Table1[Project Name],D35))</f>
        <v>2221226</v>
      </c>
      <c r="I35" s="19">
        <f>(SUMIFS(Table1[Fourth Month],Table1[Project Name],D35))*(SUMIFS(Table1[Hours rate],Table1[Project Name],D35))</f>
        <v>2314233</v>
      </c>
      <c r="J35" s="19">
        <f>(SUMIFS(Table1[Fifth  Month],Table1[Project Name],D35))*(SUMIFS(Table1[Hours rate],Table1[Project Name],D35))</f>
        <v>1209091</v>
      </c>
      <c r="K35" s="19">
        <v>11000000</v>
      </c>
      <c r="L35" s="19">
        <v>0</v>
      </c>
      <c r="M35" s="19">
        <f>SUM(K35:L35)</f>
        <v>11000000</v>
      </c>
      <c r="N35" s="19">
        <f>SUM(F35:J35)</f>
        <v>10241712</v>
      </c>
      <c r="O35" s="19">
        <f>M35-N35</f>
        <v>758288</v>
      </c>
      <c r="P35" s="42">
        <f>O35/M35</f>
        <v>6.8935272727272734E-2</v>
      </c>
    </row>
    <row r="36" spans="4:16" ht="15.6" x14ac:dyDescent="0.3">
      <c r="D36" s="20" t="s">
        <v>87</v>
      </c>
      <c r="E36" s="17">
        <f>COUNTIF(Table1[Project Name],D36)</f>
        <v>7</v>
      </c>
      <c r="F36" s="18">
        <f>(SUMIFS(Table1[^''First Month],Table1[Project Name],D36))*(SUMIFS(Table1[Hours rate],Table1[Project Name],C12))</f>
        <v>2162334</v>
      </c>
      <c r="G36" s="19">
        <f>(SUMIFS(Table1[''Second Month],Table1[Project Name],D36))*(SUMIFS(Table1[Hours rate],Table1[Project Name],D36))</f>
        <v>2395953</v>
      </c>
      <c r="H36" s="19">
        <f>(SUMIFS(Table1[Third Month],Table1[Project Name],D36))*(SUMIFS(Table1[Hours rate],Table1[Project Name],D36))</f>
        <v>2303592</v>
      </c>
      <c r="I36" s="19">
        <f>(SUMIFS(Table1[Fourth Month],Table1[Project Name],D36))*(SUMIFS(Table1[Hours rate],Table1[Project Name],D36))</f>
        <v>2189499</v>
      </c>
      <c r="J36" s="19">
        <f>(SUMIFS(Table1[Fifth  Month],Table1[Project Name],D36))*(SUMIFS(Table1[Hours rate],Table1[Project Name],D36))</f>
        <v>1146363</v>
      </c>
      <c r="K36" s="19">
        <v>11000000</v>
      </c>
      <c r="L36" s="19">
        <v>0</v>
      </c>
      <c r="M36" s="19">
        <f>SUM(K36:L36)</f>
        <v>11000000</v>
      </c>
      <c r="N36" s="19">
        <f>SUM(F36:J36)</f>
        <v>10197741</v>
      </c>
      <c r="O36" s="19">
        <f>M36-N36</f>
        <v>802259</v>
      </c>
      <c r="P36" s="42">
        <f>O36/M36</f>
        <v>7.2932636363636366E-2</v>
      </c>
    </row>
    <row r="37" spans="4:16" ht="15.6" x14ac:dyDescent="0.3">
      <c r="D37" s="21" t="s">
        <v>93</v>
      </c>
      <c r="E37" s="22">
        <f>COUNTIF(Table1[Project Name],D37)</f>
        <v>6</v>
      </c>
      <c r="F37" s="23">
        <f>(SUMIFS(Table1[^''First Month],Table1[Project Name],D37))*(SUMIFS(Table1[Hours rate],Table1[Project Name],C13))</f>
        <v>1746863</v>
      </c>
      <c r="G37" s="24">
        <f>(SUMIFS(Table1[''Second Month],Table1[Project Name],D37))*(SUMIFS(Table1[Hours rate],Table1[Project Name],D37))</f>
        <v>1714936</v>
      </c>
      <c r="H37" s="24">
        <f>(SUMIFS(Table1[Third Month],Table1[Project Name],D37))*(SUMIFS(Table1[Hours rate],Table1[Project Name],D37))</f>
        <v>1646521</v>
      </c>
      <c r="I37" s="24">
        <f>(SUMIFS(Table1[Fourth Month],Table1[Project Name],D37))*(SUMIFS(Table1[Hours rate],Table1[Project Name],D37))</f>
        <v>1619155</v>
      </c>
      <c r="J37" s="24">
        <f>(SUMIFS(Table1[Fifth  Month],Table1[Project Name],D37))*(SUMIFS(Table1[Hours rate],Table1[Project Name],D37))</f>
        <v>903078</v>
      </c>
      <c r="K37" s="24">
        <v>11000000</v>
      </c>
      <c r="L37" s="24">
        <v>0</v>
      </c>
      <c r="M37" s="24">
        <f>SUM(K37:L37)</f>
        <v>11000000</v>
      </c>
      <c r="N37" s="24">
        <f>SUM(F37:J37)</f>
        <v>7630553</v>
      </c>
      <c r="O37" s="24">
        <f>M37-N37</f>
        <v>3369447</v>
      </c>
      <c r="P37" s="41">
        <f>O37/M37</f>
        <v>0.30631336363636363</v>
      </c>
    </row>
  </sheetData>
  <mergeCells count="3">
    <mergeCell ref="D32:P33"/>
    <mergeCell ref="C1:AC2"/>
    <mergeCell ref="C8:AC9"/>
  </mergeCells>
  <phoneticPr fontId="3" type="noConversion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49D3B-74DA-4C5D-A028-D663511B1A8A}">
  <dimension ref="C1:AG38"/>
  <sheetViews>
    <sheetView showGridLines="0" topLeftCell="Z1" zoomScale="68" zoomScaleNormal="68" workbookViewId="0">
      <selection activeCell="C8" sqref="C8:AG9"/>
    </sheetView>
  </sheetViews>
  <sheetFormatPr defaultRowHeight="14.4" x14ac:dyDescent="0.3"/>
  <cols>
    <col min="3" max="3" width="28" bestFit="1" customWidth="1"/>
    <col min="4" max="4" width="28.77734375" bestFit="1" customWidth="1"/>
    <col min="5" max="5" width="53.5546875" bestFit="1" customWidth="1"/>
    <col min="6" max="6" width="54.6640625" bestFit="1" customWidth="1"/>
    <col min="7" max="7" width="27.77734375" bestFit="1" customWidth="1"/>
    <col min="8" max="9" width="54.6640625" bestFit="1" customWidth="1"/>
    <col min="10" max="10" width="53.109375" bestFit="1" customWidth="1"/>
    <col min="11" max="11" width="53.5546875" bestFit="1" customWidth="1"/>
    <col min="12" max="12" width="37" customWidth="1"/>
    <col min="13" max="13" width="53.109375" customWidth="1"/>
    <col min="14" max="14" width="50.44140625" customWidth="1"/>
    <col min="15" max="16" width="53.5546875" customWidth="1"/>
    <col min="17" max="17" width="50.88671875" customWidth="1"/>
    <col min="18" max="19" width="54" bestFit="1" customWidth="1"/>
    <col min="20" max="20" width="54.44140625" bestFit="1" customWidth="1"/>
    <col min="21" max="21" width="53.109375" bestFit="1" customWidth="1"/>
    <col min="22" max="22" width="30.6640625" bestFit="1" customWidth="1"/>
    <col min="23" max="23" width="54" bestFit="1" customWidth="1"/>
    <col min="24" max="24" width="55" bestFit="1" customWidth="1"/>
    <col min="25" max="25" width="53.77734375" bestFit="1" customWidth="1"/>
    <col min="26" max="26" width="54.6640625" bestFit="1" customWidth="1"/>
    <col min="27" max="27" width="27.5546875" bestFit="1" customWidth="1"/>
    <col min="28" max="28" width="54.6640625" bestFit="1" customWidth="1"/>
    <col min="29" max="29" width="55" bestFit="1" customWidth="1"/>
    <col min="30" max="30" width="54.6640625" bestFit="1" customWidth="1"/>
    <col min="31" max="31" width="26.33203125" bestFit="1" customWidth="1"/>
    <col min="32" max="32" width="25.44140625" bestFit="1" customWidth="1"/>
    <col min="33" max="33" width="24.21875" bestFit="1" customWidth="1"/>
    <col min="34" max="34" width="8.88671875" customWidth="1"/>
  </cols>
  <sheetData>
    <row r="1" spans="3:33" ht="14.4" customHeight="1" x14ac:dyDescent="0.3">
      <c r="C1" s="79" t="s">
        <v>160</v>
      </c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</row>
    <row r="2" spans="3:33" x14ac:dyDescent="0.3"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</row>
    <row r="8" spans="3:33" ht="14.4" customHeight="1" x14ac:dyDescent="0.3">
      <c r="C8" s="80" t="s">
        <v>21</v>
      </c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</row>
    <row r="9" spans="3:33" ht="14.4" customHeight="1" x14ac:dyDescent="0.3">
      <c r="C9" s="80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</row>
    <row r="10" spans="3:33" x14ac:dyDescent="0.3">
      <c r="C10" s="43" t="s">
        <v>79</v>
      </c>
      <c r="D10" s="26" t="s">
        <v>108</v>
      </c>
      <c r="E10" s="44" t="s">
        <v>37</v>
      </c>
      <c r="F10" s="45" t="s">
        <v>38</v>
      </c>
      <c r="G10" s="45" t="s">
        <v>106</v>
      </c>
      <c r="H10" s="45" t="s">
        <v>39</v>
      </c>
      <c r="I10" s="45" t="s">
        <v>40</v>
      </c>
      <c r="J10" s="44" t="s">
        <v>41</v>
      </c>
      <c r="K10" s="44" t="s">
        <v>42</v>
      </c>
      <c r="L10" s="44" t="s">
        <v>109</v>
      </c>
      <c r="M10" s="44" t="s">
        <v>43</v>
      </c>
      <c r="N10" s="46" t="s">
        <v>44</v>
      </c>
      <c r="O10" s="44" t="s">
        <v>45</v>
      </c>
      <c r="P10" s="44" t="s">
        <v>46</v>
      </c>
      <c r="Q10" s="44" t="s">
        <v>110</v>
      </c>
      <c r="R10" s="44" t="s">
        <v>47</v>
      </c>
      <c r="S10" s="45" t="s">
        <v>48</v>
      </c>
      <c r="T10" s="45" t="s">
        <v>49</v>
      </c>
      <c r="U10" s="45" t="s">
        <v>50</v>
      </c>
      <c r="V10" s="45" t="s">
        <v>113</v>
      </c>
      <c r="W10" s="44" t="s">
        <v>51</v>
      </c>
      <c r="X10" s="44" t="s">
        <v>52</v>
      </c>
      <c r="Y10" s="44" t="s">
        <v>53</v>
      </c>
      <c r="Z10" s="44" t="s">
        <v>54</v>
      </c>
      <c r="AA10" s="44" t="s">
        <v>111</v>
      </c>
      <c r="AB10" s="44" t="s">
        <v>55</v>
      </c>
      <c r="AC10" s="44" t="s">
        <v>56</v>
      </c>
      <c r="AD10" s="44" t="s">
        <v>57</v>
      </c>
      <c r="AE10" s="44" t="s">
        <v>112</v>
      </c>
      <c r="AF10" s="44" t="s">
        <v>34</v>
      </c>
      <c r="AG10" s="44" t="s">
        <v>20</v>
      </c>
    </row>
    <row r="11" spans="3:33" ht="15.6" x14ac:dyDescent="0.3">
      <c r="C11" s="16" t="s">
        <v>119</v>
      </c>
      <c r="D11" s="34" t="s">
        <v>0</v>
      </c>
      <c r="E11" s="17">
        <v>19</v>
      </c>
      <c r="F11" s="19">
        <v>10</v>
      </c>
      <c r="G11" s="19">
        <f>SUM(BAJAJ!$E11:$F11)</f>
        <v>29</v>
      </c>
      <c r="H11" s="19">
        <v>19</v>
      </c>
      <c r="I11" s="19">
        <v>13</v>
      </c>
      <c r="J11" s="19">
        <v>14</v>
      </c>
      <c r="K11" s="19">
        <v>11</v>
      </c>
      <c r="L11" s="19">
        <f>SUM(BAJAJ!$H11:$K11)</f>
        <v>57</v>
      </c>
      <c r="M11" s="19">
        <v>14</v>
      </c>
      <c r="N11" s="19">
        <v>17</v>
      </c>
      <c r="O11" s="19">
        <v>19</v>
      </c>
      <c r="P11" s="19">
        <v>18</v>
      </c>
      <c r="Q11" s="19">
        <f>SUM(BAJAJ!$M11:$P11)</f>
        <v>68</v>
      </c>
      <c r="R11" s="19">
        <v>17</v>
      </c>
      <c r="S11" s="19">
        <v>18</v>
      </c>
      <c r="T11" s="19">
        <v>12</v>
      </c>
      <c r="U11" s="19">
        <v>15</v>
      </c>
      <c r="V11" s="19">
        <f>SUM(BAJAJ!$R11:$U11)</f>
        <v>62</v>
      </c>
      <c r="W11" s="19">
        <v>20</v>
      </c>
      <c r="X11" s="19">
        <v>15</v>
      </c>
      <c r="Y11" s="19">
        <v>17</v>
      </c>
      <c r="Z11" s="19">
        <v>18</v>
      </c>
      <c r="AA11" s="19">
        <f>SUM(BAJAJ!$W11:$Z11)</f>
        <v>70</v>
      </c>
      <c r="AB11" s="19">
        <v>18</v>
      </c>
      <c r="AC11" s="19">
        <v>19</v>
      </c>
      <c r="AD11" s="19">
        <v>19</v>
      </c>
      <c r="AE11" s="19">
        <f>SUM(BAJAJ!$AB11:$AD11)</f>
        <v>56</v>
      </c>
      <c r="AF11" s="19">
        <f>SUM(BAJAJ!$E11:$AD11)</f>
        <v>628</v>
      </c>
      <c r="AG11" s="19">
        <v>1099</v>
      </c>
    </row>
    <row r="12" spans="3:33" ht="15.6" x14ac:dyDescent="0.3">
      <c r="C12" s="20" t="s">
        <v>120</v>
      </c>
      <c r="D12" s="33" t="s">
        <v>1</v>
      </c>
      <c r="E12" s="17">
        <v>16</v>
      </c>
      <c r="F12" s="19">
        <v>13</v>
      </c>
      <c r="G12" s="19">
        <f>SUM(BAJAJ!$E12:$F12)</f>
        <v>29</v>
      </c>
      <c r="H12" s="19">
        <v>12</v>
      </c>
      <c r="I12" s="19">
        <v>10</v>
      </c>
      <c r="J12" s="19">
        <v>17</v>
      </c>
      <c r="K12" s="19">
        <v>11</v>
      </c>
      <c r="L12" s="19">
        <f>SUM(BAJAJ!$H12:$K12)</f>
        <v>50</v>
      </c>
      <c r="M12" s="19">
        <v>20</v>
      </c>
      <c r="N12" s="19">
        <v>16</v>
      </c>
      <c r="O12" s="19">
        <v>14</v>
      </c>
      <c r="P12" s="19">
        <v>10</v>
      </c>
      <c r="Q12" s="19">
        <f>SUM(BAJAJ!$M12:$P12)</f>
        <v>60</v>
      </c>
      <c r="R12" s="19">
        <v>16</v>
      </c>
      <c r="S12" s="19">
        <v>10</v>
      </c>
      <c r="T12" s="19">
        <v>20</v>
      </c>
      <c r="U12" s="19">
        <v>19</v>
      </c>
      <c r="V12" s="19">
        <f>SUM(BAJAJ!$R12:$U12)</f>
        <v>65</v>
      </c>
      <c r="W12" s="19">
        <v>14</v>
      </c>
      <c r="X12" s="19">
        <v>13</v>
      </c>
      <c r="Y12" s="19">
        <v>20</v>
      </c>
      <c r="Z12" s="19">
        <v>17</v>
      </c>
      <c r="AA12" s="19">
        <f>SUM(BAJAJ!$W12:$Z12)</f>
        <v>64</v>
      </c>
      <c r="AB12" s="19">
        <v>16</v>
      </c>
      <c r="AC12" s="19">
        <v>20</v>
      </c>
      <c r="AD12" s="19">
        <v>17</v>
      </c>
      <c r="AE12" s="19">
        <f>SUM(BAJAJ!$AB12:$AD12)</f>
        <v>53</v>
      </c>
      <c r="AF12" s="19">
        <f>SUM(BAJAJ!$E12:$AD12)</f>
        <v>589</v>
      </c>
      <c r="AG12" s="19">
        <v>1228</v>
      </c>
    </row>
    <row r="13" spans="3:33" ht="15.6" x14ac:dyDescent="0.3">
      <c r="C13" s="16" t="s">
        <v>119</v>
      </c>
      <c r="D13" s="34" t="s">
        <v>2</v>
      </c>
      <c r="E13" s="17">
        <v>13</v>
      </c>
      <c r="F13" s="19">
        <v>14</v>
      </c>
      <c r="G13" s="19">
        <f>SUM(BAJAJ!$E13:$F13)</f>
        <v>27</v>
      </c>
      <c r="H13" s="19">
        <v>15</v>
      </c>
      <c r="I13" s="19">
        <v>13</v>
      </c>
      <c r="J13" s="19">
        <v>17</v>
      </c>
      <c r="K13" s="19">
        <v>10</v>
      </c>
      <c r="L13" s="19">
        <f>SUM(BAJAJ!$H13:$K13)</f>
        <v>55</v>
      </c>
      <c r="M13" s="19">
        <v>15</v>
      </c>
      <c r="N13" s="19">
        <v>15</v>
      </c>
      <c r="O13" s="19">
        <v>20</v>
      </c>
      <c r="P13" s="19">
        <v>17</v>
      </c>
      <c r="Q13" s="19">
        <f>SUM(BAJAJ!$M13:$P13)</f>
        <v>67</v>
      </c>
      <c r="R13" s="19">
        <v>11</v>
      </c>
      <c r="S13" s="19">
        <v>10</v>
      </c>
      <c r="T13" s="19">
        <v>16</v>
      </c>
      <c r="U13" s="19">
        <v>11</v>
      </c>
      <c r="V13" s="19">
        <f>SUM(BAJAJ!$R13:$U13)</f>
        <v>48</v>
      </c>
      <c r="W13" s="19">
        <v>10</v>
      </c>
      <c r="X13" s="19">
        <v>19</v>
      </c>
      <c r="Y13" s="19">
        <v>19</v>
      </c>
      <c r="Z13" s="19">
        <v>18</v>
      </c>
      <c r="AA13" s="19">
        <f>SUM(BAJAJ!$W13:$Z13)</f>
        <v>66</v>
      </c>
      <c r="AB13" s="19">
        <v>19</v>
      </c>
      <c r="AC13" s="19">
        <v>16</v>
      </c>
      <c r="AD13" s="19">
        <v>17</v>
      </c>
      <c r="AE13" s="19">
        <f>SUM(BAJAJ!$AB13:$AD13)</f>
        <v>52</v>
      </c>
      <c r="AF13" s="19">
        <f>SUM(BAJAJ!$E13:$AD13)</f>
        <v>578</v>
      </c>
      <c r="AG13" s="19">
        <v>1111</v>
      </c>
    </row>
    <row r="14" spans="3:33" ht="15.6" x14ac:dyDescent="0.3">
      <c r="C14" s="20" t="s">
        <v>120</v>
      </c>
      <c r="D14" s="33" t="s">
        <v>3</v>
      </c>
      <c r="E14" s="17">
        <v>10</v>
      </c>
      <c r="F14" s="19">
        <v>20</v>
      </c>
      <c r="G14" s="19">
        <f>SUM(BAJAJ!$E14:$F14)</f>
        <v>30</v>
      </c>
      <c r="H14" s="19">
        <v>14</v>
      </c>
      <c r="I14" s="19">
        <v>13</v>
      </c>
      <c r="J14" s="19">
        <v>20</v>
      </c>
      <c r="K14" s="19">
        <v>14</v>
      </c>
      <c r="L14" s="19">
        <f>SUM(BAJAJ!$H14:$K14)</f>
        <v>61</v>
      </c>
      <c r="M14" s="19">
        <v>15</v>
      </c>
      <c r="N14" s="19">
        <v>19</v>
      </c>
      <c r="O14" s="19">
        <v>18</v>
      </c>
      <c r="P14" s="19">
        <v>12</v>
      </c>
      <c r="Q14" s="19">
        <f>SUM(BAJAJ!$M14:$P14)</f>
        <v>64</v>
      </c>
      <c r="R14" s="19">
        <v>15</v>
      </c>
      <c r="S14" s="19">
        <v>16</v>
      </c>
      <c r="T14" s="19">
        <v>13</v>
      </c>
      <c r="U14" s="19">
        <v>19</v>
      </c>
      <c r="V14" s="19">
        <f>SUM(BAJAJ!$R14:$U14)</f>
        <v>63</v>
      </c>
      <c r="W14" s="19">
        <v>17</v>
      </c>
      <c r="X14" s="19">
        <v>12</v>
      </c>
      <c r="Y14" s="19">
        <v>16</v>
      </c>
      <c r="Z14" s="19">
        <v>18</v>
      </c>
      <c r="AA14" s="19">
        <f>SUM(BAJAJ!$W14:$Z14)</f>
        <v>63</v>
      </c>
      <c r="AB14" s="19">
        <v>16</v>
      </c>
      <c r="AC14" s="19">
        <v>11</v>
      </c>
      <c r="AD14" s="19">
        <v>16</v>
      </c>
      <c r="AE14" s="19">
        <f>SUM(BAJAJ!$AB14:$AD14)</f>
        <v>43</v>
      </c>
      <c r="AF14" s="19">
        <f>SUM(BAJAJ!$E14:$AD14)</f>
        <v>605</v>
      </c>
      <c r="AG14" s="19">
        <v>1019</v>
      </c>
    </row>
    <row r="15" spans="3:33" ht="15.6" x14ac:dyDescent="0.3">
      <c r="C15" s="16" t="s">
        <v>119</v>
      </c>
      <c r="D15" s="34" t="s">
        <v>4</v>
      </c>
      <c r="E15" s="17">
        <v>13</v>
      </c>
      <c r="F15" s="19">
        <v>12</v>
      </c>
      <c r="G15" s="19">
        <f>SUM(BAJAJ!$E15:$F15)</f>
        <v>25</v>
      </c>
      <c r="H15" s="19">
        <v>18</v>
      </c>
      <c r="I15" s="19">
        <v>19</v>
      </c>
      <c r="J15" s="19">
        <v>19</v>
      </c>
      <c r="K15" s="19">
        <v>15</v>
      </c>
      <c r="L15" s="19">
        <f>SUM(BAJAJ!$H15:$K15)</f>
        <v>71</v>
      </c>
      <c r="M15" s="19">
        <v>13</v>
      </c>
      <c r="N15" s="19">
        <v>11</v>
      </c>
      <c r="O15" s="19">
        <v>10</v>
      </c>
      <c r="P15" s="19">
        <v>19</v>
      </c>
      <c r="Q15" s="19">
        <f>SUM(BAJAJ!$M15:$P15)</f>
        <v>53</v>
      </c>
      <c r="R15" s="19">
        <v>10</v>
      </c>
      <c r="S15" s="19">
        <v>13</v>
      </c>
      <c r="T15" s="19">
        <v>15</v>
      </c>
      <c r="U15" s="19">
        <v>12</v>
      </c>
      <c r="V15" s="19">
        <f>SUM(BAJAJ!$R15:$U15)</f>
        <v>50</v>
      </c>
      <c r="W15" s="19">
        <v>13</v>
      </c>
      <c r="X15" s="19">
        <v>11</v>
      </c>
      <c r="Y15" s="19">
        <v>10</v>
      </c>
      <c r="Z15" s="19">
        <v>11</v>
      </c>
      <c r="AA15" s="19">
        <f>SUM(BAJAJ!$W15:$Z15)</f>
        <v>45</v>
      </c>
      <c r="AB15" s="19">
        <v>13</v>
      </c>
      <c r="AC15" s="19">
        <v>14</v>
      </c>
      <c r="AD15" s="19">
        <v>11</v>
      </c>
      <c r="AE15" s="19">
        <f>SUM(BAJAJ!$AB15:$AD15)</f>
        <v>38</v>
      </c>
      <c r="AF15" s="19">
        <f>SUM(BAJAJ!$E15:$AD15)</f>
        <v>526</v>
      </c>
      <c r="AG15" s="19">
        <v>969</v>
      </c>
    </row>
    <row r="16" spans="3:33" ht="15.6" x14ac:dyDescent="0.3">
      <c r="C16" s="20" t="s">
        <v>120</v>
      </c>
      <c r="D16" s="33" t="s">
        <v>5</v>
      </c>
      <c r="E16" s="17">
        <v>12</v>
      </c>
      <c r="F16" s="19">
        <v>18</v>
      </c>
      <c r="G16" s="19">
        <f>SUM(BAJAJ!$E16:$F16)</f>
        <v>30</v>
      </c>
      <c r="H16" s="19">
        <v>19</v>
      </c>
      <c r="I16" s="19">
        <v>17</v>
      </c>
      <c r="J16" s="19">
        <v>16</v>
      </c>
      <c r="K16" s="19">
        <v>15</v>
      </c>
      <c r="L16" s="19">
        <f>SUM(BAJAJ!$H16:$K16)</f>
        <v>67</v>
      </c>
      <c r="M16" s="19">
        <v>13</v>
      </c>
      <c r="N16" s="19">
        <v>14</v>
      </c>
      <c r="O16" s="19">
        <v>20</v>
      </c>
      <c r="P16" s="19">
        <v>11</v>
      </c>
      <c r="Q16" s="19">
        <f>SUM(BAJAJ!$M16:$P16)</f>
        <v>58</v>
      </c>
      <c r="R16" s="19">
        <v>14</v>
      </c>
      <c r="S16" s="19">
        <v>15</v>
      </c>
      <c r="T16" s="19">
        <v>12</v>
      </c>
      <c r="U16" s="19">
        <v>20</v>
      </c>
      <c r="V16" s="19">
        <f>SUM(BAJAJ!$R16:$U16)</f>
        <v>61</v>
      </c>
      <c r="W16" s="19">
        <v>13</v>
      </c>
      <c r="X16" s="19">
        <v>13</v>
      </c>
      <c r="Y16" s="19">
        <v>16</v>
      </c>
      <c r="Z16" s="19">
        <v>10</v>
      </c>
      <c r="AA16" s="19">
        <f>SUM(BAJAJ!$W16:$Z16)</f>
        <v>52</v>
      </c>
      <c r="AB16" s="19">
        <v>12</v>
      </c>
      <c r="AC16" s="19">
        <v>10</v>
      </c>
      <c r="AD16" s="19">
        <v>19</v>
      </c>
      <c r="AE16" s="19">
        <f>SUM(BAJAJ!$AB16:$AD16)</f>
        <v>41</v>
      </c>
      <c r="AF16" s="19">
        <f>SUM(BAJAJ!$E16:$AD16)</f>
        <v>577</v>
      </c>
      <c r="AG16" s="19">
        <v>812</v>
      </c>
    </row>
    <row r="17" spans="3:33" ht="15.6" x14ac:dyDescent="0.3">
      <c r="C17" s="16" t="s">
        <v>119</v>
      </c>
      <c r="D17" s="34" t="s">
        <v>6</v>
      </c>
      <c r="E17" s="17">
        <v>12</v>
      </c>
      <c r="F17" s="19">
        <v>10</v>
      </c>
      <c r="G17" s="19">
        <f>SUM(BAJAJ!$E17:$F17)</f>
        <v>22</v>
      </c>
      <c r="H17" s="19">
        <v>10</v>
      </c>
      <c r="I17" s="19">
        <v>18</v>
      </c>
      <c r="J17" s="19">
        <v>14</v>
      </c>
      <c r="K17" s="19">
        <v>20</v>
      </c>
      <c r="L17" s="19">
        <f>SUM(BAJAJ!$H17:$K17)</f>
        <v>62</v>
      </c>
      <c r="M17" s="19">
        <v>16</v>
      </c>
      <c r="N17" s="19">
        <v>19</v>
      </c>
      <c r="O17" s="19">
        <v>17</v>
      </c>
      <c r="P17" s="19">
        <v>10</v>
      </c>
      <c r="Q17" s="19">
        <f>SUM(BAJAJ!$M17:$P17)</f>
        <v>62</v>
      </c>
      <c r="R17" s="19">
        <v>10</v>
      </c>
      <c r="S17" s="19">
        <v>10</v>
      </c>
      <c r="T17" s="19">
        <v>10</v>
      </c>
      <c r="U17" s="19">
        <v>15</v>
      </c>
      <c r="V17" s="19">
        <f>SUM(BAJAJ!$R17:$U17)</f>
        <v>45</v>
      </c>
      <c r="W17" s="19">
        <v>13</v>
      </c>
      <c r="X17" s="19">
        <v>18</v>
      </c>
      <c r="Y17" s="19">
        <v>12</v>
      </c>
      <c r="Z17" s="19">
        <v>20</v>
      </c>
      <c r="AA17" s="19">
        <f>SUM(BAJAJ!$W17:$Z17)</f>
        <v>63</v>
      </c>
      <c r="AB17" s="19">
        <v>11</v>
      </c>
      <c r="AC17" s="19">
        <v>14</v>
      </c>
      <c r="AD17" s="19">
        <v>17</v>
      </c>
      <c r="AE17" s="19">
        <f>SUM(BAJAJ!$AB17:$AD17)</f>
        <v>42</v>
      </c>
      <c r="AF17" s="19">
        <f>SUM(BAJAJ!$E17:$AD17)</f>
        <v>550</v>
      </c>
      <c r="AG17" s="19">
        <v>1054</v>
      </c>
    </row>
    <row r="18" spans="3:33" ht="15.6" x14ac:dyDescent="0.3">
      <c r="C18" s="20" t="s">
        <v>120</v>
      </c>
      <c r="D18" s="33" t="s">
        <v>7</v>
      </c>
      <c r="E18" s="17">
        <v>14</v>
      </c>
      <c r="F18" s="19">
        <v>20</v>
      </c>
      <c r="G18" s="19">
        <f>SUM(BAJAJ!$E18:$F18)</f>
        <v>34</v>
      </c>
      <c r="H18" s="19">
        <v>16</v>
      </c>
      <c r="I18" s="19">
        <v>20</v>
      </c>
      <c r="J18" s="19">
        <v>11</v>
      </c>
      <c r="K18" s="19">
        <v>12</v>
      </c>
      <c r="L18" s="19">
        <f>SUM(BAJAJ!$H18:$K18)</f>
        <v>59</v>
      </c>
      <c r="M18" s="19">
        <v>17</v>
      </c>
      <c r="N18" s="19">
        <v>14</v>
      </c>
      <c r="O18" s="19">
        <v>11</v>
      </c>
      <c r="P18" s="19">
        <v>14</v>
      </c>
      <c r="Q18" s="19">
        <f>SUM(BAJAJ!$M18:$P18)</f>
        <v>56</v>
      </c>
      <c r="R18" s="19">
        <v>13</v>
      </c>
      <c r="S18" s="19">
        <v>17</v>
      </c>
      <c r="T18" s="19">
        <v>19</v>
      </c>
      <c r="U18" s="19">
        <v>15</v>
      </c>
      <c r="V18" s="19">
        <f>SUM(BAJAJ!$R18:$U18)</f>
        <v>64</v>
      </c>
      <c r="W18" s="19">
        <v>15</v>
      </c>
      <c r="X18" s="19">
        <v>20</v>
      </c>
      <c r="Y18" s="19">
        <v>13</v>
      </c>
      <c r="Z18" s="19">
        <v>16</v>
      </c>
      <c r="AA18" s="19">
        <f>SUM(BAJAJ!$W18:$Z18)</f>
        <v>64</v>
      </c>
      <c r="AB18" s="19">
        <v>13</v>
      </c>
      <c r="AC18" s="19">
        <v>15</v>
      </c>
      <c r="AD18" s="19">
        <v>10</v>
      </c>
      <c r="AE18" s="19">
        <f>SUM(BAJAJ!$AB18:$AD18)</f>
        <v>38</v>
      </c>
      <c r="AF18" s="19">
        <f>SUM(BAJAJ!$E18:$AD18)</f>
        <v>592</v>
      </c>
      <c r="AG18" s="19">
        <v>1114</v>
      </c>
    </row>
    <row r="19" spans="3:33" ht="15.6" x14ac:dyDescent="0.3">
      <c r="C19" s="16" t="s">
        <v>119</v>
      </c>
      <c r="D19" s="34" t="s">
        <v>8</v>
      </c>
      <c r="E19" s="17">
        <v>13</v>
      </c>
      <c r="F19" s="19">
        <v>18</v>
      </c>
      <c r="G19" s="19">
        <f>SUM(BAJAJ!$E19:$F19)</f>
        <v>31</v>
      </c>
      <c r="H19" s="19">
        <v>17</v>
      </c>
      <c r="I19" s="19">
        <v>10</v>
      </c>
      <c r="J19" s="19">
        <v>16</v>
      </c>
      <c r="K19" s="19">
        <v>19</v>
      </c>
      <c r="L19" s="19">
        <f>SUM(BAJAJ!$H19:$K19)</f>
        <v>62</v>
      </c>
      <c r="M19" s="19">
        <v>11</v>
      </c>
      <c r="N19" s="19">
        <v>12</v>
      </c>
      <c r="O19" s="19">
        <v>15</v>
      </c>
      <c r="P19" s="19">
        <v>16</v>
      </c>
      <c r="Q19" s="19">
        <f>SUM(BAJAJ!$M19:$P19)</f>
        <v>54</v>
      </c>
      <c r="R19" s="19">
        <v>19</v>
      </c>
      <c r="S19" s="19">
        <v>17</v>
      </c>
      <c r="T19" s="19">
        <v>10</v>
      </c>
      <c r="U19" s="19">
        <v>16</v>
      </c>
      <c r="V19" s="19">
        <f>SUM(BAJAJ!$R19:$U19)</f>
        <v>62</v>
      </c>
      <c r="W19" s="19">
        <v>11</v>
      </c>
      <c r="X19" s="19">
        <v>19</v>
      </c>
      <c r="Y19" s="19">
        <v>15</v>
      </c>
      <c r="Z19" s="19">
        <v>13</v>
      </c>
      <c r="AA19" s="19">
        <f>SUM(BAJAJ!$W19:$Z19)</f>
        <v>58</v>
      </c>
      <c r="AB19" s="19">
        <v>14</v>
      </c>
      <c r="AC19" s="19">
        <v>15</v>
      </c>
      <c r="AD19" s="19">
        <v>17</v>
      </c>
      <c r="AE19" s="19">
        <f>SUM(BAJAJ!$AB19:$AD19)</f>
        <v>46</v>
      </c>
      <c r="AF19" s="19">
        <f>SUM(BAJAJ!$E19:$AD19)</f>
        <v>580</v>
      </c>
      <c r="AG19" s="19">
        <v>1053</v>
      </c>
    </row>
    <row r="20" spans="3:33" ht="15.6" x14ac:dyDescent="0.3">
      <c r="C20" s="20" t="s">
        <v>120</v>
      </c>
      <c r="D20" s="33" t="s">
        <v>9</v>
      </c>
      <c r="E20" s="17">
        <v>18</v>
      </c>
      <c r="F20" s="19">
        <v>10</v>
      </c>
      <c r="G20" s="19">
        <f>SUM(BAJAJ!$E20:$F20)</f>
        <v>28</v>
      </c>
      <c r="H20" s="19">
        <v>11</v>
      </c>
      <c r="I20" s="19">
        <v>17</v>
      </c>
      <c r="J20" s="19">
        <v>20</v>
      </c>
      <c r="K20" s="19">
        <v>16</v>
      </c>
      <c r="L20" s="19">
        <f>SUM(BAJAJ!$H20:$K20)</f>
        <v>64</v>
      </c>
      <c r="M20" s="19">
        <v>15</v>
      </c>
      <c r="N20" s="19">
        <v>20</v>
      </c>
      <c r="O20" s="19">
        <v>14</v>
      </c>
      <c r="P20" s="19">
        <v>10</v>
      </c>
      <c r="Q20" s="19">
        <f>SUM(BAJAJ!$M20:$P20)</f>
        <v>59</v>
      </c>
      <c r="R20" s="19">
        <v>12</v>
      </c>
      <c r="S20" s="19">
        <v>17</v>
      </c>
      <c r="T20" s="19">
        <v>13</v>
      </c>
      <c r="U20" s="19">
        <v>12</v>
      </c>
      <c r="V20" s="19">
        <f>SUM(BAJAJ!$R20:$U20)</f>
        <v>54</v>
      </c>
      <c r="W20" s="19">
        <v>11</v>
      </c>
      <c r="X20" s="19">
        <v>12</v>
      </c>
      <c r="Y20" s="19">
        <v>12</v>
      </c>
      <c r="Z20" s="19">
        <v>16</v>
      </c>
      <c r="AA20" s="19">
        <f>SUM(BAJAJ!$W20:$Z20)</f>
        <v>51</v>
      </c>
      <c r="AB20" s="19">
        <v>17</v>
      </c>
      <c r="AC20" s="19">
        <v>14</v>
      </c>
      <c r="AD20" s="19">
        <v>13</v>
      </c>
      <c r="AE20" s="19">
        <f>SUM(BAJAJ!$AB20:$AD20)</f>
        <v>44</v>
      </c>
      <c r="AF20" s="19">
        <f>SUM(BAJAJ!$E20:$AD20)</f>
        <v>556</v>
      </c>
      <c r="AG20" s="19">
        <v>1253</v>
      </c>
    </row>
    <row r="21" spans="3:33" ht="15.6" x14ac:dyDescent="0.3">
      <c r="C21" s="16" t="s">
        <v>119</v>
      </c>
      <c r="D21" s="33" t="s">
        <v>10</v>
      </c>
      <c r="E21" s="17">
        <v>14</v>
      </c>
      <c r="F21" s="19">
        <v>10</v>
      </c>
      <c r="G21" s="19">
        <f>SUM(BAJAJ!$E21:$F21)</f>
        <v>24</v>
      </c>
      <c r="H21" s="19">
        <v>11</v>
      </c>
      <c r="I21" s="19">
        <v>17</v>
      </c>
      <c r="J21" s="19">
        <v>20</v>
      </c>
      <c r="K21" s="19">
        <v>10</v>
      </c>
      <c r="L21" s="19">
        <f>SUM(BAJAJ!$H21:$K21)</f>
        <v>58</v>
      </c>
      <c r="M21" s="19">
        <v>14</v>
      </c>
      <c r="N21" s="19">
        <v>12</v>
      </c>
      <c r="O21" s="19">
        <v>14</v>
      </c>
      <c r="P21" s="19">
        <v>20</v>
      </c>
      <c r="Q21" s="19">
        <f>SUM(BAJAJ!$M21:$P21)</f>
        <v>60</v>
      </c>
      <c r="R21" s="19">
        <v>12</v>
      </c>
      <c r="S21" s="19">
        <v>18</v>
      </c>
      <c r="T21" s="19">
        <v>20</v>
      </c>
      <c r="U21" s="19">
        <v>16</v>
      </c>
      <c r="V21" s="19">
        <f>SUM(BAJAJ!$R21:$U21)</f>
        <v>66</v>
      </c>
      <c r="W21" s="19">
        <v>17</v>
      </c>
      <c r="X21" s="19">
        <v>12</v>
      </c>
      <c r="Y21" s="19">
        <v>13</v>
      </c>
      <c r="Z21" s="19">
        <v>18</v>
      </c>
      <c r="AA21" s="19">
        <f>SUM(BAJAJ!$W21:$Z21)</f>
        <v>60</v>
      </c>
      <c r="AB21" s="19">
        <v>15</v>
      </c>
      <c r="AC21" s="19">
        <v>14</v>
      </c>
      <c r="AD21" s="19">
        <v>12</v>
      </c>
      <c r="AE21" s="19">
        <f>SUM(BAJAJ!$AB21:$AD21)</f>
        <v>41</v>
      </c>
      <c r="AF21" s="19">
        <f>SUM(BAJAJ!$E21:$AD21)</f>
        <v>577</v>
      </c>
      <c r="AG21" s="19">
        <v>885</v>
      </c>
    </row>
    <row r="22" spans="3:33" ht="15.6" x14ac:dyDescent="0.3">
      <c r="C22" s="20" t="s">
        <v>120</v>
      </c>
      <c r="D22" s="34" t="s">
        <v>11</v>
      </c>
      <c r="E22" s="17">
        <v>10</v>
      </c>
      <c r="F22" s="19">
        <v>15</v>
      </c>
      <c r="G22" s="19">
        <f>SUM(BAJAJ!$E22:$F22)</f>
        <v>25</v>
      </c>
      <c r="H22" s="19">
        <v>15</v>
      </c>
      <c r="I22" s="19">
        <v>14</v>
      </c>
      <c r="J22" s="19">
        <v>20</v>
      </c>
      <c r="K22" s="19">
        <v>13</v>
      </c>
      <c r="L22" s="19">
        <f>SUM(BAJAJ!$H22:$K22)</f>
        <v>62</v>
      </c>
      <c r="M22" s="19">
        <v>16</v>
      </c>
      <c r="N22" s="19">
        <v>15</v>
      </c>
      <c r="O22" s="19">
        <v>10</v>
      </c>
      <c r="P22" s="19">
        <v>11</v>
      </c>
      <c r="Q22" s="19">
        <f>SUM(BAJAJ!$M22:$P22)</f>
        <v>52</v>
      </c>
      <c r="R22" s="19">
        <v>11</v>
      </c>
      <c r="S22" s="19">
        <v>10</v>
      </c>
      <c r="T22" s="19">
        <v>11</v>
      </c>
      <c r="U22" s="19">
        <v>18</v>
      </c>
      <c r="V22" s="19">
        <f>SUM(BAJAJ!$R22:$U22)</f>
        <v>50</v>
      </c>
      <c r="W22" s="19">
        <v>12</v>
      </c>
      <c r="X22" s="19">
        <v>15</v>
      </c>
      <c r="Y22" s="19">
        <v>17</v>
      </c>
      <c r="Z22" s="19">
        <v>11</v>
      </c>
      <c r="AA22" s="19">
        <f>SUM(BAJAJ!$W22:$Z22)</f>
        <v>55</v>
      </c>
      <c r="AB22" s="19">
        <v>20</v>
      </c>
      <c r="AC22" s="19">
        <v>14</v>
      </c>
      <c r="AD22" s="19">
        <v>14</v>
      </c>
      <c r="AE22" s="19">
        <f>SUM(BAJAJ!$AB22:$AD22)</f>
        <v>48</v>
      </c>
      <c r="AF22" s="19">
        <f>SUM(BAJAJ!$E22:$AD22)</f>
        <v>536</v>
      </c>
      <c r="AG22" s="19">
        <v>1177</v>
      </c>
    </row>
    <row r="23" spans="3:33" ht="15.6" x14ac:dyDescent="0.3">
      <c r="C23" s="16" t="s">
        <v>119</v>
      </c>
      <c r="D23" s="33" t="s">
        <v>3</v>
      </c>
      <c r="E23" s="17">
        <v>15</v>
      </c>
      <c r="F23" s="19">
        <v>16</v>
      </c>
      <c r="G23" s="19">
        <f>SUM(BAJAJ!$E23:$F23)</f>
        <v>31</v>
      </c>
      <c r="H23" s="19">
        <v>18</v>
      </c>
      <c r="I23" s="19">
        <v>18</v>
      </c>
      <c r="J23" s="19">
        <v>18</v>
      </c>
      <c r="K23" s="19">
        <v>13</v>
      </c>
      <c r="L23" s="19">
        <f>SUM(BAJAJ!$H23:$K23)</f>
        <v>67</v>
      </c>
      <c r="M23" s="19">
        <v>12</v>
      </c>
      <c r="N23" s="19">
        <v>11</v>
      </c>
      <c r="O23" s="19">
        <v>15</v>
      </c>
      <c r="P23" s="19">
        <v>11</v>
      </c>
      <c r="Q23" s="19">
        <f>SUM(BAJAJ!$M23:$P23)</f>
        <v>49</v>
      </c>
      <c r="R23" s="19">
        <v>16</v>
      </c>
      <c r="S23" s="19">
        <v>16</v>
      </c>
      <c r="T23" s="19">
        <v>14</v>
      </c>
      <c r="U23" s="19">
        <v>15</v>
      </c>
      <c r="V23" s="19">
        <f>SUM(BAJAJ!$R23:$U23)</f>
        <v>61</v>
      </c>
      <c r="W23" s="19">
        <v>11</v>
      </c>
      <c r="X23" s="19">
        <v>19</v>
      </c>
      <c r="Y23" s="19">
        <v>19</v>
      </c>
      <c r="Z23" s="19">
        <v>17</v>
      </c>
      <c r="AA23" s="19">
        <f>SUM(BAJAJ!$W23:$Z23)</f>
        <v>66</v>
      </c>
      <c r="AB23" s="19">
        <v>15</v>
      </c>
      <c r="AC23" s="19">
        <v>10</v>
      </c>
      <c r="AD23" s="19">
        <v>14</v>
      </c>
      <c r="AE23" s="19">
        <f>SUM(BAJAJ!$AB23:$AD23)</f>
        <v>39</v>
      </c>
      <c r="AF23" s="19">
        <f>SUM(BAJAJ!$E23:$AD23)</f>
        <v>587</v>
      </c>
      <c r="AG23" s="19">
        <v>1144</v>
      </c>
    </row>
    <row r="24" spans="3:33" ht="15.6" x14ac:dyDescent="0.3">
      <c r="C24" s="20" t="s">
        <v>120</v>
      </c>
      <c r="D24" s="34" t="s">
        <v>12</v>
      </c>
      <c r="E24" s="17">
        <v>20</v>
      </c>
      <c r="F24" s="19">
        <v>11</v>
      </c>
      <c r="G24" s="19">
        <f>SUM(BAJAJ!$E24:$F24)</f>
        <v>31</v>
      </c>
      <c r="H24" s="19">
        <v>17</v>
      </c>
      <c r="I24" s="19">
        <v>15</v>
      </c>
      <c r="J24" s="19">
        <v>12</v>
      </c>
      <c r="K24" s="19">
        <v>10</v>
      </c>
      <c r="L24" s="19">
        <f>SUM(BAJAJ!$H24:$K24)</f>
        <v>54</v>
      </c>
      <c r="M24" s="19">
        <v>13</v>
      </c>
      <c r="N24" s="19">
        <v>12</v>
      </c>
      <c r="O24" s="19">
        <v>15</v>
      </c>
      <c r="P24" s="19">
        <v>15</v>
      </c>
      <c r="Q24" s="19">
        <f>SUM(BAJAJ!$M24:$P24)</f>
        <v>55</v>
      </c>
      <c r="R24" s="19">
        <v>13</v>
      </c>
      <c r="S24" s="19">
        <v>20</v>
      </c>
      <c r="T24" s="19">
        <v>19</v>
      </c>
      <c r="U24" s="19">
        <v>18</v>
      </c>
      <c r="V24" s="19">
        <f>SUM(BAJAJ!$R24:$U24)</f>
        <v>70</v>
      </c>
      <c r="W24" s="19">
        <v>15</v>
      </c>
      <c r="X24" s="19">
        <v>14</v>
      </c>
      <c r="Y24" s="19">
        <v>14</v>
      </c>
      <c r="Z24" s="19">
        <v>14</v>
      </c>
      <c r="AA24" s="19">
        <f>SUM(BAJAJ!$W24:$Z24)</f>
        <v>57</v>
      </c>
      <c r="AB24" s="19">
        <v>10</v>
      </c>
      <c r="AC24" s="19">
        <v>17</v>
      </c>
      <c r="AD24" s="19">
        <v>19</v>
      </c>
      <c r="AE24" s="19">
        <f>SUM(BAJAJ!$AB24:$AD24)</f>
        <v>46</v>
      </c>
      <c r="AF24" s="19">
        <f>SUM(BAJAJ!$E24:$AD24)</f>
        <v>580</v>
      </c>
      <c r="AG24" s="19">
        <v>1109</v>
      </c>
    </row>
    <row r="25" spans="3:33" ht="15.6" x14ac:dyDescent="0.3">
      <c r="C25" s="16" t="s">
        <v>119</v>
      </c>
      <c r="D25" s="33" t="s">
        <v>13</v>
      </c>
      <c r="E25" s="17">
        <v>13</v>
      </c>
      <c r="F25" s="19">
        <v>13</v>
      </c>
      <c r="G25" s="19">
        <f>SUM(BAJAJ!$E25:$F25)</f>
        <v>26</v>
      </c>
      <c r="H25" s="19">
        <v>16</v>
      </c>
      <c r="I25" s="19">
        <v>18</v>
      </c>
      <c r="J25" s="19">
        <v>20</v>
      </c>
      <c r="K25" s="19">
        <v>12</v>
      </c>
      <c r="L25" s="19">
        <f>SUM(BAJAJ!$H25:$K25)</f>
        <v>66</v>
      </c>
      <c r="M25" s="19">
        <v>16</v>
      </c>
      <c r="N25" s="19">
        <v>10</v>
      </c>
      <c r="O25" s="19">
        <v>11</v>
      </c>
      <c r="P25" s="19">
        <v>19</v>
      </c>
      <c r="Q25" s="19">
        <f>SUM(BAJAJ!$M25:$P25)</f>
        <v>56</v>
      </c>
      <c r="R25" s="19">
        <v>17</v>
      </c>
      <c r="S25" s="19">
        <v>19</v>
      </c>
      <c r="T25" s="19">
        <v>18</v>
      </c>
      <c r="U25" s="19">
        <v>15</v>
      </c>
      <c r="V25" s="19">
        <f>SUM(BAJAJ!$R25:$U25)</f>
        <v>69</v>
      </c>
      <c r="W25" s="19">
        <v>17</v>
      </c>
      <c r="X25" s="19">
        <v>15</v>
      </c>
      <c r="Y25" s="19">
        <v>13</v>
      </c>
      <c r="Z25" s="19">
        <v>20</v>
      </c>
      <c r="AA25" s="19">
        <f>SUM(BAJAJ!$W25:$Z25)</f>
        <v>65</v>
      </c>
      <c r="AB25" s="19">
        <v>15</v>
      </c>
      <c r="AC25" s="19">
        <v>15</v>
      </c>
      <c r="AD25" s="19">
        <v>20</v>
      </c>
      <c r="AE25" s="19">
        <f>SUM(BAJAJ!$AB25:$AD25)</f>
        <v>50</v>
      </c>
      <c r="AF25" s="19">
        <f>SUM(BAJAJ!$E25:$AD25)</f>
        <v>614</v>
      </c>
      <c r="AG25" s="19">
        <v>1109</v>
      </c>
    </row>
    <row r="26" spans="3:33" ht="15.6" x14ac:dyDescent="0.3">
      <c r="C26" s="20" t="s">
        <v>120</v>
      </c>
      <c r="D26" s="34" t="s">
        <v>14</v>
      </c>
      <c r="E26" s="17">
        <v>17</v>
      </c>
      <c r="F26" s="19">
        <v>12</v>
      </c>
      <c r="G26" s="19">
        <f>SUM(BAJAJ!$E26:$F26)</f>
        <v>29</v>
      </c>
      <c r="H26" s="19">
        <v>11</v>
      </c>
      <c r="I26" s="19">
        <v>16</v>
      </c>
      <c r="J26" s="19">
        <v>12</v>
      </c>
      <c r="K26" s="19">
        <v>14</v>
      </c>
      <c r="L26" s="19">
        <f>SUM(BAJAJ!$H26:$K26)</f>
        <v>53</v>
      </c>
      <c r="M26" s="19">
        <v>14</v>
      </c>
      <c r="N26" s="19">
        <v>10</v>
      </c>
      <c r="O26" s="19">
        <v>10</v>
      </c>
      <c r="P26" s="19">
        <v>18</v>
      </c>
      <c r="Q26" s="19">
        <f>SUM(BAJAJ!$M26:$P26)</f>
        <v>52</v>
      </c>
      <c r="R26" s="19">
        <v>17</v>
      </c>
      <c r="S26" s="19">
        <v>12</v>
      </c>
      <c r="T26" s="19">
        <v>14</v>
      </c>
      <c r="U26" s="19">
        <v>15</v>
      </c>
      <c r="V26" s="19">
        <f>SUM(BAJAJ!$R26:$U26)</f>
        <v>58</v>
      </c>
      <c r="W26" s="19">
        <v>18</v>
      </c>
      <c r="X26" s="19">
        <v>19</v>
      </c>
      <c r="Y26" s="19">
        <v>14</v>
      </c>
      <c r="Z26" s="19">
        <v>20</v>
      </c>
      <c r="AA26" s="19">
        <f>SUM(BAJAJ!$W26:$Z26)</f>
        <v>71</v>
      </c>
      <c r="AB26" s="19">
        <v>12</v>
      </c>
      <c r="AC26" s="19">
        <v>19</v>
      </c>
      <c r="AD26" s="19">
        <v>13</v>
      </c>
      <c r="AE26" s="19">
        <f>SUM(BAJAJ!$AB26:$AD26)</f>
        <v>44</v>
      </c>
      <c r="AF26" s="19">
        <f>SUM(BAJAJ!$E26:$AD26)</f>
        <v>570</v>
      </c>
      <c r="AG26" s="19">
        <v>1250</v>
      </c>
    </row>
    <row r="27" spans="3:33" ht="15.6" x14ac:dyDescent="0.3">
      <c r="C27" s="16" t="s">
        <v>119</v>
      </c>
      <c r="D27" s="33" t="s">
        <v>15</v>
      </c>
      <c r="E27" s="17">
        <v>11</v>
      </c>
      <c r="F27" s="19">
        <v>18</v>
      </c>
      <c r="G27" s="19">
        <f>SUM(BAJAJ!$E27:$F27)</f>
        <v>29</v>
      </c>
      <c r="H27" s="19">
        <v>14</v>
      </c>
      <c r="I27" s="19">
        <v>13</v>
      </c>
      <c r="J27" s="19">
        <v>15</v>
      </c>
      <c r="K27" s="19">
        <v>10</v>
      </c>
      <c r="L27" s="19">
        <f>SUM(BAJAJ!$H27:$K27)</f>
        <v>52</v>
      </c>
      <c r="M27" s="19">
        <v>16</v>
      </c>
      <c r="N27" s="19">
        <v>11</v>
      </c>
      <c r="O27" s="19">
        <v>17</v>
      </c>
      <c r="P27" s="19">
        <v>18</v>
      </c>
      <c r="Q27" s="19">
        <f>SUM(BAJAJ!$M27:$P27)</f>
        <v>62</v>
      </c>
      <c r="R27" s="19">
        <v>13</v>
      </c>
      <c r="S27" s="19">
        <v>12</v>
      </c>
      <c r="T27" s="19">
        <v>13</v>
      </c>
      <c r="U27" s="19">
        <v>10</v>
      </c>
      <c r="V27" s="19">
        <f>SUM(BAJAJ!$R27:$U27)</f>
        <v>48</v>
      </c>
      <c r="W27" s="19">
        <v>16</v>
      </c>
      <c r="X27" s="19">
        <v>18</v>
      </c>
      <c r="Y27" s="19">
        <v>14</v>
      </c>
      <c r="Z27" s="19">
        <v>20</v>
      </c>
      <c r="AA27" s="19">
        <f>SUM(BAJAJ!$W27:$Z27)</f>
        <v>68</v>
      </c>
      <c r="AB27" s="19">
        <v>12</v>
      </c>
      <c r="AC27" s="19">
        <v>17</v>
      </c>
      <c r="AD27" s="19">
        <v>14</v>
      </c>
      <c r="AE27" s="19">
        <f>SUM(BAJAJ!$AB27:$AD27)</f>
        <v>43</v>
      </c>
      <c r="AF27" s="19">
        <f>SUM(BAJAJ!$E27:$AD27)</f>
        <v>561</v>
      </c>
      <c r="AG27" s="19">
        <v>985</v>
      </c>
    </row>
    <row r="28" spans="3:33" ht="15.6" x14ac:dyDescent="0.3">
      <c r="C28" s="20" t="s">
        <v>120</v>
      </c>
      <c r="D28" s="34" t="s">
        <v>16</v>
      </c>
      <c r="E28" s="17">
        <v>16</v>
      </c>
      <c r="F28" s="19">
        <v>15</v>
      </c>
      <c r="G28" s="19">
        <f>SUM(BAJAJ!$E28:$F28)</f>
        <v>31</v>
      </c>
      <c r="H28" s="19">
        <v>20</v>
      </c>
      <c r="I28" s="19">
        <v>11</v>
      </c>
      <c r="J28" s="19">
        <v>15</v>
      </c>
      <c r="K28" s="19">
        <v>17</v>
      </c>
      <c r="L28" s="19">
        <f>SUM(BAJAJ!$H28:$K28)</f>
        <v>63</v>
      </c>
      <c r="M28" s="19">
        <v>14</v>
      </c>
      <c r="N28" s="19">
        <v>20</v>
      </c>
      <c r="O28" s="19">
        <v>17</v>
      </c>
      <c r="P28" s="19">
        <v>16</v>
      </c>
      <c r="Q28" s="19">
        <f>SUM(BAJAJ!$M28:$P28)</f>
        <v>67</v>
      </c>
      <c r="R28" s="19">
        <v>15</v>
      </c>
      <c r="S28" s="19">
        <v>14</v>
      </c>
      <c r="T28" s="19">
        <v>10</v>
      </c>
      <c r="U28" s="19">
        <v>19</v>
      </c>
      <c r="V28" s="19">
        <f>SUM(BAJAJ!$R28:$U28)</f>
        <v>58</v>
      </c>
      <c r="W28" s="19">
        <v>10</v>
      </c>
      <c r="X28" s="19">
        <v>10</v>
      </c>
      <c r="Y28" s="19">
        <v>14</v>
      </c>
      <c r="Z28" s="19">
        <v>13</v>
      </c>
      <c r="AA28" s="19">
        <f>SUM(BAJAJ!$W28:$Z28)</f>
        <v>47</v>
      </c>
      <c r="AB28" s="19">
        <v>18</v>
      </c>
      <c r="AC28" s="19">
        <v>10</v>
      </c>
      <c r="AD28" s="19">
        <v>19</v>
      </c>
      <c r="AE28" s="19">
        <f>SUM(BAJAJ!$AB28:$AD28)</f>
        <v>47</v>
      </c>
      <c r="AF28" s="19">
        <f>SUM(BAJAJ!$E28:$AD28)</f>
        <v>579</v>
      </c>
      <c r="AG28" s="19">
        <v>1118</v>
      </c>
    </row>
    <row r="29" spans="3:33" ht="15.6" x14ac:dyDescent="0.3">
      <c r="C29" s="16" t="s">
        <v>119</v>
      </c>
      <c r="D29" s="33" t="s">
        <v>17</v>
      </c>
      <c r="E29" s="17">
        <v>15</v>
      </c>
      <c r="F29" s="19">
        <v>20</v>
      </c>
      <c r="G29" s="19">
        <f>SUM(BAJAJ!$E29:$F29)</f>
        <v>35</v>
      </c>
      <c r="H29" s="19">
        <v>17</v>
      </c>
      <c r="I29" s="19">
        <v>10</v>
      </c>
      <c r="J29" s="19">
        <v>14</v>
      </c>
      <c r="K29" s="19">
        <v>15</v>
      </c>
      <c r="L29" s="19">
        <f>SUM(BAJAJ!$H29:$K29)</f>
        <v>56</v>
      </c>
      <c r="M29" s="19">
        <v>17</v>
      </c>
      <c r="N29" s="19">
        <v>20</v>
      </c>
      <c r="O29" s="19">
        <v>15</v>
      </c>
      <c r="P29" s="19">
        <v>19</v>
      </c>
      <c r="Q29" s="19">
        <f>SUM(BAJAJ!$M29:$P29)</f>
        <v>71</v>
      </c>
      <c r="R29" s="19">
        <v>14</v>
      </c>
      <c r="S29" s="19">
        <v>17</v>
      </c>
      <c r="T29" s="19">
        <v>16</v>
      </c>
      <c r="U29" s="19">
        <v>20</v>
      </c>
      <c r="V29" s="19">
        <f>SUM(BAJAJ!$R29:$U29)</f>
        <v>67</v>
      </c>
      <c r="W29" s="19">
        <v>10</v>
      </c>
      <c r="X29" s="19">
        <v>11</v>
      </c>
      <c r="Y29" s="19">
        <v>16</v>
      </c>
      <c r="Z29" s="19">
        <v>20</v>
      </c>
      <c r="AA29" s="19">
        <f>SUM(BAJAJ!$W29:$Z29)</f>
        <v>57</v>
      </c>
      <c r="AB29" s="19">
        <v>16</v>
      </c>
      <c r="AC29" s="19">
        <v>12</v>
      </c>
      <c r="AD29" s="19">
        <v>20</v>
      </c>
      <c r="AE29" s="19">
        <f>SUM(BAJAJ!$AB29:$AD29)</f>
        <v>48</v>
      </c>
      <c r="AF29" s="19">
        <f>SUM(BAJAJ!$E29:$AD29)</f>
        <v>620</v>
      </c>
      <c r="AG29" s="19">
        <v>1104</v>
      </c>
    </row>
    <row r="30" spans="3:33" ht="15.6" x14ac:dyDescent="0.3">
      <c r="C30" s="20" t="s">
        <v>120</v>
      </c>
      <c r="D30" s="34" t="s">
        <v>18</v>
      </c>
      <c r="E30" s="17">
        <v>14</v>
      </c>
      <c r="F30" s="19">
        <v>19</v>
      </c>
      <c r="G30" s="19">
        <f>SUM(BAJAJ!$E30:$F30)</f>
        <v>33</v>
      </c>
      <c r="H30" s="19">
        <v>15</v>
      </c>
      <c r="I30" s="19">
        <v>15</v>
      </c>
      <c r="J30" s="19">
        <v>15</v>
      </c>
      <c r="K30" s="19">
        <v>12</v>
      </c>
      <c r="L30" s="19">
        <f>SUM(BAJAJ!$H30:$K30)</f>
        <v>57</v>
      </c>
      <c r="M30" s="19">
        <v>14</v>
      </c>
      <c r="N30" s="19">
        <v>18</v>
      </c>
      <c r="O30" s="19">
        <v>18</v>
      </c>
      <c r="P30" s="19">
        <v>11</v>
      </c>
      <c r="Q30" s="19">
        <f>SUM(BAJAJ!$M30:$P30)</f>
        <v>61</v>
      </c>
      <c r="R30" s="19">
        <v>18</v>
      </c>
      <c r="S30" s="19">
        <v>10</v>
      </c>
      <c r="T30" s="19">
        <v>12</v>
      </c>
      <c r="U30" s="19">
        <v>17</v>
      </c>
      <c r="V30" s="19">
        <f>SUM(BAJAJ!$R30:$U30)</f>
        <v>57</v>
      </c>
      <c r="W30" s="19">
        <v>16</v>
      </c>
      <c r="X30" s="19">
        <v>18</v>
      </c>
      <c r="Y30" s="19">
        <v>12</v>
      </c>
      <c r="Z30" s="19">
        <v>20</v>
      </c>
      <c r="AA30" s="19">
        <f>SUM(BAJAJ!$W30:$Z30)</f>
        <v>66</v>
      </c>
      <c r="AB30" s="19">
        <v>13</v>
      </c>
      <c r="AC30" s="19">
        <v>18</v>
      </c>
      <c r="AD30" s="19">
        <v>20</v>
      </c>
      <c r="AE30" s="19">
        <f>SUM(BAJAJ!$AB30:$AD30)</f>
        <v>51</v>
      </c>
      <c r="AF30" s="19">
        <f>SUM(BAJAJ!$E30:$AD30)</f>
        <v>599</v>
      </c>
      <c r="AG30" s="19">
        <v>1109</v>
      </c>
    </row>
    <row r="34" spans="4:17" ht="14.4" customHeight="1" x14ac:dyDescent="0.3">
      <c r="D34" s="77" t="s">
        <v>86</v>
      </c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</row>
    <row r="35" spans="4:17" ht="14.4" customHeight="1" x14ac:dyDescent="0.3"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</row>
    <row r="36" spans="4:17" x14ac:dyDescent="0.3">
      <c r="D36" s="43" t="s">
        <v>84</v>
      </c>
      <c r="E36" s="26" t="s">
        <v>121</v>
      </c>
      <c r="F36" s="44" t="s">
        <v>114</v>
      </c>
      <c r="G36" s="45" t="s">
        <v>115</v>
      </c>
      <c r="H36" s="45" t="s">
        <v>110</v>
      </c>
      <c r="I36" s="45" t="s">
        <v>116</v>
      </c>
      <c r="J36" s="45" t="s">
        <v>117</v>
      </c>
      <c r="K36" s="44" t="s">
        <v>118</v>
      </c>
      <c r="L36" s="44" t="s">
        <v>88</v>
      </c>
      <c r="M36" s="44" t="s">
        <v>85</v>
      </c>
      <c r="N36" s="44" t="s">
        <v>89</v>
      </c>
      <c r="O36" s="46" t="s">
        <v>153</v>
      </c>
      <c r="P36" s="44" t="s">
        <v>78</v>
      </c>
      <c r="Q36" s="44" t="s">
        <v>91</v>
      </c>
    </row>
    <row r="37" spans="4:17" ht="15.6" x14ac:dyDescent="0.3">
      <c r="D37" s="37" t="s">
        <v>119</v>
      </c>
      <c r="E37" s="37">
        <f>COUNTIFS(BAJAJ!$C$11:$C$32,BAJAJ!$D37)</f>
        <v>10</v>
      </c>
      <c r="F37" s="7">
        <f>(SUMIFS(G11:G30,C11:C30,BAJAJ!$D37))*(SUMIFS(AG11:AG30,C11:C30,BAJAJ!$D37))</f>
        <v>2933127</v>
      </c>
      <c r="G37" s="7">
        <f>(SUMIFS(L11:L30,C11:C30,BAJAJ!$D37))*(SUMIFS(AG11:AG30,C11:C30,BAJAJ!$D37))</f>
        <v>6370878</v>
      </c>
      <c r="H37" s="7">
        <f>(SUMIFS(Q11:Q30,C11:C30,D37))*(SUMIFS(AG11:AG30,C11:C30,BAJAJ!$D37))</f>
        <v>6328826</v>
      </c>
      <c r="I37" s="7">
        <f>(SUMIFS(V11:V30,C11:C30,BAJAJ!$D37))*(SUMIFS(AG11:AG30,C11:C30,BAJAJ!$D37))</f>
        <v>6076514</v>
      </c>
      <c r="J37" s="7">
        <f>(SUMIFS(AA11:AA30,C11:C30,BAJAJ!$D37))*(SUMIFS(AG11:AG30,C11:C30,BAJAJ!$D37))</f>
        <v>6497034</v>
      </c>
      <c r="K37" s="35">
        <f>(SUMIFS(Table5[Ninth Month],Table5[Project Name],Table7[[#This Row],[^Project Name]]))*(SUMIFS(Table5[Hours rate],Table5[Project Name],Table7[[#This Row],[^Project Name]]))</f>
        <v>4783415</v>
      </c>
      <c r="L37" s="7">
        <v>44600000</v>
      </c>
      <c r="M37" s="35">
        <v>0</v>
      </c>
      <c r="N37" s="35">
        <f>SUM(L37:M37)</f>
        <v>44600000</v>
      </c>
      <c r="O37" s="35">
        <f>SUM(F37:K37)</f>
        <v>32989794</v>
      </c>
      <c r="P37" s="35">
        <f>N37-O37</f>
        <v>11610206</v>
      </c>
      <c r="Q37" s="36">
        <f>P37/N37</f>
        <v>0.26031852017937218</v>
      </c>
    </row>
    <row r="38" spans="4:17" ht="15.6" x14ac:dyDescent="0.3">
      <c r="D38" s="38" t="s">
        <v>120</v>
      </c>
      <c r="E38" s="38">
        <f>COUNTIFS(BAJAJ!$C$11:$C$32,BAJAJ!$D38)</f>
        <v>10</v>
      </c>
      <c r="F38" s="7">
        <f>(SUMIFS(G12:G31,C12:C31,BAJAJ!$D38))*(SUMIFS(AG12:AG31,C12:C31,BAJAJ!$D38))</f>
        <v>3356700</v>
      </c>
      <c r="G38" s="7">
        <f>(SUMIFS(L12:L31,C12:C31,BAJAJ!$D38))*(SUMIFS(AG12:AG31,C12:C31,BAJAJ!$D38))</f>
        <v>6601510</v>
      </c>
      <c r="H38" s="7">
        <f>(SUMIFS(Q12:Q31,C12:C31,D38))*(SUMIFS(AG12:AG31,C12:C31,BAJAJ!$D38))</f>
        <v>6534376</v>
      </c>
      <c r="I38" s="7">
        <f>(SUMIFS(V12:V31,C12:C31,BAJAJ!$D38))*(SUMIFS(AG12:AG31,C12:C31,BAJAJ!$D38))</f>
        <v>6713400</v>
      </c>
      <c r="J38" s="7">
        <f>(SUMIFS(AA12:AA31,C12:C31,BAJAJ!$D38))*(SUMIFS(AG12:AG31,C12:C31,BAJAJ!$D38))</f>
        <v>6601510</v>
      </c>
      <c r="K38" s="35">
        <f>(SUMIFS(Table5[Ninth Month],Table5[Project Name],Table7[[#This Row],[^Project Name]]))*(SUMIFS(Table5[Hours rate],Table5[Project Name],Table7[[#This Row],[^Project Name]]))</f>
        <v>5090995</v>
      </c>
      <c r="L38" s="7">
        <v>44600000</v>
      </c>
      <c r="M38" s="35">
        <v>0</v>
      </c>
      <c r="N38" s="35">
        <f>SUM(L38:M38)</f>
        <v>44600000</v>
      </c>
      <c r="O38" s="35">
        <f>SUM(F38:K38)</f>
        <v>34898491</v>
      </c>
      <c r="P38" s="35">
        <f>N38-O38</f>
        <v>9701509</v>
      </c>
      <c r="Q38" s="36">
        <f>P38/N38</f>
        <v>0.21752262331838565</v>
      </c>
    </row>
  </sheetData>
  <mergeCells count="3">
    <mergeCell ref="D34:Q35"/>
    <mergeCell ref="C1:AG2"/>
    <mergeCell ref="C8:AG9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71AC7-B3CC-47EA-8165-F3EB5B542421}">
  <dimension ref="C1:AK43"/>
  <sheetViews>
    <sheetView showGridLines="0" topLeftCell="A6" zoomScale="65" zoomScaleNormal="65" workbookViewId="0">
      <selection activeCell="C8" sqref="C8:AK9"/>
    </sheetView>
  </sheetViews>
  <sheetFormatPr defaultRowHeight="14.4" x14ac:dyDescent="0.3"/>
  <cols>
    <col min="3" max="4" width="26.44140625" bestFit="1" customWidth="1"/>
    <col min="5" max="5" width="30.109375" bestFit="1" customWidth="1"/>
    <col min="6" max="6" width="25.33203125" hidden="1" customWidth="1"/>
    <col min="7" max="7" width="22.88671875" hidden="1" customWidth="1"/>
    <col min="8" max="8" width="29" hidden="1" customWidth="1"/>
    <col min="9" max="9" width="25.88671875" hidden="1" customWidth="1"/>
    <col min="10" max="10" width="24.33203125" hidden="1" customWidth="1"/>
    <col min="11" max="11" width="24.88671875" hidden="1" customWidth="1"/>
    <col min="12" max="12" width="28.44140625" hidden="1" customWidth="1"/>
    <col min="13" max="13" width="33.6640625" bestFit="1" customWidth="1"/>
    <col min="14" max="14" width="14.88671875" bestFit="1" customWidth="1"/>
    <col min="15" max="15" width="41.21875" bestFit="1" customWidth="1"/>
    <col min="16" max="16" width="38.44140625" bestFit="1" customWidth="1"/>
    <col min="17" max="17" width="14.77734375" bestFit="1" customWidth="1"/>
    <col min="18" max="18" width="47.6640625" bestFit="1" customWidth="1"/>
    <col min="19" max="19" width="49.33203125" bestFit="1" customWidth="1"/>
    <col min="20" max="20" width="48.21875" bestFit="1" customWidth="1"/>
    <col min="21" max="21" width="49.5546875" bestFit="1" customWidth="1"/>
    <col min="22" max="22" width="26.77734375" bestFit="1" customWidth="1"/>
    <col min="23" max="23" width="49.5546875" bestFit="1" customWidth="1"/>
    <col min="24" max="24" width="49.88671875" bestFit="1" customWidth="1"/>
    <col min="25" max="25" width="49.5546875" bestFit="1" customWidth="1"/>
    <col min="26" max="26" width="47.5546875" bestFit="1" customWidth="1"/>
    <col min="27" max="27" width="25.33203125" bestFit="1" customWidth="1"/>
    <col min="28" max="28" width="50.44140625" bestFit="1" customWidth="1"/>
    <col min="29" max="29" width="47.88671875" bestFit="1" customWidth="1"/>
    <col min="30" max="30" width="48.6640625" bestFit="1" customWidth="1"/>
    <col min="31" max="31" width="48.109375" bestFit="1" customWidth="1"/>
    <col min="32" max="32" width="25.88671875" bestFit="1" customWidth="1"/>
    <col min="33" max="33" width="47.109375" bestFit="1" customWidth="1"/>
    <col min="34" max="34" width="47.88671875" bestFit="1" customWidth="1"/>
    <col min="35" max="35" width="29.33203125" bestFit="1" customWidth="1"/>
    <col min="36" max="36" width="24.5546875" bestFit="1" customWidth="1"/>
    <col min="37" max="37" width="22.88671875" bestFit="1" customWidth="1"/>
  </cols>
  <sheetData>
    <row r="1" spans="3:37" x14ac:dyDescent="0.3">
      <c r="P1" s="81" t="s">
        <v>161</v>
      </c>
      <c r="Q1" s="82"/>
      <c r="R1" s="82"/>
      <c r="S1" s="82"/>
    </row>
    <row r="2" spans="3:37" x14ac:dyDescent="0.3">
      <c r="P2" s="82"/>
      <c r="Q2" s="82"/>
      <c r="R2" s="82"/>
      <c r="S2" s="82"/>
    </row>
    <row r="8" spans="3:37" ht="14.4" customHeight="1" x14ac:dyDescent="0.3">
      <c r="C8" s="80" t="s">
        <v>21</v>
      </c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</row>
    <row r="9" spans="3:37" ht="14.4" customHeight="1" x14ac:dyDescent="0.3">
      <c r="C9" s="80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</row>
    <row r="10" spans="3:37" x14ac:dyDescent="0.3">
      <c r="C10" s="43" t="s">
        <v>79</v>
      </c>
      <c r="D10" s="26" t="s">
        <v>19</v>
      </c>
      <c r="E10" s="44" t="s">
        <v>41</v>
      </c>
      <c r="F10" s="45" t="s">
        <v>42</v>
      </c>
      <c r="G10" s="45" t="s">
        <v>107</v>
      </c>
      <c r="H10" s="45" t="s">
        <v>43</v>
      </c>
      <c r="I10" s="45" t="s">
        <v>44</v>
      </c>
      <c r="J10" s="44" t="s">
        <v>45</v>
      </c>
      <c r="K10" s="44" t="s">
        <v>46</v>
      </c>
      <c r="L10" s="44" t="s">
        <v>110</v>
      </c>
      <c r="M10" s="44" t="s">
        <v>47</v>
      </c>
      <c r="N10" s="46" t="s">
        <v>48</v>
      </c>
      <c r="O10" s="44" t="s">
        <v>49</v>
      </c>
      <c r="P10" s="44" t="s">
        <v>50</v>
      </c>
      <c r="Q10" s="44" t="s">
        <v>113</v>
      </c>
      <c r="R10" s="44" t="s">
        <v>51</v>
      </c>
      <c r="S10" s="45" t="s">
        <v>52</v>
      </c>
      <c r="T10" s="45" t="s">
        <v>53</v>
      </c>
      <c r="U10" s="45" t="s">
        <v>54</v>
      </c>
      <c r="V10" s="45" t="s">
        <v>111</v>
      </c>
      <c r="W10" s="44" t="s">
        <v>55</v>
      </c>
      <c r="X10" s="44" t="s">
        <v>56</v>
      </c>
      <c r="Y10" s="44" t="s">
        <v>57</v>
      </c>
      <c r="Z10" s="44" t="s">
        <v>58</v>
      </c>
      <c r="AA10" s="44" t="s">
        <v>112</v>
      </c>
      <c r="AB10" s="44" t="s">
        <v>59</v>
      </c>
      <c r="AC10" s="44" t="s">
        <v>60</v>
      </c>
      <c r="AD10" s="44" t="s">
        <v>61</v>
      </c>
      <c r="AE10" s="44" t="s">
        <v>62</v>
      </c>
      <c r="AF10" s="44" t="s">
        <v>122</v>
      </c>
      <c r="AG10" s="44" t="s">
        <v>63</v>
      </c>
      <c r="AH10" s="47" t="s">
        <v>64</v>
      </c>
      <c r="AI10" s="47" t="s">
        <v>123</v>
      </c>
      <c r="AJ10" s="47" t="s">
        <v>34</v>
      </c>
      <c r="AK10" s="47" t="s">
        <v>20</v>
      </c>
    </row>
    <row r="11" spans="3:37" ht="15.6" x14ac:dyDescent="0.3">
      <c r="C11" s="16" t="s">
        <v>124</v>
      </c>
      <c r="D11" s="34" t="s">
        <v>0</v>
      </c>
      <c r="E11" s="17">
        <v>17</v>
      </c>
      <c r="F11" s="19">
        <v>18</v>
      </c>
      <c r="G11" s="19">
        <f>SUM(RI!$E11:$F11)</f>
        <v>35</v>
      </c>
      <c r="H11" s="19">
        <v>17</v>
      </c>
      <c r="I11" s="19">
        <v>10</v>
      </c>
      <c r="J11" s="19">
        <v>15</v>
      </c>
      <c r="K11" s="19">
        <v>13</v>
      </c>
      <c r="L11" s="19">
        <f>SUM(RI!$H11:$K11)</f>
        <v>55</v>
      </c>
      <c r="M11" s="19">
        <v>20</v>
      </c>
      <c r="N11" s="19">
        <v>14</v>
      </c>
      <c r="O11" s="19">
        <v>10</v>
      </c>
      <c r="P11" s="19">
        <v>20</v>
      </c>
      <c r="Q11" s="19">
        <f>SUM(RI!$M11:$P11)</f>
        <v>64</v>
      </c>
      <c r="R11" s="19">
        <v>18</v>
      </c>
      <c r="S11" s="19">
        <v>19</v>
      </c>
      <c r="T11" s="19">
        <v>13</v>
      </c>
      <c r="U11" s="19">
        <v>14</v>
      </c>
      <c r="V11" s="19">
        <f>SUM(RI!$R11:$U11)</f>
        <v>64</v>
      </c>
      <c r="W11" s="19">
        <v>17</v>
      </c>
      <c r="X11" s="19">
        <v>11</v>
      </c>
      <c r="Y11" s="19">
        <v>20</v>
      </c>
      <c r="Z11" s="19">
        <v>20</v>
      </c>
      <c r="AA11" s="19">
        <f>SUM(RI!$W11:$Z11)</f>
        <v>68</v>
      </c>
      <c r="AB11" s="19">
        <v>11</v>
      </c>
      <c r="AC11" s="19">
        <v>10</v>
      </c>
      <c r="AD11" s="19">
        <v>17</v>
      </c>
      <c r="AE11" s="19">
        <v>20</v>
      </c>
      <c r="AF11" s="19">
        <f>SUM(RI!$AB11:$AE11)</f>
        <v>58</v>
      </c>
      <c r="AG11" s="19">
        <v>10</v>
      </c>
      <c r="AH11" s="19">
        <v>18</v>
      </c>
      <c r="AI11" s="19">
        <f>SUM(RI!$AG11:$AH11)</f>
        <v>28</v>
      </c>
      <c r="AJ11" s="19">
        <f>SUM(RI!$E11:$AH11)</f>
        <v>716</v>
      </c>
      <c r="AK11" s="19">
        <v>884</v>
      </c>
    </row>
    <row r="12" spans="3:37" ht="15.6" x14ac:dyDescent="0.3">
      <c r="C12" s="20" t="s">
        <v>125</v>
      </c>
      <c r="D12" s="33" t="s">
        <v>1</v>
      </c>
      <c r="E12" s="17">
        <v>13</v>
      </c>
      <c r="F12" s="19">
        <v>19</v>
      </c>
      <c r="G12" s="19">
        <f>SUM(RI!$E12:$F12)</f>
        <v>32</v>
      </c>
      <c r="H12" s="19">
        <v>12</v>
      </c>
      <c r="I12" s="19">
        <v>13</v>
      </c>
      <c r="J12" s="19">
        <v>10</v>
      </c>
      <c r="K12" s="19">
        <v>19</v>
      </c>
      <c r="L12" s="19">
        <f>SUM(RI!$H12:$K12)</f>
        <v>54</v>
      </c>
      <c r="M12" s="19">
        <v>16</v>
      </c>
      <c r="N12" s="19">
        <v>18</v>
      </c>
      <c r="O12" s="19">
        <v>20</v>
      </c>
      <c r="P12" s="19">
        <v>18</v>
      </c>
      <c r="Q12" s="19">
        <f>SUM(RI!$M12:$P12)</f>
        <v>72</v>
      </c>
      <c r="R12" s="19">
        <v>10</v>
      </c>
      <c r="S12" s="19">
        <v>19</v>
      </c>
      <c r="T12" s="19">
        <v>16</v>
      </c>
      <c r="U12" s="19">
        <v>18</v>
      </c>
      <c r="V12" s="19">
        <f>SUM(RI!$R12:$U12)</f>
        <v>63</v>
      </c>
      <c r="W12" s="19">
        <v>15</v>
      </c>
      <c r="X12" s="19">
        <v>16</v>
      </c>
      <c r="Y12" s="19">
        <v>14</v>
      </c>
      <c r="Z12" s="19">
        <v>10</v>
      </c>
      <c r="AA12" s="19">
        <f>SUM(RI!$W12:$Z12)</f>
        <v>55</v>
      </c>
      <c r="AB12" s="19">
        <v>19</v>
      </c>
      <c r="AC12" s="19">
        <v>15</v>
      </c>
      <c r="AD12" s="19">
        <v>11</v>
      </c>
      <c r="AE12" s="19">
        <v>12</v>
      </c>
      <c r="AF12" s="19">
        <f>SUM(RI!$AB12:$AE12)</f>
        <v>57</v>
      </c>
      <c r="AG12" s="19">
        <v>11</v>
      </c>
      <c r="AH12" s="19">
        <v>11</v>
      </c>
      <c r="AI12" s="19">
        <f>SUM(RI!$AG12:$AH12)</f>
        <v>22</v>
      </c>
      <c r="AJ12" s="19">
        <f>SUM(RI!$E12:$AH12)</f>
        <v>688</v>
      </c>
      <c r="AK12" s="19">
        <v>504</v>
      </c>
    </row>
    <row r="13" spans="3:37" ht="15.6" x14ac:dyDescent="0.3">
      <c r="C13" s="16" t="s">
        <v>126</v>
      </c>
      <c r="D13" s="34" t="s">
        <v>2</v>
      </c>
      <c r="E13" s="17">
        <v>14</v>
      </c>
      <c r="F13" s="19">
        <v>14</v>
      </c>
      <c r="G13" s="19">
        <f>SUM(RI!$E13:$F13)</f>
        <v>28</v>
      </c>
      <c r="H13" s="19">
        <v>11</v>
      </c>
      <c r="I13" s="19">
        <v>12</v>
      </c>
      <c r="J13" s="19">
        <v>10</v>
      </c>
      <c r="K13" s="19">
        <v>19</v>
      </c>
      <c r="L13" s="19">
        <f>SUM(RI!$H13:$K13)</f>
        <v>52</v>
      </c>
      <c r="M13" s="19">
        <v>16</v>
      </c>
      <c r="N13" s="19">
        <v>13</v>
      </c>
      <c r="O13" s="19">
        <v>12</v>
      </c>
      <c r="P13" s="19">
        <v>17</v>
      </c>
      <c r="Q13" s="19">
        <f>SUM(RI!$M13:$P13)</f>
        <v>58</v>
      </c>
      <c r="R13" s="19">
        <v>12</v>
      </c>
      <c r="S13" s="19">
        <v>15</v>
      </c>
      <c r="T13" s="19">
        <v>17</v>
      </c>
      <c r="U13" s="19">
        <v>13</v>
      </c>
      <c r="V13" s="19">
        <f>SUM(RI!$R13:$U13)</f>
        <v>57</v>
      </c>
      <c r="W13" s="19">
        <v>20</v>
      </c>
      <c r="X13" s="19">
        <v>10</v>
      </c>
      <c r="Y13" s="19">
        <v>20</v>
      </c>
      <c r="Z13" s="19">
        <v>16</v>
      </c>
      <c r="AA13" s="19">
        <f>SUM(RI!$W13:$Z13)</f>
        <v>66</v>
      </c>
      <c r="AB13" s="19">
        <v>20</v>
      </c>
      <c r="AC13" s="19">
        <v>13</v>
      </c>
      <c r="AD13" s="19">
        <v>19</v>
      </c>
      <c r="AE13" s="19">
        <v>20</v>
      </c>
      <c r="AF13" s="19">
        <f>SUM(RI!$AB13:$AE13)</f>
        <v>72</v>
      </c>
      <c r="AG13" s="19">
        <v>18</v>
      </c>
      <c r="AH13" s="19">
        <v>19</v>
      </c>
      <c r="AI13" s="19">
        <f>SUM(RI!$AG13:$AH13)</f>
        <v>37</v>
      </c>
      <c r="AJ13" s="19">
        <f>SUM(RI!$E13:$AH13)</f>
        <v>703</v>
      </c>
      <c r="AK13" s="19">
        <v>408</v>
      </c>
    </row>
    <row r="14" spans="3:37" ht="15.6" x14ac:dyDescent="0.3">
      <c r="C14" s="20" t="s">
        <v>127</v>
      </c>
      <c r="D14" s="33" t="s">
        <v>3</v>
      </c>
      <c r="E14" s="17">
        <v>19</v>
      </c>
      <c r="F14" s="19">
        <v>19</v>
      </c>
      <c r="G14" s="19">
        <f>SUM(RI!$E14:$F14)</f>
        <v>38</v>
      </c>
      <c r="H14" s="19">
        <v>18</v>
      </c>
      <c r="I14" s="19">
        <v>11</v>
      </c>
      <c r="J14" s="19">
        <v>11</v>
      </c>
      <c r="K14" s="19">
        <v>15</v>
      </c>
      <c r="L14" s="19">
        <f>SUM(RI!$H14:$K14)</f>
        <v>55</v>
      </c>
      <c r="M14" s="19">
        <v>15</v>
      </c>
      <c r="N14" s="19">
        <v>19</v>
      </c>
      <c r="O14" s="19">
        <v>11</v>
      </c>
      <c r="P14" s="19">
        <v>18</v>
      </c>
      <c r="Q14" s="19">
        <f>SUM(RI!$M14:$P14)</f>
        <v>63</v>
      </c>
      <c r="R14" s="19">
        <v>20</v>
      </c>
      <c r="S14" s="19">
        <v>20</v>
      </c>
      <c r="T14" s="19">
        <v>13</v>
      </c>
      <c r="U14" s="19">
        <v>15</v>
      </c>
      <c r="V14" s="19">
        <f>SUM(RI!$R14:$U14)</f>
        <v>68</v>
      </c>
      <c r="W14" s="19">
        <v>20</v>
      </c>
      <c r="X14" s="19">
        <v>19</v>
      </c>
      <c r="Y14" s="19">
        <v>11</v>
      </c>
      <c r="Z14" s="19">
        <v>10</v>
      </c>
      <c r="AA14" s="19">
        <f>SUM(RI!$W14:$Z14)</f>
        <v>60</v>
      </c>
      <c r="AB14" s="19">
        <v>12</v>
      </c>
      <c r="AC14" s="19">
        <v>16</v>
      </c>
      <c r="AD14" s="19">
        <v>14</v>
      </c>
      <c r="AE14" s="19">
        <v>19</v>
      </c>
      <c r="AF14" s="19">
        <f>SUM(RI!$AB14:$AE14)</f>
        <v>61</v>
      </c>
      <c r="AG14" s="19">
        <v>11</v>
      </c>
      <c r="AH14" s="19">
        <v>11</v>
      </c>
      <c r="AI14" s="19">
        <f>SUM(RI!$AG14:$AH14)</f>
        <v>22</v>
      </c>
      <c r="AJ14" s="19">
        <f>SUM(RI!$E14:$AH14)</f>
        <v>712</v>
      </c>
      <c r="AK14" s="19">
        <v>489</v>
      </c>
    </row>
    <row r="15" spans="3:37" ht="15.6" x14ac:dyDescent="0.3">
      <c r="C15" s="16" t="s">
        <v>128</v>
      </c>
      <c r="D15" s="34" t="s">
        <v>4</v>
      </c>
      <c r="E15" s="17">
        <v>17</v>
      </c>
      <c r="F15" s="19">
        <v>17</v>
      </c>
      <c r="G15" s="19">
        <f>SUM(RI!$E15:$F15)</f>
        <v>34</v>
      </c>
      <c r="H15" s="19">
        <v>12</v>
      </c>
      <c r="I15" s="19">
        <v>19</v>
      </c>
      <c r="J15" s="19">
        <v>10</v>
      </c>
      <c r="K15" s="19">
        <v>17</v>
      </c>
      <c r="L15" s="19">
        <f>SUM(RI!$H15:$K15)</f>
        <v>58</v>
      </c>
      <c r="M15" s="19">
        <v>10</v>
      </c>
      <c r="N15" s="19">
        <v>18</v>
      </c>
      <c r="O15" s="19">
        <v>14</v>
      </c>
      <c r="P15" s="19">
        <v>14</v>
      </c>
      <c r="Q15" s="19">
        <f>SUM(RI!$M15:$P15)</f>
        <v>56</v>
      </c>
      <c r="R15" s="19">
        <v>19</v>
      </c>
      <c r="S15" s="19">
        <v>13</v>
      </c>
      <c r="T15" s="19">
        <v>10</v>
      </c>
      <c r="U15" s="19">
        <v>16</v>
      </c>
      <c r="V15" s="19">
        <f>SUM(RI!$R15:$U15)</f>
        <v>58</v>
      </c>
      <c r="W15" s="19">
        <v>13</v>
      </c>
      <c r="X15" s="19">
        <v>10</v>
      </c>
      <c r="Y15" s="19">
        <v>11</v>
      </c>
      <c r="Z15" s="19">
        <v>19</v>
      </c>
      <c r="AA15" s="19">
        <f>SUM(RI!$W15:$Z15)</f>
        <v>53</v>
      </c>
      <c r="AB15" s="19">
        <v>20</v>
      </c>
      <c r="AC15" s="19">
        <v>19</v>
      </c>
      <c r="AD15" s="19">
        <v>10</v>
      </c>
      <c r="AE15" s="19">
        <v>10</v>
      </c>
      <c r="AF15" s="19">
        <f>SUM(RI!$AB15:$AE15)</f>
        <v>59</v>
      </c>
      <c r="AG15" s="19">
        <v>14</v>
      </c>
      <c r="AH15" s="19">
        <v>15</v>
      </c>
      <c r="AI15" s="19">
        <f>SUM(RI!$AG15:$AH15)</f>
        <v>29</v>
      </c>
      <c r="AJ15" s="19">
        <f>SUM(RI!$E15:$AH15)</f>
        <v>665</v>
      </c>
      <c r="AK15" s="19">
        <v>568</v>
      </c>
    </row>
    <row r="16" spans="3:37" ht="15.6" x14ac:dyDescent="0.3">
      <c r="C16" s="20" t="s">
        <v>129</v>
      </c>
      <c r="D16" s="33" t="s">
        <v>5</v>
      </c>
      <c r="E16" s="17">
        <v>15</v>
      </c>
      <c r="F16" s="19">
        <v>18</v>
      </c>
      <c r="G16" s="19">
        <f>SUM(RI!$E16:$F16)</f>
        <v>33</v>
      </c>
      <c r="H16" s="19">
        <v>13</v>
      </c>
      <c r="I16" s="19">
        <v>19</v>
      </c>
      <c r="J16" s="19">
        <v>11</v>
      </c>
      <c r="K16" s="19">
        <v>19</v>
      </c>
      <c r="L16" s="19">
        <f>SUM(RI!$H16:$K16)</f>
        <v>62</v>
      </c>
      <c r="M16" s="19">
        <v>14</v>
      </c>
      <c r="N16" s="19">
        <v>18</v>
      </c>
      <c r="O16" s="19">
        <v>18</v>
      </c>
      <c r="P16" s="19">
        <v>11</v>
      </c>
      <c r="Q16" s="19">
        <f>SUM(RI!$M16:$P16)</f>
        <v>61</v>
      </c>
      <c r="R16" s="19">
        <v>10</v>
      </c>
      <c r="S16" s="19">
        <v>18</v>
      </c>
      <c r="T16" s="19">
        <v>20</v>
      </c>
      <c r="U16" s="19">
        <v>11</v>
      </c>
      <c r="V16" s="19">
        <f>SUM(RI!$R16:$U16)</f>
        <v>59</v>
      </c>
      <c r="W16" s="19">
        <v>12</v>
      </c>
      <c r="X16" s="19">
        <v>10</v>
      </c>
      <c r="Y16" s="19">
        <v>15</v>
      </c>
      <c r="Z16" s="19">
        <v>10</v>
      </c>
      <c r="AA16" s="19">
        <f>SUM(RI!$W16:$Z16)</f>
        <v>47</v>
      </c>
      <c r="AB16" s="19">
        <v>15</v>
      </c>
      <c r="AC16" s="19">
        <v>16</v>
      </c>
      <c r="AD16" s="19">
        <v>19</v>
      </c>
      <c r="AE16" s="19">
        <v>18</v>
      </c>
      <c r="AF16" s="19">
        <f>SUM(RI!$AB16:$AE16)</f>
        <v>68</v>
      </c>
      <c r="AG16" s="19">
        <v>15</v>
      </c>
      <c r="AH16" s="19">
        <v>15</v>
      </c>
      <c r="AI16" s="19">
        <f>SUM(RI!$AG16:$AH16)</f>
        <v>30</v>
      </c>
      <c r="AJ16" s="19">
        <f>SUM(RI!$E16:$AH16)</f>
        <v>690</v>
      </c>
      <c r="AK16" s="19">
        <v>668</v>
      </c>
    </row>
    <row r="17" spans="3:37" ht="15.6" x14ac:dyDescent="0.3">
      <c r="C17" s="16" t="s">
        <v>124</v>
      </c>
      <c r="D17" s="34" t="s">
        <v>6</v>
      </c>
      <c r="E17" s="17">
        <v>18</v>
      </c>
      <c r="F17" s="19">
        <v>19</v>
      </c>
      <c r="G17" s="19">
        <f>SUM(RI!$E17:$F17)</f>
        <v>37</v>
      </c>
      <c r="H17" s="19">
        <v>12</v>
      </c>
      <c r="I17" s="19">
        <v>16</v>
      </c>
      <c r="J17" s="19">
        <v>13</v>
      </c>
      <c r="K17" s="19">
        <v>17</v>
      </c>
      <c r="L17" s="19">
        <f>SUM(RI!$H17:$K17)</f>
        <v>58</v>
      </c>
      <c r="M17" s="19">
        <v>15</v>
      </c>
      <c r="N17" s="19">
        <v>20</v>
      </c>
      <c r="O17" s="19">
        <v>17</v>
      </c>
      <c r="P17" s="19">
        <v>11</v>
      </c>
      <c r="Q17" s="19">
        <f>SUM(RI!$M17:$P17)</f>
        <v>63</v>
      </c>
      <c r="R17" s="19">
        <v>18</v>
      </c>
      <c r="S17" s="19">
        <v>14</v>
      </c>
      <c r="T17" s="19">
        <v>14</v>
      </c>
      <c r="U17" s="19">
        <v>12</v>
      </c>
      <c r="V17" s="19">
        <f>SUM(RI!$R17:$U17)</f>
        <v>58</v>
      </c>
      <c r="W17" s="19">
        <v>16</v>
      </c>
      <c r="X17" s="19">
        <v>10</v>
      </c>
      <c r="Y17" s="19">
        <v>17</v>
      </c>
      <c r="Z17" s="19">
        <v>12</v>
      </c>
      <c r="AA17" s="19">
        <f>SUM(RI!$W17:$Z17)</f>
        <v>55</v>
      </c>
      <c r="AB17" s="19">
        <v>18</v>
      </c>
      <c r="AC17" s="19">
        <v>11</v>
      </c>
      <c r="AD17" s="19">
        <v>13</v>
      </c>
      <c r="AE17" s="19">
        <v>14</v>
      </c>
      <c r="AF17" s="19">
        <f>SUM(RI!$AB17:$AE17)</f>
        <v>56</v>
      </c>
      <c r="AG17" s="19">
        <v>15</v>
      </c>
      <c r="AH17" s="19">
        <v>18</v>
      </c>
      <c r="AI17" s="19">
        <f>SUM(RI!$AG17:$AH17)</f>
        <v>33</v>
      </c>
      <c r="AJ17" s="19">
        <f>SUM(RI!$E17:$AH17)</f>
        <v>687</v>
      </c>
      <c r="AK17" s="19">
        <v>442</v>
      </c>
    </row>
    <row r="18" spans="3:37" ht="15.6" x14ac:dyDescent="0.3">
      <c r="C18" s="20" t="s">
        <v>125</v>
      </c>
      <c r="D18" s="33" t="s">
        <v>7</v>
      </c>
      <c r="E18" s="17">
        <v>11</v>
      </c>
      <c r="F18" s="19">
        <v>14</v>
      </c>
      <c r="G18" s="19">
        <f>SUM(RI!$E18:$F18)</f>
        <v>25</v>
      </c>
      <c r="H18" s="19">
        <v>14</v>
      </c>
      <c r="I18" s="19">
        <v>15</v>
      </c>
      <c r="J18" s="19">
        <v>10</v>
      </c>
      <c r="K18" s="19">
        <v>16</v>
      </c>
      <c r="L18" s="19">
        <f>SUM(RI!$H18:$K18)</f>
        <v>55</v>
      </c>
      <c r="M18" s="19">
        <v>16</v>
      </c>
      <c r="N18" s="19">
        <v>16</v>
      </c>
      <c r="O18" s="19">
        <v>10</v>
      </c>
      <c r="P18" s="19">
        <v>18</v>
      </c>
      <c r="Q18" s="19">
        <f>SUM(RI!$M18:$P18)</f>
        <v>60</v>
      </c>
      <c r="R18" s="19">
        <v>13</v>
      </c>
      <c r="S18" s="19">
        <v>18</v>
      </c>
      <c r="T18" s="19">
        <v>11</v>
      </c>
      <c r="U18" s="19">
        <v>13</v>
      </c>
      <c r="V18" s="19">
        <f>SUM(RI!$R18:$U18)</f>
        <v>55</v>
      </c>
      <c r="W18" s="19">
        <v>16</v>
      </c>
      <c r="X18" s="19">
        <v>18</v>
      </c>
      <c r="Y18" s="19">
        <v>12</v>
      </c>
      <c r="Z18" s="19">
        <v>17</v>
      </c>
      <c r="AA18" s="19">
        <f>SUM(RI!$W18:$Z18)</f>
        <v>63</v>
      </c>
      <c r="AB18" s="19">
        <v>11</v>
      </c>
      <c r="AC18" s="19">
        <v>13</v>
      </c>
      <c r="AD18" s="19">
        <v>17</v>
      </c>
      <c r="AE18" s="19">
        <v>16</v>
      </c>
      <c r="AF18" s="19">
        <f>SUM(RI!$AB18:$AE18)</f>
        <v>57</v>
      </c>
      <c r="AG18" s="19">
        <v>18</v>
      </c>
      <c r="AH18" s="19">
        <v>15</v>
      </c>
      <c r="AI18" s="19">
        <f>SUM(RI!$AG18:$AH18)</f>
        <v>33</v>
      </c>
      <c r="AJ18" s="19">
        <f>SUM(RI!$E18:$AH18)</f>
        <v>663</v>
      </c>
      <c r="AK18" s="19">
        <v>573</v>
      </c>
    </row>
    <row r="19" spans="3:37" ht="15.6" x14ac:dyDescent="0.3">
      <c r="C19" s="16" t="s">
        <v>126</v>
      </c>
      <c r="D19" s="34" t="s">
        <v>8</v>
      </c>
      <c r="E19" s="17">
        <v>19</v>
      </c>
      <c r="F19" s="19">
        <v>13</v>
      </c>
      <c r="G19" s="19">
        <f>SUM(RI!$E19:$F19)</f>
        <v>32</v>
      </c>
      <c r="H19" s="19">
        <v>13</v>
      </c>
      <c r="I19" s="19">
        <v>15</v>
      </c>
      <c r="J19" s="19">
        <v>10</v>
      </c>
      <c r="K19" s="19">
        <v>17</v>
      </c>
      <c r="L19" s="19">
        <f>SUM(RI!$H19:$K19)</f>
        <v>55</v>
      </c>
      <c r="M19" s="19">
        <v>16</v>
      </c>
      <c r="N19" s="19">
        <v>12</v>
      </c>
      <c r="O19" s="19">
        <v>17</v>
      </c>
      <c r="P19" s="19">
        <v>11</v>
      </c>
      <c r="Q19" s="19">
        <f>SUM(RI!$M19:$P19)</f>
        <v>56</v>
      </c>
      <c r="R19" s="19">
        <v>19</v>
      </c>
      <c r="S19" s="19">
        <v>18</v>
      </c>
      <c r="T19" s="19">
        <v>18</v>
      </c>
      <c r="U19" s="19">
        <v>20</v>
      </c>
      <c r="V19" s="19">
        <f>SUM(RI!$R19:$U19)</f>
        <v>75</v>
      </c>
      <c r="W19" s="19">
        <v>15</v>
      </c>
      <c r="X19" s="19">
        <v>14</v>
      </c>
      <c r="Y19" s="19">
        <v>12</v>
      </c>
      <c r="Z19" s="19">
        <v>17</v>
      </c>
      <c r="AA19" s="19">
        <f>SUM(RI!$W19:$Z19)</f>
        <v>58</v>
      </c>
      <c r="AB19" s="19">
        <v>13</v>
      </c>
      <c r="AC19" s="19">
        <v>20</v>
      </c>
      <c r="AD19" s="19">
        <v>12</v>
      </c>
      <c r="AE19" s="19">
        <v>14</v>
      </c>
      <c r="AF19" s="19">
        <f>SUM(RI!$AB19:$AE19)</f>
        <v>59</v>
      </c>
      <c r="AG19" s="19">
        <v>13</v>
      </c>
      <c r="AH19" s="19">
        <v>12</v>
      </c>
      <c r="AI19" s="19">
        <f>SUM(RI!$AG19:$AH19)</f>
        <v>25</v>
      </c>
      <c r="AJ19" s="19">
        <f>SUM(RI!$E19:$AH19)</f>
        <v>695</v>
      </c>
      <c r="AK19" s="19">
        <v>765</v>
      </c>
    </row>
    <row r="20" spans="3:37" ht="15.6" x14ac:dyDescent="0.3">
      <c r="C20" s="20" t="s">
        <v>127</v>
      </c>
      <c r="D20" s="33" t="s">
        <v>9</v>
      </c>
      <c r="E20" s="17">
        <v>12</v>
      </c>
      <c r="F20" s="19">
        <v>18</v>
      </c>
      <c r="G20" s="19">
        <f>SUM(RI!$E20:$F20)</f>
        <v>30</v>
      </c>
      <c r="H20" s="19">
        <v>19</v>
      </c>
      <c r="I20" s="19">
        <v>11</v>
      </c>
      <c r="J20" s="19">
        <v>11</v>
      </c>
      <c r="K20" s="19">
        <v>15</v>
      </c>
      <c r="L20" s="19">
        <f>SUM(RI!$H20:$K20)</f>
        <v>56</v>
      </c>
      <c r="M20" s="19">
        <v>15</v>
      </c>
      <c r="N20" s="19">
        <v>18</v>
      </c>
      <c r="O20" s="19">
        <v>20</v>
      </c>
      <c r="P20" s="19">
        <v>15</v>
      </c>
      <c r="Q20" s="19">
        <f>SUM(RI!$M20:$P20)</f>
        <v>68</v>
      </c>
      <c r="R20" s="19">
        <v>13</v>
      </c>
      <c r="S20" s="19">
        <v>20</v>
      </c>
      <c r="T20" s="19">
        <v>15</v>
      </c>
      <c r="U20" s="19">
        <v>12</v>
      </c>
      <c r="V20" s="19">
        <f>SUM(RI!$R20:$U20)</f>
        <v>60</v>
      </c>
      <c r="W20" s="19">
        <v>11</v>
      </c>
      <c r="X20" s="19">
        <v>19</v>
      </c>
      <c r="Y20" s="19">
        <v>14</v>
      </c>
      <c r="Z20" s="19">
        <v>11</v>
      </c>
      <c r="AA20" s="19">
        <f>SUM(RI!$W20:$Z20)</f>
        <v>55</v>
      </c>
      <c r="AB20" s="19">
        <v>10</v>
      </c>
      <c r="AC20" s="19">
        <v>19</v>
      </c>
      <c r="AD20" s="19">
        <v>14</v>
      </c>
      <c r="AE20" s="19">
        <v>19</v>
      </c>
      <c r="AF20" s="19">
        <f>SUM(RI!$AB20:$AE20)</f>
        <v>62</v>
      </c>
      <c r="AG20" s="19">
        <v>19</v>
      </c>
      <c r="AH20" s="19">
        <v>17</v>
      </c>
      <c r="AI20" s="19">
        <f>SUM(RI!$AG20:$AH20)</f>
        <v>36</v>
      </c>
      <c r="AJ20" s="19">
        <f>SUM(RI!$E20:$AH20)</f>
        <v>698</v>
      </c>
      <c r="AK20" s="19">
        <v>792</v>
      </c>
    </row>
    <row r="21" spans="3:37" ht="15.6" x14ac:dyDescent="0.3">
      <c r="C21" s="16" t="s">
        <v>128</v>
      </c>
      <c r="D21" s="33" t="s">
        <v>10</v>
      </c>
      <c r="E21" s="17">
        <v>10</v>
      </c>
      <c r="F21" s="19">
        <v>15</v>
      </c>
      <c r="G21" s="19">
        <f>SUM(RI!$E21:$F21)</f>
        <v>25</v>
      </c>
      <c r="H21" s="19">
        <v>19</v>
      </c>
      <c r="I21" s="19">
        <v>14</v>
      </c>
      <c r="J21" s="19">
        <v>16</v>
      </c>
      <c r="K21" s="19">
        <v>14</v>
      </c>
      <c r="L21" s="19">
        <f>SUM(RI!$H21:$K21)</f>
        <v>63</v>
      </c>
      <c r="M21" s="19">
        <v>14</v>
      </c>
      <c r="N21" s="19">
        <v>12</v>
      </c>
      <c r="O21" s="19">
        <v>20</v>
      </c>
      <c r="P21" s="19">
        <v>20</v>
      </c>
      <c r="Q21" s="19">
        <f>SUM(RI!$M21:$P21)</f>
        <v>66</v>
      </c>
      <c r="R21" s="19">
        <v>12</v>
      </c>
      <c r="S21" s="19">
        <v>13</v>
      </c>
      <c r="T21" s="19">
        <v>13</v>
      </c>
      <c r="U21" s="19">
        <v>11</v>
      </c>
      <c r="V21" s="19">
        <f>SUM(RI!$R21:$U21)</f>
        <v>49</v>
      </c>
      <c r="W21" s="19">
        <v>17</v>
      </c>
      <c r="X21" s="19">
        <v>20</v>
      </c>
      <c r="Y21" s="19">
        <v>14</v>
      </c>
      <c r="Z21" s="19">
        <v>14</v>
      </c>
      <c r="AA21" s="19">
        <f>SUM(RI!$W21:$Z21)</f>
        <v>65</v>
      </c>
      <c r="AB21" s="19">
        <v>14</v>
      </c>
      <c r="AC21" s="19">
        <v>19</v>
      </c>
      <c r="AD21" s="19">
        <v>20</v>
      </c>
      <c r="AE21" s="19">
        <v>15</v>
      </c>
      <c r="AF21" s="19">
        <f>SUM(RI!$AB21:$AE21)</f>
        <v>68</v>
      </c>
      <c r="AG21" s="19">
        <v>10</v>
      </c>
      <c r="AH21" s="19">
        <v>10</v>
      </c>
      <c r="AI21" s="19">
        <f>SUM(RI!$AG21:$AH21)</f>
        <v>20</v>
      </c>
      <c r="AJ21" s="19">
        <f>SUM(RI!$E21:$AH21)</f>
        <v>692</v>
      </c>
      <c r="AK21" s="19">
        <v>614</v>
      </c>
    </row>
    <row r="22" spans="3:37" ht="15.6" x14ac:dyDescent="0.3">
      <c r="C22" s="20" t="s">
        <v>129</v>
      </c>
      <c r="D22" s="34" t="s">
        <v>11</v>
      </c>
      <c r="E22" s="17">
        <v>15</v>
      </c>
      <c r="F22" s="19">
        <v>10</v>
      </c>
      <c r="G22" s="19">
        <f>SUM(RI!$E22:$F22)</f>
        <v>25</v>
      </c>
      <c r="H22" s="19">
        <v>18</v>
      </c>
      <c r="I22" s="19">
        <v>17</v>
      </c>
      <c r="J22" s="19">
        <v>12</v>
      </c>
      <c r="K22" s="19">
        <v>10</v>
      </c>
      <c r="L22" s="19">
        <f>SUM(RI!$H22:$K22)</f>
        <v>57</v>
      </c>
      <c r="M22" s="19">
        <v>18</v>
      </c>
      <c r="N22" s="19">
        <v>16</v>
      </c>
      <c r="O22" s="19">
        <v>20</v>
      </c>
      <c r="P22" s="19">
        <v>10</v>
      </c>
      <c r="Q22" s="19">
        <f>SUM(RI!$M22:$P22)</f>
        <v>64</v>
      </c>
      <c r="R22" s="19">
        <v>10</v>
      </c>
      <c r="S22" s="19">
        <v>15</v>
      </c>
      <c r="T22" s="19">
        <v>18</v>
      </c>
      <c r="U22" s="19">
        <v>18</v>
      </c>
      <c r="V22" s="19">
        <f>SUM(RI!$R22:$U22)</f>
        <v>61</v>
      </c>
      <c r="W22" s="19">
        <v>11</v>
      </c>
      <c r="X22" s="19">
        <v>16</v>
      </c>
      <c r="Y22" s="19">
        <v>12</v>
      </c>
      <c r="Z22" s="19">
        <v>18</v>
      </c>
      <c r="AA22" s="19">
        <f>SUM(RI!$W22:$Z22)</f>
        <v>57</v>
      </c>
      <c r="AB22" s="19">
        <v>16</v>
      </c>
      <c r="AC22" s="19">
        <v>11</v>
      </c>
      <c r="AD22" s="19">
        <v>10</v>
      </c>
      <c r="AE22" s="19">
        <v>17</v>
      </c>
      <c r="AF22" s="19">
        <f>SUM(RI!$AB22:$AE22)</f>
        <v>54</v>
      </c>
      <c r="AG22" s="19">
        <v>15</v>
      </c>
      <c r="AH22" s="19">
        <v>20</v>
      </c>
      <c r="AI22" s="19">
        <f>SUM(RI!$AG22:$AH22)</f>
        <v>35</v>
      </c>
      <c r="AJ22" s="19">
        <f>SUM(RI!$E22:$AH22)</f>
        <v>671</v>
      </c>
      <c r="AK22" s="19">
        <v>618</v>
      </c>
    </row>
    <row r="23" spans="3:37" ht="15.6" x14ac:dyDescent="0.3">
      <c r="C23" s="16" t="s">
        <v>124</v>
      </c>
      <c r="D23" s="33" t="s">
        <v>3</v>
      </c>
      <c r="E23" s="17">
        <v>13</v>
      </c>
      <c r="F23" s="19">
        <v>13</v>
      </c>
      <c r="G23" s="19">
        <f>SUM(RI!$E23:$F23)</f>
        <v>26</v>
      </c>
      <c r="H23" s="19">
        <v>11</v>
      </c>
      <c r="I23" s="19">
        <v>20</v>
      </c>
      <c r="J23" s="19">
        <v>14</v>
      </c>
      <c r="K23" s="19">
        <v>19</v>
      </c>
      <c r="L23" s="19">
        <f>SUM(RI!$H23:$K23)</f>
        <v>64</v>
      </c>
      <c r="M23" s="19">
        <v>17</v>
      </c>
      <c r="N23" s="19">
        <v>17</v>
      </c>
      <c r="O23" s="19">
        <v>17</v>
      </c>
      <c r="P23" s="19">
        <v>11</v>
      </c>
      <c r="Q23" s="19">
        <f>SUM(RI!$M23:$P23)</f>
        <v>62</v>
      </c>
      <c r="R23" s="19">
        <v>13</v>
      </c>
      <c r="S23" s="19">
        <v>12</v>
      </c>
      <c r="T23" s="19">
        <v>16</v>
      </c>
      <c r="U23" s="19">
        <v>17</v>
      </c>
      <c r="V23" s="19">
        <f>SUM(RI!$R23:$U23)</f>
        <v>58</v>
      </c>
      <c r="W23" s="19">
        <v>19</v>
      </c>
      <c r="X23" s="19">
        <v>12</v>
      </c>
      <c r="Y23" s="19">
        <v>15</v>
      </c>
      <c r="Z23" s="19">
        <v>20</v>
      </c>
      <c r="AA23" s="19">
        <f>SUM(RI!$W23:$Z23)</f>
        <v>66</v>
      </c>
      <c r="AB23" s="19">
        <v>13</v>
      </c>
      <c r="AC23" s="19">
        <v>11</v>
      </c>
      <c r="AD23" s="19">
        <v>20</v>
      </c>
      <c r="AE23" s="19">
        <v>19</v>
      </c>
      <c r="AF23" s="19">
        <f>SUM(RI!$AB23:$AE23)</f>
        <v>63</v>
      </c>
      <c r="AG23" s="19">
        <v>10</v>
      </c>
      <c r="AH23" s="19">
        <v>18</v>
      </c>
      <c r="AI23" s="19">
        <f>SUM(RI!$AG23:$AH23)</f>
        <v>28</v>
      </c>
      <c r="AJ23" s="19">
        <f>SUM(RI!$E23:$AH23)</f>
        <v>706</v>
      </c>
      <c r="AK23" s="19">
        <v>640</v>
      </c>
    </row>
    <row r="24" spans="3:37" ht="15.6" x14ac:dyDescent="0.3">
      <c r="C24" s="20" t="s">
        <v>125</v>
      </c>
      <c r="D24" s="34" t="s">
        <v>12</v>
      </c>
      <c r="E24" s="17">
        <v>13</v>
      </c>
      <c r="F24" s="19">
        <v>10</v>
      </c>
      <c r="G24" s="19">
        <f>SUM(RI!$E24:$F24)</f>
        <v>23</v>
      </c>
      <c r="H24" s="19">
        <v>16</v>
      </c>
      <c r="I24" s="19">
        <v>10</v>
      </c>
      <c r="J24" s="19">
        <v>15</v>
      </c>
      <c r="K24" s="19">
        <v>19</v>
      </c>
      <c r="L24" s="19">
        <f>SUM(RI!$H24:$K24)</f>
        <v>60</v>
      </c>
      <c r="M24" s="19">
        <v>12</v>
      </c>
      <c r="N24" s="19">
        <v>11</v>
      </c>
      <c r="O24" s="19">
        <v>17</v>
      </c>
      <c r="P24" s="19">
        <v>12</v>
      </c>
      <c r="Q24" s="19">
        <f>SUM(RI!$M24:$P24)</f>
        <v>52</v>
      </c>
      <c r="R24" s="19">
        <v>10</v>
      </c>
      <c r="S24" s="19">
        <v>14</v>
      </c>
      <c r="T24" s="19">
        <v>15</v>
      </c>
      <c r="U24" s="19">
        <v>13</v>
      </c>
      <c r="V24" s="19">
        <f>SUM(RI!$R24:$U24)</f>
        <v>52</v>
      </c>
      <c r="W24" s="19">
        <v>13</v>
      </c>
      <c r="X24" s="19">
        <v>10</v>
      </c>
      <c r="Y24" s="19">
        <v>18</v>
      </c>
      <c r="Z24" s="19">
        <v>10</v>
      </c>
      <c r="AA24" s="19">
        <f>SUM(RI!$W24:$Z24)</f>
        <v>51</v>
      </c>
      <c r="AB24" s="19">
        <v>11</v>
      </c>
      <c r="AC24" s="19">
        <v>16</v>
      </c>
      <c r="AD24" s="19">
        <v>18</v>
      </c>
      <c r="AE24" s="19">
        <v>15</v>
      </c>
      <c r="AF24" s="19">
        <f>SUM(RI!$AB24:$AE24)</f>
        <v>60</v>
      </c>
      <c r="AG24" s="19">
        <v>14</v>
      </c>
      <c r="AH24" s="19">
        <v>11</v>
      </c>
      <c r="AI24" s="19">
        <f>SUM(RI!$AG24:$AH24)</f>
        <v>25</v>
      </c>
      <c r="AJ24" s="19">
        <f>SUM(RI!$E24:$AH24)</f>
        <v>621</v>
      </c>
      <c r="AK24" s="19">
        <v>777</v>
      </c>
    </row>
    <row r="25" spans="3:37" ht="15.6" x14ac:dyDescent="0.3">
      <c r="C25" s="16" t="s">
        <v>126</v>
      </c>
      <c r="D25" s="33" t="s">
        <v>13</v>
      </c>
      <c r="E25" s="17">
        <v>14</v>
      </c>
      <c r="F25" s="19">
        <v>18</v>
      </c>
      <c r="G25" s="19">
        <f>SUM(RI!$E25:$F25)</f>
        <v>32</v>
      </c>
      <c r="H25" s="19">
        <v>10</v>
      </c>
      <c r="I25" s="19">
        <v>16</v>
      </c>
      <c r="J25" s="19">
        <v>14</v>
      </c>
      <c r="K25" s="19">
        <v>16</v>
      </c>
      <c r="L25" s="19">
        <f>SUM(RI!$H25:$K25)</f>
        <v>56</v>
      </c>
      <c r="M25" s="19">
        <v>14</v>
      </c>
      <c r="N25" s="19">
        <v>10</v>
      </c>
      <c r="O25" s="19">
        <v>15</v>
      </c>
      <c r="P25" s="19">
        <v>15</v>
      </c>
      <c r="Q25" s="19">
        <f>SUM(RI!$M25:$P25)</f>
        <v>54</v>
      </c>
      <c r="R25" s="19">
        <v>18</v>
      </c>
      <c r="S25" s="19">
        <v>16</v>
      </c>
      <c r="T25" s="19">
        <v>14</v>
      </c>
      <c r="U25" s="19">
        <v>13</v>
      </c>
      <c r="V25" s="19">
        <f>SUM(RI!$R25:$U25)</f>
        <v>61</v>
      </c>
      <c r="W25" s="19">
        <v>16</v>
      </c>
      <c r="X25" s="19">
        <v>18</v>
      </c>
      <c r="Y25" s="19">
        <v>16</v>
      </c>
      <c r="Z25" s="19">
        <v>12</v>
      </c>
      <c r="AA25" s="19">
        <f>SUM(RI!$W25:$Z25)</f>
        <v>62</v>
      </c>
      <c r="AB25" s="19">
        <v>14</v>
      </c>
      <c r="AC25" s="19">
        <v>13</v>
      </c>
      <c r="AD25" s="19">
        <v>19</v>
      </c>
      <c r="AE25" s="19">
        <v>14</v>
      </c>
      <c r="AF25" s="19">
        <f>SUM(RI!$AB25:$AE25)</f>
        <v>60</v>
      </c>
      <c r="AG25" s="19">
        <v>13</v>
      </c>
      <c r="AH25" s="19">
        <v>19</v>
      </c>
      <c r="AI25" s="19">
        <f>SUM(RI!$AG25:$AH25)</f>
        <v>32</v>
      </c>
      <c r="AJ25" s="19">
        <f>SUM(RI!$E25:$AH25)</f>
        <v>682</v>
      </c>
      <c r="AK25" s="19">
        <v>854</v>
      </c>
    </row>
    <row r="26" spans="3:37" ht="15.6" x14ac:dyDescent="0.3">
      <c r="C26" s="20" t="s">
        <v>127</v>
      </c>
      <c r="D26" s="34" t="s">
        <v>14</v>
      </c>
      <c r="E26" s="17">
        <v>13</v>
      </c>
      <c r="F26" s="19">
        <v>11</v>
      </c>
      <c r="G26" s="19">
        <f>SUM(RI!$E26:$F26)</f>
        <v>24</v>
      </c>
      <c r="H26" s="19">
        <v>19</v>
      </c>
      <c r="I26" s="19">
        <v>20</v>
      </c>
      <c r="J26" s="19">
        <v>18</v>
      </c>
      <c r="K26" s="19">
        <v>14</v>
      </c>
      <c r="L26" s="19">
        <f>SUM(RI!$H26:$K26)</f>
        <v>71</v>
      </c>
      <c r="M26" s="19">
        <v>20</v>
      </c>
      <c r="N26" s="19">
        <v>14</v>
      </c>
      <c r="O26" s="19">
        <v>16</v>
      </c>
      <c r="P26" s="19">
        <v>11</v>
      </c>
      <c r="Q26" s="19">
        <f>SUM(RI!$M26:$P26)</f>
        <v>61</v>
      </c>
      <c r="R26" s="19">
        <v>18</v>
      </c>
      <c r="S26" s="19">
        <v>20</v>
      </c>
      <c r="T26" s="19">
        <v>18</v>
      </c>
      <c r="U26" s="19">
        <v>16</v>
      </c>
      <c r="V26" s="19">
        <f>SUM(RI!$R26:$U26)</f>
        <v>72</v>
      </c>
      <c r="W26" s="19">
        <v>14</v>
      </c>
      <c r="X26" s="19">
        <v>20</v>
      </c>
      <c r="Y26" s="19">
        <v>15</v>
      </c>
      <c r="Z26" s="19">
        <v>13</v>
      </c>
      <c r="AA26" s="19">
        <f>SUM(RI!$W26:$Z26)</f>
        <v>62</v>
      </c>
      <c r="AB26" s="19">
        <v>12</v>
      </c>
      <c r="AC26" s="19">
        <v>20</v>
      </c>
      <c r="AD26" s="19">
        <v>10</v>
      </c>
      <c r="AE26" s="19">
        <v>10</v>
      </c>
      <c r="AF26" s="19">
        <f>SUM(RI!$AB26:$AE26)</f>
        <v>52</v>
      </c>
      <c r="AG26" s="19">
        <v>13</v>
      </c>
      <c r="AH26" s="19">
        <v>15</v>
      </c>
      <c r="AI26" s="19">
        <f>SUM(RI!$AG26:$AH26)</f>
        <v>28</v>
      </c>
      <c r="AJ26" s="19">
        <f>SUM(RI!$E26:$AH26)</f>
        <v>712</v>
      </c>
      <c r="AK26" s="19">
        <v>714</v>
      </c>
    </row>
    <row r="27" spans="3:37" ht="15.6" x14ac:dyDescent="0.3">
      <c r="C27" s="16" t="s">
        <v>128</v>
      </c>
      <c r="D27" s="33" t="s">
        <v>15</v>
      </c>
      <c r="E27" s="17">
        <v>12</v>
      </c>
      <c r="F27" s="19">
        <v>20</v>
      </c>
      <c r="G27" s="19">
        <f>SUM(RI!$E27:$F27)</f>
        <v>32</v>
      </c>
      <c r="H27" s="19">
        <v>17</v>
      </c>
      <c r="I27" s="19">
        <v>14</v>
      </c>
      <c r="J27" s="19">
        <v>12</v>
      </c>
      <c r="K27" s="19">
        <v>12</v>
      </c>
      <c r="L27" s="19">
        <f>SUM(RI!$H27:$K27)</f>
        <v>55</v>
      </c>
      <c r="M27" s="19">
        <v>14</v>
      </c>
      <c r="N27" s="19">
        <v>11</v>
      </c>
      <c r="O27" s="19">
        <v>10</v>
      </c>
      <c r="P27" s="19">
        <v>19</v>
      </c>
      <c r="Q27" s="19">
        <f>SUM(RI!$M27:$P27)</f>
        <v>54</v>
      </c>
      <c r="R27" s="19">
        <v>11</v>
      </c>
      <c r="S27" s="19">
        <v>16</v>
      </c>
      <c r="T27" s="19">
        <v>18</v>
      </c>
      <c r="U27" s="19">
        <v>18</v>
      </c>
      <c r="V27" s="19">
        <f>SUM(RI!$R27:$U27)</f>
        <v>63</v>
      </c>
      <c r="W27" s="19">
        <v>19</v>
      </c>
      <c r="X27" s="19">
        <v>19</v>
      </c>
      <c r="Y27" s="19">
        <v>11</v>
      </c>
      <c r="Z27" s="19">
        <v>15</v>
      </c>
      <c r="AA27" s="19">
        <f>SUM(RI!$W27:$Z27)</f>
        <v>64</v>
      </c>
      <c r="AB27" s="19">
        <v>15</v>
      </c>
      <c r="AC27" s="19">
        <v>11</v>
      </c>
      <c r="AD27" s="19">
        <v>11</v>
      </c>
      <c r="AE27" s="19">
        <v>20</v>
      </c>
      <c r="AF27" s="19">
        <f>SUM(RI!$AB27:$AE27)</f>
        <v>57</v>
      </c>
      <c r="AG27" s="19">
        <v>16</v>
      </c>
      <c r="AH27" s="19">
        <v>11</v>
      </c>
      <c r="AI27" s="19">
        <f>SUM(RI!$AG27:$AH27)</f>
        <v>27</v>
      </c>
      <c r="AJ27" s="19">
        <f>SUM(RI!$E27:$AH27)</f>
        <v>677</v>
      </c>
      <c r="AK27" s="19">
        <v>702</v>
      </c>
    </row>
    <row r="28" spans="3:37" ht="15.6" x14ac:dyDescent="0.3">
      <c r="C28" s="20" t="s">
        <v>129</v>
      </c>
      <c r="D28" s="34" t="s">
        <v>16</v>
      </c>
      <c r="E28" s="17">
        <v>12</v>
      </c>
      <c r="F28" s="19">
        <v>13</v>
      </c>
      <c r="G28" s="19">
        <f>SUM(RI!$E28:$F28)</f>
        <v>25</v>
      </c>
      <c r="H28" s="19">
        <v>15</v>
      </c>
      <c r="I28" s="19">
        <v>12</v>
      </c>
      <c r="J28" s="19">
        <v>12</v>
      </c>
      <c r="K28" s="19">
        <v>20</v>
      </c>
      <c r="L28" s="19">
        <f>SUM(RI!$H28:$K28)</f>
        <v>59</v>
      </c>
      <c r="M28" s="19">
        <v>17</v>
      </c>
      <c r="N28" s="19">
        <v>10</v>
      </c>
      <c r="O28" s="19">
        <v>11</v>
      </c>
      <c r="P28" s="19">
        <v>10</v>
      </c>
      <c r="Q28" s="19">
        <f>SUM(RI!$M28:$P28)</f>
        <v>48</v>
      </c>
      <c r="R28" s="19">
        <v>10</v>
      </c>
      <c r="S28" s="19">
        <v>18</v>
      </c>
      <c r="T28" s="19">
        <v>13</v>
      </c>
      <c r="U28" s="19">
        <v>20</v>
      </c>
      <c r="V28" s="19">
        <f>SUM(RI!$R28:$U28)</f>
        <v>61</v>
      </c>
      <c r="W28" s="19">
        <v>17</v>
      </c>
      <c r="X28" s="19">
        <v>19</v>
      </c>
      <c r="Y28" s="19">
        <v>15</v>
      </c>
      <c r="Z28" s="19">
        <v>10</v>
      </c>
      <c r="AA28" s="19">
        <f>SUM(RI!$W28:$Z28)</f>
        <v>61</v>
      </c>
      <c r="AB28" s="19">
        <v>17</v>
      </c>
      <c r="AC28" s="19">
        <v>10</v>
      </c>
      <c r="AD28" s="19">
        <v>12</v>
      </c>
      <c r="AE28" s="19">
        <v>12</v>
      </c>
      <c r="AF28" s="19">
        <f>SUM(RI!$AB28:$AE28)</f>
        <v>51</v>
      </c>
      <c r="AG28" s="19">
        <v>18</v>
      </c>
      <c r="AH28" s="19">
        <v>18</v>
      </c>
      <c r="AI28" s="19">
        <f>SUM(RI!$AG28:$AH28)</f>
        <v>36</v>
      </c>
      <c r="AJ28" s="19">
        <f>SUM(RI!$E28:$AH28)</f>
        <v>646</v>
      </c>
      <c r="AK28" s="19">
        <v>383</v>
      </c>
    </row>
    <row r="29" spans="3:37" ht="15.6" x14ac:dyDescent="0.3">
      <c r="C29" s="16" t="s">
        <v>124</v>
      </c>
      <c r="D29" s="33" t="s">
        <v>17</v>
      </c>
      <c r="E29" s="17">
        <v>19</v>
      </c>
      <c r="F29" s="19">
        <v>11</v>
      </c>
      <c r="G29" s="19">
        <f>SUM(RI!$E29:$F29)</f>
        <v>30</v>
      </c>
      <c r="H29" s="19">
        <v>12</v>
      </c>
      <c r="I29" s="19">
        <v>13</v>
      </c>
      <c r="J29" s="19">
        <v>11</v>
      </c>
      <c r="K29" s="19">
        <v>14</v>
      </c>
      <c r="L29" s="19">
        <f>SUM(RI!$H29:$K29)</f>
        <v>50</v>
      </c>
      <c r="M29" s="19">
        <v>15</v>
      </c>
      <c r="N29" s="19">
        <v>16</v>
      </c>
      <c r="O29" s="19">
        <v>14</v>
      </c>
      <c r="P29" s="19">
        <v>20</v>
      </c>
      <c r="Q29" s="19">
        <f>SUM(RI!$M29:$P29)</f>
        <v>65</v>
      </c>
      <c r="R29" s="19">
        <v>10</v>
      </c>
      <c r="S29" s="19">
        <v>15</v>
      </c>
      <c r="T29" s="19">
        <v>15</v>
      </c>
      <c r="U29" s="19">
        <v>13</v>
      </c>
      <c r="V29" s="19">
        <f>SUM(RI!$R29:$U29)</f>
        <v>53</v>
      </c>
      <c r="W29" s="19">
        <v>18</v>
      </c>
      <c r="X29" s="19">
        <v>16</v>
      </c>
      <c r="Y29" s="19">
        <v>14</v>
      </c>
      <c r="Z29" s="19">
        <v>18</v>
      </c>
      <c r="AA29" s="19">
        <f>SUM(RI!$W29:$Z29)</f>
        <v>66</v>
      </c>
      <c r="AB29" s="19">
        <v>12</v>
      </c>
      <c r="AC29" s="19">
        <v>14</v>
      </c>
      <c r="AD29" s="19">
        <v>19</v>
      </c>
      <c r="AE29" s="19">
        <v>20</v>
      </c>
      <c r="AF29" s="19">
        <f>SUM(RI!$AB29:$AE29)</f>
        <v>65</v>
      </c>
      <c r="AG29" s="19">
        <v>12</v>
      </c>
      <c r="AH29" s="19">
        <v>11</v>
      </c>
      <c r="AI29" s="19">
        <f>SUM(RI!$AG29:$AH29)</f>
        <v>23</v>
      </c>
      <c r="AJ29" s="19">
        <f>SUM(RI!$E29:$AH29)</f>
        <v>681</v>
      </c>
      <c r="AK29" s="19">
        <v>472</v>
      </c>
    </row>
    <row r="30" spans="3:37" ht="15.6" x14ac:dyDescent="0.3">
      <c r="C30" s="20" t="s">
        <v>125</v>
      </c>
      <c r="D30" s="34" t="s">
        <v>18</v>
      </c>
      <c r="E30" s="17">
        <v>16</v>
      </c>
      <c r="F30" s="19">
        <v>19</v>
      </c>
      <c r="G30" s="19">
        <f>SUM(RI!$E30:$F30)</f>
        <v>35</v>
      </c>
      <c r="H30" s="19">
        <v>18</v>
      </c>
      <c r="I30" s="19">
        <v>12</v>
      </c>
      <c r="J30" s="19">
        <v>12</v>
      </c>
      <c r="K30" s="19">
        <v>19</v>
      </c>
      <c r="L30" s="19">
        <f>SUM(RI!$H30:$K30)</f>
        <v>61</v>
      </c>
      <c r="M30" s="19">
        <v>15</v>
      </c>
      <c r="N30" s="19">
        <v>18</v>
      </c>
      <c r="O30" s="19">
        <v>10</v>
      </c>
      <c r="P30" s="19">
        <v>15</v>
      </c>
      <c r="Q30" s="19">
        <f>SUM(RI!$M30:$P30)</f>
        <v>58</v>
      </c>
      <c r="R30" s="19">
        <v>14</v>
      </c>
      <c r="S30" s="19">
        <v>13</v>
      </c>
      <c r="T30" s="19">
        <v>14</v>
      </c>
      <c r="U30" s="19">
        <v>16</v>
      </c>
      <c r="V30" s="19">
        <f>SUM(RI!$R30:$U30)</f>
        <v>57</v>
      </c>
      <c r="W30" s="19">
        <v>13</v>
      </c>
      <c r="X30" s="19">
        <v>20</v>
      </c>
      <c r="Y30" s="19">
        <v>12</v>
      </c>
      <c r="Z30" s="19">
        <v>17</v>
      </c>
      <c r="AA30" s="19">
        <f>SUM(RI!$W30:$Z30)</f>
        <v>62</v>
      </c>
      <c r="AB30" s="19">
        <v>17</v>
      </c>
      <c r="AC30" s="19">
        <v>11</v>
      </c>
      <c r="AD30" s="19">
        <v>18</v>
      </c>
      <c r="AE30" s="19">
        <v>16</v>
      </c>
      <c r="AF30" s="19">
        <f>SUM(RI!$AB30:$AE30)</f>
        <v>62</v>
      </c>
      <c r="AG30" s="19">
        <v>19</v>
      </c>
      <c r="AH30" s="19">
        <v>19</v>
      </c>
      <c r="AI30" s="19">
        <f>SUM(RI!$AG30:$AH30)</f>
        <v>38</v>
      </c>
      <c r="AJ30" s="19">
        <f>SUM(RI!$E30:$AH30)</f>
        <v>708</v>
      </c>
      <c r="AK30" s="19">
        <v>836</v>
      </c>
    </row>
    <row r="35" spans="4:18" ht="14.4" customHeight="1" x14ac:dyDescent="0.3">
      <c r="D35" s="77" t="s">
        <v>86</v>
      </c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</row>
    <row r="36" spans="4:18" ht="14.4" customHeight="1" x14ac:dyDescent="0.3"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</row>
    <row r="37" spans="4:18" x14ac:dyDescent="0.3">
      <c r="D37" s="25" t="s">
        <v>79</v>
      </c>
      <c r="E37" s="26" t="s">
        <v>121</v>
      </c>
      <c r="F37" s="27" t="s">
        <v>107</v>
      </c>
      <c r="G37" s="28" t="s">
        <v>110</v>
      </c>
      <c r="H37" s="28" t="s">
        <v>116</v>
      </c>
      <c r="I37" s="28" t="s">
        <v>117</v>
      </c>
      <c r="J37" s="28" t="s">
        <v>118</v>
      </c>
      <c r="K37" s="27" t="s">
        <v>130</v>
      </c>
      <c r="L37" s="27" t="s">
        <v>131</v>
      </c>
      <c r="M37" s="27" t="s">
        <v>88</v>
      </c>
      <c r="N37" s="27" t="s">
        <v>85</v>
      </c>
      <c r="O37" s="29" t="s">
        <v>89</v>
      </c>
      <c r="P37" s="27" t="s">
        <v>99</v>
      </c>
      <c r="Q37" s="27" t="s">
        <v>78</v>
      </c>
      <c r="R37" s="27" t="s">
        <v>91</v>
      </c>
    </row>
    <row r="38" spans="4:18" ht="15.6" x14ac:dyDescent="0.3">
      <c r="D38" s="16" t="s">
        <v>124</v>
      </c>
      <c r="E38" s="34">
        <f t="shared" ref="E38:E43" si="0">COUNTIFS(C11:C30,D38)</f>
        <v>4</v>
      </c>
      <c r="F38" s="17">
        <f>(SUMIFS(RI!$G$11:$G$30,RI!$C$11:$C$30,Table27[[#This Row],[Project Name]]))*(SUMIFS(RI!$AK$11:$AK$30,RI!$C$11:$C$30,Table27[[#This Row],[Project Name]]))</f>
        <v>312064</v>
      </c>
      <c r="G38" s="19">
        <f>(SUMIFS(RI!$L$11:$L$30,RI!$C$11:$C$30,Table27[[#This Row],[Project Name]]))*(SUMIFS(RI!$AK$11:$AK$30,RI!$C$11:$C$30,Table27[[#This Row],[Project Name]]))</f>
        <v>553426</v>
      </c>
      <c r="H38" s="19">
        <f>(SUMIFS(RI!$Q$11:$Q$30,RI!$C$11:$C$30,Table27[[#This Row],[Project Name]]))*(SUMIFS(RI!$AK$11:$AK$30,RI!$C$11:$C$30,Table27[[#This Row],[Project Name]]))</f>
        <v>619252</v>
      </c>
      <c r="I38" s="19">
        <f>(SUMIFS(RI!$V$11:$V$30,RI!$C$11:$C$30,Table27[[#This Row],[Project Name]]))*(SUMIFS(RI!$AK$11:$AK$30,RI!$C$11:$C$30,Table27[[#This Row],[Project Name]]))</f>
        <v>568054</v>
      </c>
      <c r="J38" s="19">
        <f>(SUMIFS(RI!$AA$11:$AA$30,RI!$C$11:$C$30,Table27[[#This Row],[Project Name]]))*(SUMIFS(RI!$AK$11:$AK$30,RI!$C$11:$C$30,Table27[[#This Row],[Project Name]]))</f>
        <v>621690</v>
      </c>
      <c r="K38" s="19">
        <f>(SUMIFS(RI!$AF$11:$AF$30,RI!$C$11:$C$30,Table27[[#This Row],[Project Name]]))*(SUMIFS(RI!$AK$11:$AK$30,RI!$C$11:$C$30,Table27[[#This Row],[Project Name]]))</f>
        <v>589996</v>
      </c>
      <c r="L38" s="19">
        <f>(SUMIFS(RI!$AI$11:$AI$30,RI!$C$11:$C$30,Table27[[#This Row],[Project Name]]))*(SUMIFS(RI!$AK$11:$AK$30,RI!$C$11:$C$30,Table27[[#This Row],[Project Name]]))</f>
        <v>273056</v>
      </c>
      <c r="M38" s="19">
        <v>3700000</v>
      </c>
      <c r="N38" s="19">
        <v>0</v>
      </c>
      <c r="O38" s="19">
        <f t="shared" ref="O38:O43" si="1">M38+N38</f>
        <v>3700000</v>
      </c>
      <c r="P38" s="19">
        <f>SUM(Table27[[#This Row],[Fifth  Month]:[^Eleventh Month]])</f>
        <v>3537538</v>
      </c>
      <c r="Q38" s="19">
        <f t="shared" ref="Q38:Q43" si="2">(O38-P38)</f>
        <v>162462</v>
      </c>
      <c r="R38" s="42">
        <f t="shared" ref="R38:R43" si="3">Q38/M38</f>
        <v>4.390864864864865E-2</v>
      </c>
    </row>
    <row r="39" spans="4:18" ht="15.6" x14ac:dyDescent="0.3">
      <c r="D39" s="20" t="s">
        <v>125</v>
      </c>
      <c r="E39" s="33">
        <f t="shared" si="0"/>
        <v>4</v>
      </c>
      <c r="F39" s="17">
        <f>(SUMIFS(RI!$G$11:$G$30,RI!$C$11:$C$30,Table27[[#This Row],[Project Name]]))*(SUMIFS(RI!$AK$11:$AK$30,RI!$C$11:$C$30,Table27[[#This Row],[Project Name]]))</f>
        <v>309350</v>
      </c>
      <c r="G39" s="19">
        <f>(SUMIFS(RI!$L$11:$L$30,RI!$C$11:$C$30,Table27[[#This Row],[Project Name]]))*(SUMIFS(RI!$AK$11:$AK$30,RI!$C$11:$C$30,Table27[[#This Row],[Project Name]]))</f>
        <v>618700</v>
      </c>
      <c r="H39" s="19">
        <f>(SUMIFS(RI!$Q$11:$Q$30,RI!$C$11:$C$30,Table27[[#This Row],[Project Name]]))*(SUMIFS(RI!$AK$11:$AK$30,RI!$C$11:$C$30,Table27[[#This Row],[Project Name]]))</f>
        <v>650980</v>
      </c>
      <c r="I39" s="19">
        <f>(SUMIFS(RI!$V$11:$V$30,RI!$C$11:$C$30,Table27[[#This Row],[Project Name]]))*(SUMIFS(RI!$AK$11:$AK$30,RI!$C$11:$C$30,Table27[[#This Row],[Project Name]]))</f>
        <v>610630</v>
      </c>
      <c r="J39" s="19">
        <f>(SUMIFS(RI!$AA$11:$AA$30,RI!$C$11:$C$30,Table27[[#This Row],[Project Name]]))*(SUMIFS(RI!$AK$11:$AK$30,RI!$C$11:$C$30,Table27[[#This Row],[Project Name]]))</f>
        <v>621390</v>
      </c>
      <c r="K39" s="19">
        <f>(SUMIFS(RI!$AF$11:$AF$30,RI!$C$11:$C$30,Table27[[#This Row],[Project Name]]))*(SUMIFS(RI!$AK$11:$AK$30,RI!$C$11:$C$30,Table27[[#This Row],[Project Name]]))</f>
        <v>634840</v>
      </c>
      <c r="L39" s="19">
        <f>(SUMIFS(RI!$AI$11:$AI$30,RI!$C$11:$C$30,Table27[[#This Row],[Project Name]]))*(SUMIFS(RI!$AK$11:$AK$30,RI!$C$11:$C$30,Table27[[#This Row],[Project Name]]))</f>
        <v>317420</v>
      </c>
      <c r="M39" s="19">
        <v>3700000</v>
      </c>
      <c r="N39" s="19">
        <v>0</v>
      </c>
      <c r="O39" s="19">
        <f t="shared" si="1"/>
        <v>3700000</v>
      </c>
      <c r="P39" s="19">
        <f>SUM(Table27[[#This Row],[Fifth  Month]:[^Eleventh Month]])</f>
        <v>3763310</v>
      </c>
      <c r="Q39" s="19">
        <f t="shared" si="2"/>
        <v>-63310</v>
      </c>
      <c r="R39" s="42">
        <f t="shared" si="3"/>
        <v>-1.7110810810810811E-2</v>
      </c>
    </row>
    <row r="40" spans="4:18" ht="15.6" x14ac:dyDescent="0.3">
      <c r="D40" s="16" t="s">
        <v>126</v>
      </c>
      <c r="E40" s="34">
        <f t="shared" si="0"/>
        <v>3</v>
      </c>
      <c r="F40" s="17">
        <f>(SUMIFS(RI!$G$11:$G$30,RI!$C$11:$C$30,Table27[[#This Row],[Project Name]]))*(SUMIFS(RI!$AK$11:$AK$30,RI!$C$11:$C$30,Table27[[#This Row],[Project Name]]))</f>
        <v>186484</v>
      </c>
      <c r="G40" s="19">
        <f>(SUMIFS(RI!$L$11:$L$30,RI!$C$11:$C$30,Table27[[#This Row],[Project Name]]))*(SUMIFS(RI!$AK$11:$AK$30,RI!$C$11:$C$30,Table27[[#This Row],[Project Name]]))</f>
        <v>330401</v>
      </c>
      <c r="H40" s="19">
        <f>(SUMIFS(RI!$Q$11:$Q$30,RI!$C$11:$C$30,Table27[[#This Row],[Project Name]]))*(SUMIFS(RI!$AK$11:$AK$30,RI!$C$11:$C$30,Table27[[#This Row],[Project Name]]))</f>
        <v>340536</v>
      </c>
      <c r="I40" s="19">
        <f>(SUMIFS(RI!$V$11:$V$30,RI!$C$11:$C$30,Table27[[#This Row],[Project Name]]))*(SUMIFS(RI!$AK$11:$AK$30,RI!$C$11:$C$30,Table27[[#This Row],[Project Name]]))</f>
        <v>391211</v>
      </c>
      <c r="J40" s="19">
        <f>(SUMIFS(RI!$AA$11:$AA$30,RI!$C$11:$C$30,Table27[[#This Row],[Project Name]]))*(SUMIFS(RI!$AK$11:$AK$30,RI!$C$11:$C$30,Table27[[#This Row],[Project Name]]))</f>
        <v>377022</v>
      </c>
      <c r="K40" s="19">
        <f>(SUMIFS(RI!$AF$11:$AF$30,RI!$C$11:$C$30,Table27[[#This Row],[Project Name]]))*(SUMIFS(RI!$AK$11:$AK$30,RI!$C$11:$C$30,Table27[[#This Row],[Project Name]]))</f>
        <v>387157</v>
      </c>
      <c r="L40" s="19">
        <f>(SUMIFS(RI!$AI$11:$AI$30,RI!$C$11:$C$30,Table27[[#This Row],[Project Name]]))*(SUMIFS(RI!$AK$11:$AK$30,RI!$C$11:$C$30,Table27[[#This Row],[Project Name]]))</f>
        <v>190538</v>
      </c>
      <c r="M40" s="19">
        <v>3700000</v>
      </c>
      <c r="N40" s="19">
        <v>0</v>
      </c>
      <c r="O40" s="19">
        <f t="shared" si="1"/>
        <v>3700000</v>
      </c>
      <c r="P40" s="19">
        <f>SUM(Table27[[#This Row],[Fifth  Month]:[^Eleventh Month]])</f>
        <v>2203349</v>
      </c>
      <c r="Q40" s="19">
        <f t="shared" si="2"/>
        <v>1496651</v>
      </c>
      <c r="R40" s="42">
        <f t="shared" si="3"/>
        <v>0.40450027027027025</v>
      </c>
    </row>
    <row r="41" spans="4:18" ht="15.6" x14ac:dyDescent="0.3">
      <c r="D41" s="20" t="s">
        <v>127</v>
      </c>
      <c r="E41" s="33">
        <f t="shared" si="0"/>
        <v>3</v>
      </c>
      <c r="F41" s="17">
        <f>(SUMIFS(RI!$G$11:$G$30,RI!$C$11:$C$30,Table27[[#This Row],[Project Name]]))*(SUMIFS(RI!$AK$11:$AK$30,RI!$C$11:$C$30,Table27[[#This Row],[Project Name]]))</f>
        <v>183540</v>
      </c>
      <c r="G41" s="19">
        <f>(SUMIFS(RI!$L$11:$L$30,RI!$C$11:$C$30,Table27[[#This Row],[Project Name]]))*(SUMIFS(RI!$AK$11:$AK$30,RI!$C$11:$C$30,Table27[[#This Row],[Project Name]]))</f>
        <v>363090</v>
      </c>
      <c r="H41" s="19">
        <f>(SUMIFS(RI!$Q$11:$Q$30,RI!$C$11:$C$30,Table27[[#This Row],[Project Name]]))*(SUMIFS(RI!$AK$11:$AK$30,RI!$C$11:$C$30,Table27[[#This Row],[Project Name]]))</f>
        <v>383040</v>
      </c>
      <c r="I41" s="19">
        <f>(SUMIFS(RI!$V$11:$V$30,RI!$C$11:$C$30,Table27[[#This Row],[Project Name]]))*(SUMIFS(RI!$AK$11:$AK$30,RI!$C$11:$C$30,Table27[[#This Row],[Project Name]]))</f>
        <v>399000</v>
      </c>
      <c r="J41" s="19">
        <f>(SUMIFS(RI!$AA$11:$AA$30,RI!$C$11:$C$30,Table27[[#This Row],[Project Name]]))*(SUMIFS(RI!$AK$11:$AK$30,RI!$C$11:$C$30,Table27[[#This Row],[Project Name]]))</f>
        <v>353115</v>
      </c>
      <c r="K41" s="19">
        <f>(SUMIFS(RI!$AF$11:$AF$30,RI!$C$11:$C$30,Table27[[#This Row],[Project Name]]))*(SUMIFS(RI!$AK$11:$AK$30,RI!$C$11:$C$30,Table27[[#This Row],[Project Name]]))</f>
        <v>349125</v>
      </c>
      <c r="L41" s="19">
        <f>(SUMIFS(RI!$AI$11:$AI$30,RI!$C$11:$C$30,Table27[[#This Row],[Project Name]]))*(SUMIFS(RI!$AK$11:$AK$30,RI!$C$11:$C$30,Table27[[#This Row],[Project Name]]))</f>
        <v>171570</v>
      </c>
      <c r="M41" s="19">
        <v>3700000</v>
      </c>
      <c r="N41" s="19">
        <v>0</v>
      </c>
      <c r="O41" s="19">
        <f t="shared" si="1"/>
        <v>3700000</v>
      </c>
      <c r="P41" s="19">
        <f>SUM(Table27[[#This Row],[Fifth  Month]:[^Eleventh Month]])</f>
        <v>2202480</v>
      </c>
      <c r="Q41" s="19">
        <f t="shared" si="2"/>
        <v>1497520</v>
      </c>
      <c r="R41" s="42">
        <f t="shared" si="3"/>
        <v>0.40473513513513515</v>
      </c>
    </row>
    <row r="42" spans="4:18" ht="15.6" x14ac:dyDescent="0.3">
      <c r="D42" s="16" t="s">
        <v>128</v>
      </c>
      <c r="E42" s="34">
        <f t="shared" si="0"/>
        <v>3</v>
      </c>
      <c r="F42" s="17">
        <f>(SUMIFS(RI!$G$11:$G$30,RI!$C$11:$C$30,Table27[[#This Row],[Project Name]]))*(SUMIFS(RI!$AK$11:$AK$30,RI!$C$11:$C$30,Table27[[#This Row],[Project Name]]))</f>
        <v>171444</v>
      </c>
      <c r="G42" s="19">
        <f>(SUMIFS(RI!$L$11:$L$30,RI!$C$11:$C$30,Table27[[#This Row],[Project Name]]))*(SUMIFS(RI!$AK$11:$AK$30,RI!$C$11:$C$30,Table27[[#This Row],[Project Name]]))</f>
        <v>331584</v>
      </c>
      <c r="H42" s="19">
        <f>(SUMIFS(RI!$Q$11:$Q$30,RI!$C$11:$C$30,Table27[[#This Row],[Project Name]]))*(SUMIFS(RI!$AK$11:$AK$30,RI!$C$11:$C$30,Table27[[#This Row],[Project Name]]))</f>
        <v>331584</v>
      </c>
      <c r="I42" s="19">
        <f>(SUMIFS(RI!$V$11:$V$30,RI!$C$11:$C$30,Table27[[#This Row],[Project Name]]))*(SUMIFS(RI!$AK$11:$AK$30,RI!$C$11:$C$30,Table27[[#This Row],[Project Name]]))</f>
        <v>320280</v>
      </c>
      <c r="J42" s="19">
        <f>(SUMIFS(RI!$AA$11:$AA$30,RI!$C$11:$C$30,Table27[[#This Row],[Project Name]]))*(SUMIFS(RI!$AK$11:$AK$30,RI!$C$11:$C$30,Table27[[#This Row],[Project Name]]))</f>
        <v>342888</v>
      </c>
      <c r="K42" s="19">
        <f>(SUMIFS(RI!$AF$11:$AF$30,RI!$C$11:$C$30,Table27[[#This Row],[Project Name]]))*(SUMIFS(RI!$AK$11:$AK$30,RI!$C$11:$C$30,Table27[[#This Row],[Project Name]]))</f>
        <v>346656</v>
      </c>
      <c r="L42" s="19">
        <f>(SUMIFS(RI!$AI$11:$AI$30,RI!$C$11:$C$30,Table27[[#This Row],[Project Name]]))*(SUMIFS(RI!$AK$11:$AK$30,RI!$C$11:$C$30,Table27[[#This Row],[Project Name]]))</f>
        <v>143184</v>
      </c>
      <c r="M42" s="19">
        <v>3700000</v>
      </c>
      <c r="N42" s="19">
        <v>0</v>
      </c>
      <c r="O42" s="19">
        <f t="shared" si="1"/>
        <v>3700000</v>
      </c>
      <c r="P42" s="19">
        <f>SUM(Table27[[#This Row],[Fifth  Month]:[^Eleventh Month]])</f>
        <v>1987620</v>
      </c>
      <c r="Q42" s="19">
        <f t="shared" si="2"/>
        <v>1712380</v>
      </c>
      <c r="R42" s="42">
        <f t="shared" si="3"/>
        <v>0.46280540540540538</v>
      </c>
    </row>
    <row r="43" spans="4:18" ht="15.6" x14ac:dyDescent="0.3">
      <c r="D43" s="39" t="s">
        <v>129</v>
      </c>
      <c r="E43" s="40">
        <f t="shared" si="0"/>
        <v>3</v>
      </c>
      <c r="F43" s="22">
        <f>(SUMIFS(RI!$G$11:$G$30,RI!$C$11:$C$30,Table27[[#This Row],[Project Name]]))*(SUMIFS(RI!$AK$11:$AK$30,RI!$C$11:$C$30,Table27[[#This Row],[Project Name]]))</f>
        <v>138527</v>
      </c>
      <c r="G43" s="24">
        <f>(SUMIFS(RI!$L$11:$L$30,RI!$C$11:$C$30,Table27[[#This Row],[Project Name]]))*(SUMIFS(RI!$AK$11:$AK$30,RI!$C$11:$C$30,Table27[[#This Row],[Project Name]]))</f>
        <v>297082</v>
      </c>
      <c r="H43" s="24">
        <f>(SUMIFS(RI!$Q$11:$Q$30,RI!$C$11:$C$30,Table27[[#This Row],[Project Name]]))*(SUMIFS(RI!$AK$11:$AK$30,RI!$C$11:$C$30,Table27[[#This Row],[Project Name]]))</f>
        <v>288737</v>
      </c>
      <c r="I43" s="24">
        <f>(SUMIFS(RI!$V$11:$V$30,RI!$C$11:$C$30,Table27[[#This Row],[Project Name]]))*(SUMIFS(RI!$AK$11:$AK$30,RI!$C$11:$C$30,Table27[[#This Row],[Project Name]]))</f>
        <v>302089</v>
      </c>
      <c r="J43" s="24">
        <f>(SUMIFS(RI!$AA$11:$AA$30,RI!$C$11:$C$30,Table27[[#This Row],[Project Name]]))*(SUMIFS(RI!$AK$11:$AK$30,RI!$C$11:$C$30,Table27[[#This Row],[Project Name]]))</f>
        <v>275385</v>
      </c>
      <c r="K43" s="24">
        <f>(SUMIFS(RI!$AF$11:$AF$30,RI!$C$11:$C$30,Table27[[#This Row],[Project Name]]))*(SUMIFS(RI!$AK$11:$AK$30,RI!$C$11:$C$30,Table27[[#This Row],[Project Name]]))</f>
        <v>288737</v>
      </c>
      <c r="L43" s="24">
        <f>(SUMIFS(RI!$AI$11:$AI$30,RI!$C$11:$C$30,Table27[[#This Row],[Project Name]]))*(SUMIFS(RI!$AK$11:$AK$30,RI!$C$11:$C$30,Table27[[#This Row],[Project Name]]))</f>
        <v>168569</v>
      </c>
      <c r="M43" s="24">
        <v>3700000</v>
      </c>
      <c r="N43" s="24">
        <v>0</v>
      </c>
      <c r="O43" s="24">
        <f t="shared" si="1"/>
        <v>3700000</v>
      </c>
      <c r="P43" s="24">
        <f>SUM(Table27[[#This Row],[Fifth  Month]:[^Eleventh Month]])</f>
        <v>1759126</v>
      </c>
      <c r="Q43" s="24">
        <f t="shared" si="2"/>
        <v>1940874</v>
      </c>
      <c r="R43" s="41">
        <f t="shared" si="3"/>
        <v>0.52456054054054058</v>
      </c>
    </row>
  </sheetData>
  <mergeCells count="3">
    <mergeCell ref="P1:S2"/>
    <mergeCell ref="D35:R36"/>
    <mergeCell ref="C8:AK9"/>
  </mergeCells>
  <phoneticPr fontId="3" type="noConversion"/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9C251-5069-43A7-863C-924F288BC3B8}">
  <dimension ref="C1:AB64"/>
  <sheetViews>
    <sheetView showGridLines="0" topLeftCell="R1" zoomScale="69" zoomScaleNormal="69" workbookViewId="0">
      <selection activeCell="C7" sqref="C7:AB8"/>
    </sheetView>
  </sheetViews>
  <sheetFormatPr defaultRowHeight="14.4" x14ac:dyDescent="0.3"/>
  <cols>
    <col min="3" max="3" width="18.5546875" bestFit="1" customWidth="1"/>
    <col min="4" max="4" width="19" bestFit="1" customWidth="1"/>
    <col min="5" max="5" width="32.77734375" customWidth="1"/>
    <col min="6" max="6" width="18.21875" hidden="1" customWidth="1"/>
    <col min="7" max="7" width="34.88671875" hidden="1" customWidth="1"/>
    <col min="8" max="9" width="32.77734375" hidden="1" customWidth="1"/>
    <col min="10" max="10" width="33.77734375" hidden="1" customWidth="1"/>
    <col min="11" max="11" width="23.88671875" bestFit="1" customWidth="1"/>
    <col min="12" max="15" width="32.77734375" customWidth="1"/>
    <col min="16" max="16" width="33.5546875" bestFit="1" customWidth="1"/>
    <col min="17" max="20" width="37.6640625" bestFit="1" customWidth="1"/>
    <col min="21" max="21" width="21.77734375" bestFit="1" customWidth="1"/>
    <col min="22" max="25" width="37.6640625" bestFit="1" customWidth="1"/>
    <col min="26" max="26" width="22.88671875" bestFit="1" customWidth="1"/>
    <col min="27" max="27" width="16.88671875" bestFit="1" customWidth="1"/>
    <col min="28" max="28" width="16.109375" bestFit="1" customWidth="1"/>
    <col min="29" max="29" width="18.5546875" bestFit="1" customWidth="1"/>
  </cols>
  <sheetData>
    <row r="1" spans="3:28" ht="14.4" customHeight="1" x14ac:dyDescent="0.3">
      <c r="K1" s="83" t="s">
        <v>164</v>
      </c>
      <c r="L1" s="84"/>
      <c r="M1" s="84"/>
      <c r="N1" s="84"/>
      <c r="O1" s="84"/>
      <c r="P1" s="84"/>
      <c r="Q1" s="84"/>
      <c r="R1" s="84"/>
      <c r="S1" s="84"/>
      <c r="T1" s="84"/>
    </row>
    <row r="2" spans="3:28" x14ac:dyDescent="0.3">
      <c r="K2" s="84"/>
      <c r="L2" s="84"/>
      <c r="M2" s="84"/>
      <c r="N2" s="84"/>
      <c r="O2" s="84"/>
      <c r="P2" s="84"/>
      <c r="Q2" s="84"/>
      <c r="R2" s="84"/>
      <c r="S2" s="84"/>
      <c r="T2" s="84"/>
    </row>
    <row r="4" spans="3:28" x14ac:dyDescent="0.3">
      <c r="K4" s="1"/>
    </row>
    <row r="7" spans="3:28" ht="14.4" customHeight="1" x14ac:dyDescent="0.3">
      <c r="C7" s="80" t="s">
        <v>21</v>
      </c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</row>
    <row r="8" spans="3:28" ht="14.4" customHeight="1" x14ac:dyDescent="0.3">
      <c r="C8" s="80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</row>
    <row r="9" spans="3:28" x14ac:dyDescent="0.3">
      <c r="C9" s="43" t="s">
        <v>79</v>
      </c>
      <c r="D9" s="26" t="s">
        <v>19</v>
      </c>
      <c r="E9" s="44" t="s">
        <v>58</v>
      </c>
      <c r="F9" s="45" t="s">
        <v>112</v>
      </c>
      <c r="G9" s="45" t="s">
        <v>59</v>
      </c>
      <c r="H9" s="45" t="s">
        <v>60</v>
      </c>
      <c r="I9" s="45" t="s">
        <v>61</v>
      </c>
      <c r="J9" s="44" t="s">
        <v>65</v>
      </c>
      <c r="K9" s="44" t="s">
        <v>122</v>
      </c>
      <c r="L9" s="44" t="s">
        <v>66</v>
      </c>
      <c r="M9" s="44" t="s">
        <v>67</v>
      </c>
      <c r="N9" s="46" t="s">
        <v>68</v>
      </c>
      <c r="O9" s="44" t="s">
        <v>69</v>
      </c>
      <c r="P9" s="44" t="s">
        <v>123</v>
      </c>
      <c r="Q9" s="44" t="s">
        <v>70</v>
      </c>
      <c r="R9" s="44" t="s">
        <v>71</v>
      </c>
      <c r="S9" s="45" t="s">
        <v>72</v>
      </c>
      <c r="T9" s="45" t="s">
        <v>73</v>
      </c>
      <c r="U9" s="45" t="s">
        <v>133</v>
      </c>
      <c r="V9" s="45" t="s">
        <v>74</v>
      </c>
      <c r="W9" s="44" t="s">
        <v>75</v>
      </c>
      <c r="X9" s="44" t="s">
        <v>76</v>
      </c>
      <c r="Y9" s="44" t="s">
        <v>77</v>
      </c>
      <c r="Z9" s="44" t="s">
        <v>132</v>
      </c>
      <c r="AA9" s="44" t="s">
        <v>34</v>
      </c>
      <c r="AB9" s="44" t="s">
        <v>20</v>
      </c>
    </row>
    <row r="10" spans="3:28" ht="15.6" x14ac:dyDescent="0.3">
      <c r="C10" s="5" t="s">
        <v>135</v>
      </c>
      <c r="D10" s="12" t="s">
        <v>0</v>
      </c>
      <c r="E10" s="3">
        <v>16</v>
      </c>
      <c r="F10" s="3">
        <f>CTC!$E10</f>
        <v>16</v>
      </c>
      <c r="G10" s="3">
        <v>19</v>
      </c>
      <c r="H10" s="3">
        <v>12</v>
      </c>
      <c r="I10" s="3">
        <v>11</v>
      </c>
      <c r="J10" s="3">
        <v>17</v>
      </c>
      <c r="K10" s="3">
        <f>SUM(CTC!$G10:$J10)</f>
        <v>59</v>
      </c>
      <c r="L10" s="3">
        <v>15</v>
      </c>
      <c r="M10" s="3">
        <v>13</v>
      </c>
      <c r="N10" s="3">
        <v>34</v>
      </c>
      <c r="O10" s="3">
        <v>27</v>
      </c>
      <c r="P10" s="3">
        <f>SUM(CTC!$L10:$O10)</f>
        <v>89</v>
      </c>
      <c r="Q10" s="3">
        <v>27</v>
      </c>
      <c r="R10" s="3">
        <v>20</v>
      </c>
      <c r="S10" s="3">
        <v>28</v>
      </c>
      <c r="T10" s="3">
        <v>39</v>
      </c>
      <c r="U10" s="3">
        <f>SUM(CTC!$Q10:$T10)</f>
        <v>114</v>
      </c>
      <c r="V10" s="3">
        <v>34</v>
      </c>
      <c r="W10" s="3">
        <v>22</v>
      </c>
      <c r="X10" s="3">
        <v>23</v>
      </c>
      <c r="Y10" s="11">
        <v>28</v>
      </c>
      <c r="Z10" s="11">
        <f>SUM(CTC!$V10:$Y10)</f>
        <v>107</v>
      </c>
      <c r="AA10" s="11">
        <f t="shared" ref="AA10:AA29" si="0">SUM(E10:Y10)</f>
        <v>663</v>
      </c>
      <c r="AB10" s="11">
        <v>289</v>
      </c>
    </row>
    <row r="11" spans="3:28" ht="15.6" x14ac:dyDescent="0.3">
      <c r="C11" s="9" t="s">
        <v>136</v>
      </c>
      <c r="D11" s="13" t="s">
        <v>1</v>
      </c>
      <c r="E11" s="3">
        <v>15</v>
      </c>
      <c r="F11" s="3">
        <f>CTC!$E11</f>
        <v>15</v>
      </c>
      <c r="G11" s="3">
        <v>13</v>
      </c>
      <c r="H11" s="3">
        <v>10</v>
      </c>
      <c r="I11" s="3">
        <v>17</v>
      </c>
      <c r="J11" s="3">
        <v>19</v>
      </c>
      <c r="K11" s="3">
        <f>SUM(CTC!$G11:$J11)</f>
        <v>59</v>
      </c>
      <c r="L11" s="3">
        <v>18</v>
      </c>
      <c r="M11" s="3">
        <v>13</v>
      </c>
      <c r="N11" s="3">
        <v>34</v>
      </c>
      <c r="O11" s="3">
        <v>35</v>
      </c>
      <c r="P11" s="3">
        <f>SUM(CTC!$L11:$O11)</f>
        <v>100</v>
      </c>
      <c r="Q11" s="3">
        <v>29</v>
      </c>
      <c r="R11" s="3">
        <v>20</v>
      </c>
      <c r="S11" s="3">
        <v>40</v>
      </c>
      <c r="T11" s="3">
        <v>37</v>
      </c>
      <c r="U11" s="3">
        <f>SUM(CTC!$Q11:$T11)</f>
        <v>126</v>
      </c>
      <c r="V11" s="3">
        <v>20</v>
      </c>
      <c r="W11" s="3">
        <v>28</v>
      </c>
      <c r="X11" s="3">
        <v>30</v>
      </c>
      <c r="Y11" s="11">
        <v>25</v>
      </c>
      <c r="Z11" s="11">
        <f>SUM(CTC!$V11:$Y11)</f>
        <v>103</v>
      </c>
      <c r="AA11" s="11">
        <f t="shared" si="0"/>
        <v>703</v>
      </c>
      <c r="AB11" s="11">
        <v>369</v>
      </c>
    </row>
    <row r="12" spans="3:28" ht="15.6" x14ac:dyDescent="0.3">
      <c r="C12" s="5" t="s">
        <v>137</v>
      </c>
      <c r="D12" s="12" t="s">
        <v>2</v>
      </c>
      <c r="E12" s="3">
        <v>19</v>
      </c>
      <c r="F12" s="3">
        <f>CTC!$E12</f>
        <v>19</v>
      </c>
      <c r="G12" s="3">
        <v>18</v>
      </c>
      <c r="H12" s="3">
        <v>19</v>
      </c>
      <c r="I12" s="3">
        <v>13</v>
      </c>
      <c r="J12" s="3">
        <v>10</v>
      </c>
      <c r="K12" s="3">
        <f>SUM(CTC!$G12:$J12)</f>
        <v>60</v>
      </c>
      <c r="L12" s="3">
        <v>16</v>
      </c>
      <c r="M12" s="3">
        <v>10</v>
      </c>
      <c r="N12" s="3">
        <v>39</v>
      </c>
      <c r="O12" s="3">
        <v>23</v>
      </c>
      <c r="P12" s="3">
        <f>SUM(CTC!$L12:$O12)</f>
        <v>88</v>
      </c>
      <c r="Q12" s="3">
        <v>38</v>
      </c>
      <c r="R12" s="3">
        <v>28</v>
      </c>
      <c r="S12" s="3">
        <v>35</v>
      </c>
      <c r="T12" s="3">
        <v>39</v>
      </c>
      <c r="U12" s="3">
        <f>SUM(CTC!$Q12:$T12)</f>
        <v>140</v>
      </c>
      <c r="V12" s="3">
        <v>36</v>
      </c>
      <c r="W12" s="3">
        <v>32</v>
      </c>
      <c r="X12" s="3">
        <v>35</v>
      </c>
      <c r="Y12" s="11">
        <v>30</v>
      </c>
      <c r="Z12" s="11">
        <f>SUM(CTC!$V12:$Y12)</f>
        <v>133</v>
      </c>
      <c r="AA12" s="11">
        <f t="shared" si="0"/>
        <v>747</v>
      </c>
      <c r="AB12" s="11">
        <v>336</v>
      </c>
    </row>
    <row r="13" spans="3:28" ht="15.6" x14ac:dyDescent="0.3">
      <c r="C13" s="5" t="s">
        <v>135</v>
      </c>
      <c r="D13" s="13" t="s">
        <v>3</v>
      </c>
      <c r="E13" s="3">
        <v>16</v>
      </c>
      <c r="F13" s="3">
        <f>CTC!$E13</f>
        <v>16</v>
      </c>
      <c r="G13" s="3">
        <v>10</v>
      </c>
      <c r="H13" s="3">
        <v>11</v>
      </c>
      <c r="I13" s="3">
        <v>10</v>
      </c>
      <c r="J13" s="3">
        <v>18</v>
      </c>
      <c r="K13" s="3">
        <f>SUM(CTC!$G13:$J13)</f>
        <v>49</v>
      </c>
      <c r="L13" s="3">
        <v>17</v>
      </c>
      <c r="M13" s="3">
        <v>10</v>
      </c>
      <c r="N13" s="3">
        <v>29</v>
      </c>
      <c r="O13" s="3">
        <v>32</v>
      </c>
      <c r="P13" s="3">
        <f>SUM(CTC!$L13:$O13)</f>
        <v>88</v>
      </c>
      <c r="Q13" s="3">
        <v>34</v>
      </c>
      <c r="R13" s="3">
        <v>37</v>
      </c>
      <c r="S13" s="3">
        <v>35</v>
      </c>
      <c r="T13" s="3">
        <v>25</v>
      </c>
      <c r="U13" s="3">
        <f>SUM(CTC!$Q13:$T13)</f>
        <v>131</v>
      </c>
      <c r="V13" s="3">
        <v>25</v>
      </c>
      <c r="W13" s="3">
        <v>35</v>
      </c>
      <c r="X13" s="3">
        <v>20</v>
      </c>
      <c r="Y13" s="11">
        <v>27</v>
      </c>
      <c r="Z13" s="11">
        <f>SUM(CTC!$V13:$Y13)</f>
        <v>107</v>
      </c>
      <c r="AA13" s="11">
        <f t="shared" si="0"/>
        <v>675</v>
      </c>
      <c r="AB13" s="11">
        <v>886</v>
      </c>
    </row>
    <row r="14" spans="3:28" ht="15.6" x14ac:dyDescent="0.3">
      <c r="C14" s="9" t="s">
        <v>136</v>
      </c>
      <c r="D14" s="12" t="s">
        <v>4</v>
      </c>
      <c r="E14" s="3">
        <v>17</v>
      </c>
      <c r="F14" s="3">
        <f>CTC!$E14</f>
        <v>17</v>
      </c>
      <c r="G14" s="3">
        <v>13</v>
      </c>
      <c r="H14" s="3">
        <v>15</v>
      </c>
      <c r="I14" s="3">
        <v>16</v>
      </c>
      <c r="J14" s="3">
        <v>19</v>
      </c>
      <c r="K14" s="3">
        <f>SUM(CTC!$G14:$J14)</f>
        <v>63</v>
      </c>
      <c r="L14" s="3">
        <v>14</v>
      </c>
      <c r="M14" s="3">
        <v>18</v>
      </c>
      <c r="N14" s="3">
        <v>29</v>
      </c>
      <c r="O14" s="3">
        <v>25</v>
      </c>
      <c r="P14" s="3">
        <f>SUM(CTC!$L14:$O14)</f>
        <v>86</v>
      </c>
      <c r="Q14" s="3">
        <v>24</v>
      </c>
      <c r="R14" s="3">
        <v>22</v>
      </c>
      <c r="S14" s="3">
        <v>31</v>
      </c>
      <c r="T14" s="3">
        <v>25</v>
      </c>
      <c r="U14" s="3">
        <f>SUM(CTC!$Q14:$T14)</f>
        <v>102</v>
      </c>
      <c r="V14" s="3">
        <v>26</v>
      </c>
      <c r="W14" s="3">
        <v>39</v>
      </c>
      <c r="X14" s="3">
        <v>21</v>
      </c>
      <c r="Y14" s="11">
        <v>37</v>
      </c>
      <c r="Z14" s="11">
        <f>SUM(CTC!$V14:$Y14)</f>
        <v>123</v>
      </c>
      <c r="AA14" s="11">
        <f t="shared" si="0"/>
        <v>659</v>
      </c>
      <c r="AB14" s="11">
        <v>600</v>
      </c>
    </row>
    <row r="15" spans="3:28" ht="15.6" x14ac:dyDescent="0.3">
      <c r="C15" s="5" t="s">
        <v>137</v>
      </c>
      <c r="D15" s="13" t="s">
        <v>5</v>
      </c>
      <c r="E15" s="3">
        <v>17</v>
      </c>
      <c r="F15" s="3">
        <f>CTC!$E15</f>
        <v>17</v>
      </c>
      <c r="G15" s="3">
        <v>17</v>
      </c>
      <c r="H15" s="3">
        <v>14</v>
      </c>
      <c r="I15" s="3">
        <v>17</v>
      </c>
      <c r="J15" s="3">
        <v>17</v>
      </c>
      <c r="K15" s="3">
        <f>SUM(CTC!$G15:$J15)</f>
        <v>65</v>
      </c>
      <c r="L15" s="3">
        <v>17</v>
      </c>
      <c r="M15" s="3">
        <v>14</v>
      </c>
      <c r="N15" s="3">
        <v>39</v>
      </c>
      <c r="O15" s="3">
        <v>20</v>
      </c>
      <c r="P15" s="3">
        <f>SUM(CTC!$L15:$O15)</f>
        <v>90</v>
      </c>
      <c r="Q15" s="3">
        <v>40</v>
      </c>
      <c r="R15" s="3">
        <v>34</v>
      </c>
      <c r="S15" s="3">
        <v>23</v>
      </c>
      <c r="T15" s="3">
        <v>36</v>
      </c>
      <c r="U15" s="3">
        <f>SUM(CTC!$Q15:$T15)</f>
        <v>133</v>
      </c>
      <c r="V15" s="3">
        <v>31</v>
      </c>
      <c r="W15" s="3">
        <v>22</v>
      </c>
      <c r="X15" s="3">
        <v>39</v>
      </c>
      <c r="Y15" s="11">
        <v>23</v>
      </c>
      <c r="Z15" s="11">
        <f>SUM(CTC!$V15:$Y15)</f>
        <v>115</v>
      </c>
      <c r="AA15" s="11">
        <f t="shared" si="0"/>
        <v>725</v>
      </c>
      <c r="AB15" s="11">
        <v>682</v>
      </c>
    </row>
    <row r="16" spans="3:28" ht="15.6" x14ac:dyDescent="0.3">
      <c r="C16" s="5" t="s">
        <v>135</v>
      </c>
      <c r="D16" s="12" t="s">
        <v>6</v>
      </c>
      <c r="E16" s="3">
        <v>10</v>
      </c>
      <c r="F16" s="3">
        <f>CTC!$E16</f>
        <v>10</v>
      </c>
      <c r="G16" s="3">
        <v>12</v>
      </c>
      <c r="H16" s="3">
        <v>19</v>
      </c>
      <c r="I16" s="3">
        <v>19</v>
      </c>
      <c r="J16" s="3">
        <v>15</v>
      </c>
      <c r="K16" s="3">
        <f>SUM(CTC!$G16:$J16)</f>
        <v>65</v>
      </c>
      <c r="L16" s="3">
        <v>15</v>
      </c>
      <c r="M16" s="3">
        <v>11</v>
      </c>
      <c r="N16" s="3">
        <v>36</v>
      </c>
      <c r="O16" s="3">
        <v>34</v>
      </c>
      <c r="P16" s="3">
        <f>SUM(CTC!$L16:$O16)</f>
        <v>96</v>
      </c>
      <c r="Q16" s="3">
        <v>36</v>
      </c>
      <c r="R16" s="3">
        <v>31</v>
      </c>
      <c r="S16" s="3">
        <v>27</v>
      </c>
      <c r="T16" s="3">
        <v>22</v>
      </c>
      <c r="U16" s="3">
        <f>SUM(CTC!$Q16:$T16)</f>
        <v>116</v>
      </c>
      <c r="V16" s="3">
        <v>24</v>
      </c>
      <c r="W16" s="3">
        <v>21</v>
      </c>
      <c r="X16" s="3">
        <v>39</v>
      </c>
      <c r="Y16" s="11">
        <v>33</v>
      </c>
      <c r="Z16" s="11">
        <f>SUM(CTC!$V16:$Y16)</f>
        <v>117</v>
      </c>
      <c r="AA16" s="11">
        <f t="shared" si="0"/>
        <v>691</v>
      </c>
      <c r="AB16" s="11">
        <v>604</v>
      </c>
    </row>
    <row r="17" spans="3:28" ht="15.6" x14ac:dyDescent="0.3">
      <c r="C17" s="9" t="s">
        <v>136</v>
      </c>
      <c r="D17" s="13" t="s">
        <v>7</v>
      </c>
      <c r="E17" s="3">
        <v>13</v>
      </c>
      <c r="F17" s="3">
        <f>CTC!$E17</f>
        <v>13</v>
      </c>
      <c r="G17" s="3">
        <v>13</v>
      </c>
      <c r="H17" s="3">
        <v>17</v>
      </c>
      <c r="I17" s="3">
        <v>16</v>
      </c>
      <c r="J17" s="3">
        <v>16</v>
      </c>
      <c r="K17" s="3">
        <f>SUM(CTC!$G17:$J17)</f>
        <v>62</v>
      </c>
      <c r="L17" s="3">
        <v>20</v>
      </c>
      <c r="M17" s="3">
        <v>11</v>
      </c>
      <c r="N17" s="3">
        <v>21</v>
      </c>
      <c r="O17" s="3">
        <v>20</v>
      </c>
      <c r="P17" s="3">
        <f>SUM(CTC!$L17:$O17)</f>
        <v>72</v>
      </c>
      <c r="Q17" s="3">
        <v>20</v>
      </c>
      <c r="R17" s="3">
        <v>20</v>
      </c>
      <c r="S17" s="3">
        <v>23</v>
      </c>
      <c r="T17" s="3">
        <v>25</v>
      </c>
      <c r="U17" s="3">
        <f>SUM(CTC!$Q17:$T17)</f>
        <v>88</v>
      </c>
      <c r="V17" s="3">
        <v>22</v>
      </c>
      <c r="W17" s="3">
        <v>28</v>
      </c>
      <c r="X17" s="3">
        <v>38</v>
      </c>
      <c r="Y17" s="11">
        <v>39</v>
      </c>
      <c r="Z17" s="11">
        <f>SUM(CTC!$V17:$Y17)</f>
        <v>127</v>
      </c>
      <c r="AA17" s="11">
        <f t="shared" si="0"/>
        <v>597</v>
      </c>
      <c r="AB17" s="11">
        <v>197</v>
      </c>
    </row>
    <row r="18" spans="3:28" ht="15.6" x14ac:dyDescent="0.3">
      <c r="C18" s="5" t="s">
        <v>137</v>
      </c>
      <c r="D18" s="12" t="s">
        <v>8</v>
      </c>
      <c r="E18" s="3">
        <v>11</v>
      </c>
      <c r="F18" s="3">
        <f>CTC!$E18</f>
        <v>11</v>
      </c>
      <c r="G18" s="3">
        <v>12</v>
      </c>
      <c r="H18" s="3">
        <v>20</v>
      </c>
      <c r="I18" s="3">
        <v>12</v>
      </c>
      <c r="J18" s="3">
        <v>11</v>
      </c>
      <c r="K18" s="3">
        <f>SUM(CTC!$G18:$J18)</f>
        <v>55</v>
      </c>
      <c r="L18" s="3">
        <v>19</v>
      </c>
      <c r="M18" s="3">
        <v>16</v>
      </c>
      <c r="N18" s="3">
        <v>21</v>
      </c>
      <c r="O18" s="3">
        <v>23</v>
      </c>
      <c r="P18" s="3">
        <f>SUM(CTC!$L18:$O18)</f>
        <v>79</v>
      </c>
      <c r="Q18" s="3">
        <v>34</v>
      </c>
      <c r="R18" s="3">
        <v>34</v>
      </c>
      <c r="S18" s="3">
        <v>23</v>
      </c>
      <c r="T18" s="3">
        <v>20</v>
      </c>
      <c r="U18" s="3">
        <f>SUM(CTC!$Q18:$T18)</f>
        <v>111</v>
      </c>
      <c r="V18" s="3">
        <v>23</v>
      </c>
      <c r="W18" s="3">
        <v>32</v>
      </c>
      <c r="X18" s="3">
        <v>22</v>
      </c>
      <c r="Y18" s="11">
        <v>25</v>
      </c>
      <c r="Z18" s="11">
        <f>SUM(CTC!$V18:$Y18)</f>
        <v>102</v>
      </c>
      <c r="AA18" s="11">
        <f t="shared" si="0"/>
        <v>614</v>
      </c>
      <c r="AB18" s="11">
        <v>614</v>
      </c>
    </row>
    <row r="19" spans="3:28" ht="15.6" x14ac:dyDescent="0.3">
      <c r="C19" s="5" t="s">
        <v>135</v>
      </c>
      <c r="D19" s="13" t="s">
        <v>9</v>
      </c>
      <c r="E19" s="3">
        <v>20</v>
      </c>
      <c r="F19" s="3">
        <f>CTC!$E19</f>
        <v>20</v>
      </c>
      <c r="G19" s="3">
        <v>10</v>
      </c>
      <c r="H19" s="3">
        <v>18</v>
      </c>
      <c r="I19" s="3">
        <v>16</v>
      </c>
      <c r="J19" s="3">
        <v>15</v>
      </c>
      <c r="K19" s="3">
        <f>SUM(CTC!$G19:$J19)</f>
        <v>59</v>
      </c>
      <c r="L19" s="3">
        <v>16</v>
      </c>
      <c r="M19" s="3">
        <v>19</v>
      </c>
      <c r="N19" s="3">
        <v>34</v>
      </c>
      <c r="O19" s="3">
        <v>22</v>
      </c>
      <c r="P19" s="3">
        <f>SUM(CTC!$L19:$O19)</f>
        <v>91</v>
      </c>
      <c r="Q19" s="3">
        <v>36</v>
      </c>
      <c r="R19" s="3">
        <v>35</v>
      </c>
      <c r="S19" s="3">
        <v>23</v>
      </c>
      <c r="T19" s="3">
        <v>38</v>
      </c>
      <c r="U19" s="3">
        <f>SUM(CTC!$Q19:$T19)</f>
        <v>132</v>
      </c>
      <c r="V19" s="3">
        <v>31</v>
      </c>
      <c r="W19" s="3">
        <v>33</v>
      </c>
      <c r="X19" s="3">
        <v>36</v>
      </c>
      <c r="Y19" s="11">
        <v>36</v>
      </c>
      <c r="Z19" s="11">
        <f>SUM(CTC!$V19:$Y19)</f>
        <v>136</v>
      </c>
      <c r="AA19" s="11">
        <f t="shared" si="0"/>
        <v>740</v>
      </c>
      <c r="AB19" s="11">
        <v>515</v>
      </c>
    </row>
    <row r="20" spans="3:28" ht="15.6" x14ac:dyDescent="0.3">
      <c r="C20" s="9" t="s">
        <v>136</v>
      </c>
      <c r="D20" s="13" t="s">
        <v>10</v>
      </c>
      <c r="E20" s="3">
        <v>14</v>
      </c>
      <c r="F20" s="3">
        <f>CTC!$E20</f>
        <v>14</v>
      </c>
      <c r="G20" s="3">
        <v>17</v>
      </c>
      <c r="H20" s="3">
        <v>18</v>
      </c>
      <c r="I20" s="3">
        <v>18</v>
      </c>
      <c r="J20" s="3">
        <v>10</v>
      </c>
      <c r="K20" s="3">
        <f>SUM(CTC!$G20:$J20)</f>
        <v>63</v>
      </c>
      <c r="L20" s="3">
        <v>11</v>
      </c>
      <c r="M20" s="3">
        <v>16</v>
      </c>
      <c r="N20" s="3">
        <v>29</v>
      </c>
      <c r="O20" s="3">
        <v>32</v>
      </c>
      <c r="P20" s="3">
        <f>SUM(CTC!$L20:$O20)</f>
        <v>88</v>
      </c>
      <c r="Q20" s="3">
        <v>21</v>
      </c>
      <c r="R20" s="3">
        <v>36</v>
      </c>
      <c r="S20" s="3">
        <v>30</v>
      </c>
      <c r="T20" s="3">
        <v>38</v>
      </c>
      <c r="U20" s="3">
        <f>SUM(CTC!$Q20:$T20)</f>
        <v>125</v>
      </c>
      <c r="V20" s="3">
        <v>32</v>
      </c>
      <c r="W20" s="3">
        <v>21</v>
      </c>
      <c r="X20" s="3">
        <v>37</v>
      </c>
      <c r="Y20" s="11">
        <v>21</v>
      </c>
      <c r="Z20" s="11">
        <f>SUM(CTC!$V20:$Y20)</f>
        <v>111</v>
      </c>
      <c r="AA20" s="11">
        <f t="shared" si="0"/>
        <v>691</v>
      </c>
      <c r="AB20" s="11">
        <v>666</v>
      </c>
    </row>
    <row r="21" spans="3:28" ht="15.6" x14ac:dyDescent="0.3">
      <c r="C21" s="5" t="s">
        <v>137</v>
      </c>
      <c r="D21" s="12" t="s">
        <v>11</v>
      </c>
      <c r="E21" s="3">
        <v>12</v>
      </c>
      <c r="F21" s="3">
        <f>CTC!$E21</f>
        <v>12</v>
      </c>
      <c r="G21" s="3">
        <v>19</v>
      </c>
      <c r="H21" s="3">
        <v>15</v>
      </c>
      <c r="I21" s="3">
        <v>18</v>
      </c>
      <c r="J21" s="3">
        <v>17</v>
      </c>
      <c r="K21" s="3">
        <f>SUM(CTC!$G21:$J21)</f>
        <v>69</v>
      </c>
      <c r="L21" s="3">
        <v>12</v>
      </c>
      <c r="M21" s="3">
        <v>17</v>
      </c>
      <c r="N21" s="3">
        <v>31</v>
      </c>
      <c r="O21" s="3">
        <v>37</v>
      </c>
      <c r="P21" s="3">
        <f>SUM(CTC!$L21:$O21)</f>
        <v>97</v>
      </c>
      <c r="Q21" s="3">
        <v>33</v>
      </c>
      <c r="R21" s="3">
        <v>39</v>
      </c>
      <c r="S21" s="3">
        <v>38</v>
      </c>
      <c r="T21" s="3">
        <v>31</v>
      </c>
      <c r="U21" s="3">
        <f>SUM(CTC!$Q21:$T21)</f>
        <v>141</v>
      </c>
      <c r="V21" s="3">
        <v>20</v>
      </c>
      <c r="W21" s="3">
        <v>36</v>
      </c>
      <c r="X21" s="3">
        <v>24</v>
      </c>
      <c r="Y21" s="11">
        <v>20</v>
      </c>
      <c r="Z21" s="11">
        <f>SUM(CTC!$V21:$Y21)</f>
        <v>100</v>
      </c>
      <c r="AA21" s="11">
        <f t="shared" si="0"/>
        <v>738</v>
      </c>
      <c r="AB21" s="11">
        <v>874</v>
      </c>
    </row>
    <row r="22" spans="3:28" ht="15.6" x14ac:dyDescent="0.3">
      <c r="C22" s="5" t="s">
        <v>135</v>
      </c>
      <c r="D22" s="13" t="s">
        <v>3</v>
      </c>
      <c r="E22" s="3">
        <v>16</v>
      </c>
      <c r="F22" s="3">
        <f>CTC!$E22</f>
        <v>16</v>
      </c>
      <c r="G22" s="3">
        <v>17</v>
      </c>
      <c r="H22" s="3">
        <v>20</v>
      </c>
      <c r="I22" s="3">
        <v>15</v>
      </c>
      <c r="J22" s="3">
        <v>11</v>
      </c>
      <c r="K22" s="3">
        <f>SUM(CTC!$G22:$J22)</f>
        <v>63</v>
      </c>
      <c r="L22" s="3">
        <v>20</v>
      </c>
      <c r="M22" s="3">
        <v>12</v>
      </c>
      <c r="N22" s="3">
        <v>35</v>
      </c>
      <c r="O22" s="3">
        <v>32</v>
      </c>
      <c r="P22" s="3">
        <f>SUM(CTC!$L22:$O22)</f>
        <v>99</v>
      </c>
      <c r="Q22" s="3">
        <v>22</v>
      </c>
      <c r="R22" s="3">
        <v>22</v>
      </c>
      <c r="S22" s="3">
        <v>30</v>
      </c>
      <c r="T22" s="3">
        <v>24</v>
      </c>
      <c r="U22" s="3">
        <f>SUM(CTC!$Q22:$T22)</f>
        <v>98</v>
      </c>
      <c r="V22" s="3">
        <v>32</v>
      </c>
      <c r="W22" s="3">
        <v>30</v>
      </c>
      <c r="X22" s="3">
        <v>26</v>
      </c>
      <c r="Y22" s="11">
        <v>21</v>
      </c>
      <c r="Z22" s="11">
        <f>SUM(CTC!$V22:$Y22)</f>
        <v>109</v>
      </c>
      <c r="AA22" s="11">
        <f t="shared" si="0"/>
        <v>661</v>
      </c>
      <c r="AB22" s="11">
        <v>537</v>
      </c>
    </row>
    <row r="23" spans="3:28" ht="15.6" x14ac:dyDescent="0.3">
      <c r="C23" s="9" t="s">
        <v>136</v>
      </c>
      <c r="D23" s="12" t="s">
        <v>12</v>
      </c>
      <c r="E23" s="3">
        <v>15</v>
      </c>
      <c r="F23" s="3">
        <f>CTC!$E23</f>
        <v>15</v>
      </c>
      <c r="G23" s="3">
        <v>19</v>
      </c>
      <c r="H23" s="3">
        <v>18</v>
      </c>
      <c r="I23" s="3">
        <v>13</v>
      </c>
      <c r="J23" s="3">
        <v>10</v>
      </c>
      <c r="K23" s="3">
        <f>SUM(CTC!$G23:$J23)</f>
        <v>60</v>
      </c>
      <c r="L23" s="3">
        <v>18</v>
      </c>
      <c r="M23" s="3">
        <v>10</v>
      </c>
      <c r="N23" s="3">
        <v>24</v>
      </c>
      <c r="O23" s="3">
        <v>38</v>
      </c>
      <c r="P23" s="3">
        <f>SUM(CTC!$L23:$O23)</f>
        <v>90</v>
      </c>
      <c r="Q23" s="3">
        <v>21</v>
      </c>
      <c r="R23" s="3">
        <v>40</v>
      </c>
      <c r="S23" s="3">
        <v>40</v>
      </c>
      <c r="T23" s="3">
        <v>23</v>
      </c>
      <c r="U23" s="3">
        <f>SUM(CTC!$Q23:$T23)</f>
        <v>124</v>
      </c>
      <c r="V23" s="3">
        <v>33</v>
      </c>
      <c r="W23" s="3">
        <v>20</v>
      </c>
      <c r="X23" s="3">
        <v>39</v>
      </c>
      <c r="Y23" s="11">
        <v>20</v>
      </c>
      <c r="Z23" s="11">
        <f>SUM(CTC!$V23:$Y23)</f>
        <v>112</v>
      </c>
      <c r="AA23" s="11">
        <f t="shared" si="0"/>
        <v>690</v>
      </c>
      <c r="AB23" s="11">
        <v>696</v>
      </c>
    </row>
    <row r="24" spans="3:28" ht="15.6" x14ac:dyDescent="0.3">
      <c r="C24" s="5" t="s">
        <v>137</v>
      </c>
      <c r="D24" s="13" t="s">
        <v>13</v>
      </c>
      <c r="E24" s="3">
        <v>14</v>
      </c>
      <c r="F24" s="3">
        <f>CTC!$E24</f>
        <v>14</v>
      </c>
      <c r="G24" s="3">
        <v>14</v>
      </c>
      <c r="H24" s="3">
        <v>14</v>
      </c>
      <c r="I24" s="3">
        <v>18</v>
      </c>
      <c r="J24" s="3">
        <v>13</v>
      </c>
      <c r="K24" s="3">
        <f>SUM(CTC!$G24:$J24)</f>
        <v>59</v>
      </c>
      <c r="L24" s="3">
        <v>19</v>
      </c>
      <c r="M24" s="3">
        <v>18</v>
      </c>
      <c r="N24" s="3">
        <v>36</v>
      </c>
      <c r="O24" s="3">
        <v>39</v>
      </c>
      <c r="P24" s="3">
        <f>SUM(CTC!$L24:$O24)</f>
        <v>112</v>
      </c>
      <c r="Q24" s="3">
        <v>28</v>
      </c>
      <c r="R24" s="3">
        <v>31</v>
      </c>
      <c r="S24" s="3">
        <v>23</v>
      </c>
      <c r="T24" s="3">
        <v>29</v>
      </c>
      <c r="U24" s="3">
        <f>SUM(CTC!$Q24:$T24)</f>
        <v>111</v>
      </c>
      <c r="V24" s="3">
        <v>25</v>
      </c>
      <c r="W24" s="3">
        <v>30</v>
      </c>
      <c r="X24" s="3">
        <v>39</v>
      </c>
      <c r="Y24" s="11">
        <v>36</v>
      </c>
      <c r="Z24" s="11">
        <f>SUM(CTC!$V24:$Y24)</f>
        <v>130</v>
      </c>
      <c r="AA24" s="11">
        <f t="shared" si="0"/>
        <v>722</v>
      </c>
      <c r="AB24" s="11">
        <v>572</v>
      </c>
    </row>
    <row r="25" spans="3:28" ht="15.6" x14ac:dyDescent="0.3">
      <c r="C25" s="5" t="s">
        <v>135</v>
      </c>
      <c r="D25" s="12" t="s">
        <v>14</v>
      </c>
      <c r="E25" s="3">
        <v>14</v>
      </c>
      <c r="F25" s="3">
        <f>CTC!$E25</f>
        <v>14</v>
      </c>
      <c r="G25" s="3">
        <v>17</v>
      </c>
      <c r="H25" s="3">
        <v>16</v>
      </c>
      <c r="I25" s="3">
        <v>11</v>
      </c>
      <c r="J25" s="3">
        <v>19</v>
      </c>
      <c r="K25" s="3">
        <f>SUM(CTC!$G25:$J25)</f>
        <v>63</v>
      </c>
      <c r="L25" s="3">
        <v>20</v>
      </c>
      <c r="M25" s="3">
        <v>13</v>
      </c>
      <c r="N25" s="3">
        <v>29</v>
      </c>
      <c r="O25" s="3">
        <v>37</v>
      </c>
      <c r="P25" s="3">
        <f>SUM(CTC!$L25:$O25)</f>
        <v>99</v>
      </c>
      <c r="Q25" s="3">
        <v>32</v>
      </c>
      <c r="R25" s="3">
        <v>24</v>
      </c>
      <c r="S25" s="3">
        <v>21</v>
      </c>
      <c r="T25" s="3">
        <v>26</v>
      </c>
      <c r="U25" s="3">
        <f>SUM(CTC!$Q25:$T25)</f>
        <v>103</v>
      </c>
      <c r="V25" s="3">
        <v>38</v>
      </c>
      <c r="W25" s="3">
        <v>36</v>
      </c>
      <c r="X25" s="3">
        <v>34</v>
      </c>
      <c r="Y25" s="11">
        <v>30</v>
      </c>
      <c r="Z25" s="11">
        <f>SUM(CTC!$V25:$Y25)</f>
        <v>138</v>
      </c>
      <c r="AA25" s="11">
        <f t="shared" si="0"/>
        <v>696</v>
      </c>
      <c r="AB25" s="11">
        <v>896</v>
      </c>
    </row>
    <row r="26" spans="3:28" ht="15.6" x14ac:dyDescent="0.3">
      <c r="C26" s="9" t="s">
        <v>136</v>
      </c>
      <c r="D26" s="13" t="s">
        <v>15</v>
      </c>
      <c r="E26" s="3">
        <v>12</v>
      </c>
      <c r="F26" s="3">
        <f>CTC!$E26</f>
        <v>12</v>
      </c>
      <c r="G26" s="3">
        <v>16</v>
      </c>
      <c r="H26" s="3">
        <v>14</v>
      </c>
      <c r="I26" s="3">
        <v>15</v>
      </c>
      <c r="J26" s="3">
        <v>18</v>
      </c>
      <c r="K26" s="3">
        <f>SUM(CTC!$G26:$J26)</f>
        <v>63</v>
      </c>
      <c r="L26" s="3">
        <v>19</v>
      </c>
      <c r="M26" s="3">
        <v>15</v>
      </c>
      <c r="N26" s="3">
        <v>34</v>
      </c>
      <c r="O26" s="3">
        <v>36</v>
      </c>
      <c r="P26" s="3">
        <f>SUM(CTC!$L26:$O26)</f>
        <v>104</v>
      </c>
      <c r="Q26" s="3">
        <v>20</v>
      </c>
      <c r="R26" s="3">
        <v>21</v>
      </c>
      <c r="S26" s="3">
        <v>30</v>
      </c>
      <c r="T26" s="3">
        <v>22</v>
      </c>
      <c r="U26" s="3">
        <f>SUM(CTC!$Q26:$T26)</f>
        <v>93</v>
      </c>
      <c r="V26" s="3">
        <v>20</v>
      </c>
      <c r="W26" s="3">
        <v>26</v>
      </c>
      <c r="X26" s="3">
        <v>38</v>
      </c>
      <c r="Y26" s="11">
        <v>37</v>
      </c>
      <c r="Z26" s="11">
        <f>SUM(CTC!$V26:$Y26)</f>
        <v>121</v>
      </c>
      <c r="AA26" s="11">
        <f t="shared" si="0"/>
        <v>665</v>
      </c>
      <c r="AB26" s="11">
        <v>137</v>
      </c>
    </row>
    <row r="27" spans="3:28" ht="15.6" x14ac:dyDescent="0.3">
      <c r="C27" s="5" t="s">
        <v>137</v>
      </c>
      <c r="D27" s="12" t="s">
        <v>16</v>
      </c>
      <c r="E27" s="3">
        <v>13</v>
      </c>
      <c r="F27" s="3">
        <f>CTC!$E27</f>
        <v>13</v>
      </c>
      <c r="G27" s="3">
        <v>18</v>
      </c>
      <c r="H27" s="3">
        <v>18</v>
      </c>
      <c r="I27" s="3">
        <v>15</v>
      </c>
      <c r="J27" s="3">
        <v>12</v>
      </c>
      <c r="K27" s="3">
        <f>SUM(CTC!$G27:$J27)</f>
        <v>63</v>
      </c>
      <c r="L27" s="3">
        <v>10</v>
      </c>
      <c r="M27" s="3">
        <v>14</v>
      </c>
      <c r="N27" s="3">
        <v>33</v>
      </c>
      <c r="O27" s="3">
        <v>25</v>
      </c>
      <c r="P27" s="3">
        <f>SUM(CTC!$L27:$O27)</f>
        <v>82</v>
      </c>
      <c r="Q27" s="3">
        <v>34</v>
      </c>
      <c r="R27" s="3">
        <v>22</v>
      </c>
      <c r="S27" s="3">
        <v>29</v>
      </c>
      <c r="T27" s="3">
        <v>31</v>
      </c>
      <c r="U27" s="3">
        <f>SUM(CTC!$Q27:$T27)</f>
        <v>116</v>
      </c>
      <c r="V27" s="3">
        <v>29</v>
      </c>
      <c r="W27" s="3">
        <v>22</v>
      </c>
      <c r="X27" s="3">
        <v>30</v>
      </c>
      <c r="Y27" s="11">
        <v>31</v>
      </c>
      <c r="Z27" s="11">
        <f>SUM(CTC!$V27:$Y27)</f>
        <v>112</v>
      </c>
      <c r="AA27" s="11">
        <f t="shared" si="0"/>
        <v>660</v>
      </c>
      <c r="AB27" s="11">
        <v>334</v>
      </c>
    </row>
    <row r="28" spans="3:28" ht="15.6" x14ac:dyDescent="0.3">
      <c r="C28" s="5" t="s">
        <v>135</v>
      </c>
      <c r="D28" s="13" t="s">
        <v>17</v>
      </c>
      <c r="E28" s="3">
        <v>13</v>
      </c>
      <c r="F28" s="3">
        <f>CTC!$E28</f>
        <v>13</v>
      </c>
      <c r="G28" s="3">
        <v>15</v>
      </c>
      <c r="H28" s="3">
        <v>20</v>
      </c>
      <c r="I28" s="3">
        <v>15</v>
      </c>
      <c r="J28" s="3">
        <v>14</v>
      </c>
      <c r="K28" s="3">
        <f>SUM(CTC!$G28:$J28)</f>
        <v>64</v>
      </c>
      <c r="L28" s="3">
        <v>11</v>
      </c>
      <c r="M28" s="3">
        <v>16</v>
      </c>
      <c r="N28" s="3">
        <v>35</v>
      </c>
      <c r="O28" s="3">
        <v>36</v>
      </c>
      <c r="P28" s="3">
        <f>SUM(CTC!$L28:$O28)</f>
        <v>98</v>
      </c>
      <c r="Q28" s="3">
        <v>35</v>
      </c>
      <c r="R28" s="3">
        <v>28</v>
      </c>
      <c r="S28" s="3">
        <v>38</v>
      </c>
      <c r="T28" s="3">
        <v>37</v>
      </c>
      <c r="U28" s="3">
        <f>SUM(CTC!$Q28:$T28)</f>
        <v>138</v>
      </c>
      <c r="V28" s="3">
        <v>25</v>
      </c>
      <c r="W28" s="3">
        <v>39</v>
      </c>
      <c r="X28" s="3">
        <v>34</v>
      </c>
      <c r="Y28" s="11">
        <v>39</v>
      </c>
      <c r="Z28" s="11">
        <f>SUM(CTC!$V28:$Y28)</f>
        <v>137</v>
      </c>
      <c r="AA28" s="11">
        <f t="shared" si="0"/>
        <v>763</v>
      </c>
      <c r="AB28" s="11">
        <v>983</v>
      </c>
    </row>
    <row r="29" spans="3:28" ht="15.6" x14ac:dyDescent="0.3">
      <c r="C29" s="14" t="s">
        <v>136</v>
      </c>
      <c r="D29" s="2" t="s">
        <v>18</v>
      </c>
      <c r="E29" s="15">
        <v>19</v>
      </c>
      <c r="F29" s="15">
        <f>CTC!$E29</f>
        <v>19</v>
      </c>
      <c r="G29" s="15">
        <v>16</v>
      </c>
      <c r="H29" s="15">
        <v>15</v>
      </c>
      <c r="I29" s="15">
        <v>20</v>
      </c>
      <c r="J29" s="15">
        <v>11</v>
      </c>
      <c r="K29" s="15">
        <f>SUM(CTC!$G29:$J29)</f>
        <v>62</v>
      </c>
      <c r="L29" s="15">
        <v>12</v>
      </c>
      <c r="M29" s="15">
        <v>13</v>
      </c>
      <c r="N29" s="15">
        <v>40</v>
      </c>
      <c r="O29" s="15">
        <v>39</v>
      </c>
      <c r="P29" s="15">
        <f>SUM(CTC!$L29:$O29)</f>
        <v>104</v>
      </c>
      <c r="Q29" s="15">
        <v>37</v>
      </c>
      <c r="R29" s="15">
        <v>38</v>
      </c>
      <c r="S29" s="15">
        <v>23</v>
      </c>
      <c r="T29" s="15">
        <v>34</v>
      </c>
      <c r="U29" s="15">
        <f>SUM(CTC!$Q29:$T29)</f>
        <v>132</v>
      </c>
      <c r="V29" s="15">
        <v>21</v>
      </c>
      <c r="W29" s="15">
        <v>36</v>
      </c>
      <c r="X29" s="15">
        <v>33</v>
      </c>
      <c r="Y29" s="11">
        <v>36</v>
      </c>
      <c r="Z29" s="11">
        <f>SUM(CTC!$V29:$Y29)</f>
        <v>126</v>
      </c>
      <c r="AA29" s="11">
        <f t="shared" si="0"/>
        <v>760</v>
      </c>
      <c r="AB29" s="11">
        <v>257</v>
      </c>
    </row>
    <row r="34" spans="4:16" ht="14.4" customHeight="1" x14ac:dyDescent="0.3">
      <c r="D34" s="77" t="s">
        <v>86</v>
      </c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</row>
    <row r="35" spans="4:16" x14ac:dyDescent="0.3"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</row>
    <row r="36" spans="4:16" x14ac:dyDescent="0.3">
      <c r="D36" s="43" t="s">
        <v>84</v>
      </c>
      <c r="E36" s="26" t="s">
        <v>121</v>
      </c>
      <c r="F36" s="44" t="s">
        <v>118</v>
      </c>
      <c r="G36" s="45" t="s">
        <v>122</v>
      </c>
      <c r="H36" s="45" t="s">
        <v>131</v>
      </c>
      <c r="I36" s="45" t="s">
        <v>132</v>
      </c>
      <c r="J36" s="45" t="s">
        <v>134</v>
      </c>
      <c r="K36" s="44" t="s">
        <v>88</v>
      </c>
      <c r="L36" s="44" t="s">
        <v>85</v>
      </c>
      <c r="M36" s="44" t="s">
        <v>89</v>
      </c>
      <c r="N36" s="44" t="s">
        <v>99</v>
      </c>
      <c r="O36" s="46" t="s">
        <v>78</v>
      </c>
      <c r="P36" s="44" t="s">
        <v>91</v>
      </c>
    </row>
    <row r="37" spans="4:16" ht="15.6" x14ac:dyDescent="0.3">
      <c r="D37" s="9" t="s">
        <v>135</v>
      </c>
      <c r="E37" s="13">
        <f>COUNTIFS(CTC!$C$10:$C$29,Table210[[#This Row],[^Project Name]])</f>
        <v>7</v>
      </c>
      <c r="F37" s="3">
        <f>(SUMIFS(CTC!$F$10:$F$29,CTC!$C$10:$C$29,Table210[[#This Row],[^Project Name]]))*(SUM(CTC!$AB$10:$AB$29,CTC!$C$10:$C$29,Table210[[#This Row],[^Project Name]]))</f>
        <v>1159620</v>
      </c>
      <c r="G37" s="3">
        <f>(SUMIFS(CTC!$K$10:$K$29,CTC!$C$10:$C$29,Table210[[#This Row],[^Project Name]]))*(SUMIFS(CTC!$AB$10:$AB$29,CTC!$C$10:$C$29,Table210[[#This Row],[^Project Name]]))</f>
        <v>1987620</v>
      </c>
      <c r="H37" s="3">
        <f>(SUMIFS(CTC!$P$10:$P$29,CTC!$C$10:$C$29,Table210[[#This Row],[^Project Name]]))*(SUMIFS(CTC!$AB$10:$AB$29,CTC!$C$10:$C$29,Table210[[#This Row],[^Project Name]]))</f>
        <v>3108600</v>
      </c>
      <c r="I37" s="3">
        <f>(SUMIFS(CTC!$U$10:$U$29,CTC!$C$10:$C$29,Table210[[#This Row],[^Project Name]]))*(SUMIFS(CTC!$AB$10:$AB$29,CTC!$C$10:$C$29,Table210[[#This Row],[^Project Name]]))</f>
        <v>3918720</v>
      </c>
      <c r="J37" s="3">
        <f>(SUMIFS(CTC!$Z$10:$Z$29,CTC!$C$10:$C$29,Table210[[#This Row],[^Project Name]]))*(SUMIFS(CTC!$AB$10:$AB$29,CTC!$C$10:$C$29,Table210[[#This Row],[^Project Name]]))</f>
        <v>4008210</v>
      </c>
      <c r="K37" s="3">
        <v>15880000</v>
      </c>
      <c r="L37" s="3">
        <v>0</v>
      </c>
      <c r="M37" s="3">
        <f>Table210[[#This Row],[ Project Wise Budget]]+Table210[[#This Row],[Extra]]</f>
        <v>15880000</v>
      </c>
      <c r="N37" s="3">
        <f>SUM(Table210[[#This Row],[^Ninth Month]:[^Twelveth Months]])</f>
        <v>14182770</v>
      </c>
      <c r="O37" s="3">
        <f>Table210[[#This Row],['' Project Wise Total Budget]]-Table210[[#This Row],[Project Wise  Total Burnt]]</f>
        <v>1697230</v>
      </c>
      <c r="P37" s="3">
        <f>O37/K37</f>
        <v>0.10687846347607052</v>
      </c>
    </row>
    <row r="38" spans="4:16" ht="15.6" x14ac:dyDescent="0.3">
      <c r="D38" s="5" t="s">
        <v>136</v>
      </c>
      <c r="E38" s="12">
        <f>COUNTIFS(CTC!$C$10:$C$29,Table210[[#This Row],[^Project Name]])</f>
        <v>7</v>
      </c>
      <c r="F38" s="3">
        <f>(SUMIFS(CTC!$F$10:$F$29,CTC!$C$10:$C$29,Table210[[#This Row],[^Project Name]]))*(SUM(CTC!$AB$10:$AB$29,CTC!$C$10:$C$29,Table210[[#This Row],[^Project Name]]))</f>
        <v>1159620</v>
      </c>
      <c r="G38" s="3">
        <f>(SUMIFS(CTC!$K$10:$K$29,CTC!$C$10:$C$29,Table210[[#This Row],[^Project Name]]))*(SUMIFS(CTC!$AB$10:$AB$29,CTC!$C$10:$C$29,Table210[[#This Row],[^Project Name]]))</f>
        <v>1262304</v>
      </c>
      <c r="H38" s="3">
        <f>(SUMIFS(CTC!$P$10:$P$29,CTC!$C$10:$C$29,Table210[[#This Row],[^Project Name]]))*(SUMIFS(CTC!$AB$10:$AB$29,CTC!$C$10:$C$29,Table210[[#This Row],[^Project Name]]))</f>
        <v>1881768</v>
      </c>
      <c r="I38" s="3">
        <f>(SUMIFS(CTC!$U$10:$U$29,CTC!$C$10:$C$29,Table210[[#This Row],[^Project Name]]))*(SUMIFS(CTC!$AB$10:$AB$29,CTC!$C$10:$C$29,Table210[[#This Row],[^Project Name]]))</f>
        <v>2308380</v>
      </c>
      <c r="J38" s="3">
        <f>(SUMIFS(CTC!$Z$10:$Z$29,CTC!$C$10:$C$29,Table210[[#This Row],[^Project Name]]))*(SUMIFS(CTC!$AB$10:$AB$29,CTC!$C$10:$C$29,Table210[[#This Row],[^Project Name]]))</f>
        <v>2404806</v>
      </c>
      <c r="K38" s="3">
        <v>15880000</v>
      </c>
      <c r="L38" s="3">
        <v>0</v>
      </c>
      <c r="M38" s="3">
        <f>Table210[[#This Row],[ Project Wise Budget]]+Table210[[#This Row],[Extra]]</f>
        <v>15880000</v>
      </c>
      <c r="N38" s="3">
        <f>SUM(Table210[[#This Row],[^Ninth Month]:[^Twelveth Months]])</f>
        <v>9016878</v>
      </c>
      <c r="O38" s="3">
        <f>Table210[[#This Row],['' Project Wise Total Budget]]-Table210[[#This Row],[Project Wise  Total Burnt]]</f>
        <v>6863122</v>
      </c>
      <c r="P38" s="3">
        <f>O38/K38</f>
        <v>0.43218652392947104</v>
      </c>
    </row>
    <row r="39" spans="4:16" ht="15.6" x14ac:dyDescent="0.3">
      <c r="D39" s="5" t="s">
        <v>137</v>
      </c>
      <c r="E39" s="13">
        <f>COUNTIFS(CTC!$C$10:$C$29,Table210[[#This Row],[^Project Name]])</f>
        <v>6</v>
      </c>
      <c r="F39" s="3">
        <f>(SUMIFS(CTC!$F$10:$F$29,CTC!$C$10:$C$29,Table210[[#This Row],[^Project Name]]))*(SUM(CTC!$AB$10:$AB$29,CTC!$C$10:$C$29,Table210[[#This Row],[^Project Name]]))</f>
        <v>949784</v>
      </c>
      <c r="G39" s="3">
        <f>(SUMIFS(CTC!$K$10:$K$29,CTC!$C$10:$C$29,Table210[[#This Row],[^Project Name]]))*(SUMIFS(CTC!$AB$10:$AB$29,CTC!$C$10:$C$29,Table210[[#This Row],[^Project Name]]))</f>
        <v>1265852</v>
      </c>
      <c r="H39" s="3">
        <f>(SUMIFS(CTC!$P$10:$P$29,CTC!$C$10:$C$29,Table210[[#This Row],[^Project Name]]))*(SUMIFS(CTC!$AB$10:$AB$29,CTC!$C$10:$C$29,Table210[[#This Row],[^Project Name]]))</f>
        <v>1869776</v>
      </c>
      <c r="I39" s="3">
        <f>(SUMIFS(CTC!$U$10:$U$29,CTC!$C$10:$C$29,Table210[[#This Row],[^Project Name]]))*(SUMIFS(CTC!$AB$10:$AB$29,CTC!$C$10:$C$29,Table210[[#This Row],[^Project Name]]))</f>
        <v>2565824</v>
      </c>
      <c r="J39" s="3">
        <f>(SUMIFS(CTC!$Z$10:$Z$29,CTC!$C$10:$C$29,Table210[[#This Row],[^Project Name]]))*(SUMIFS(CTC!$AB$10:$AB$29,CTC!$C$10:$C$29,Table210[[#This Row],[^Project Name]]))</f>
        <v>2361104</v>
      </c>
      <c r="K39" s="3">
        <v>15880000</v>
      </c>
      <c r="L39" s="3">
        <v>0</v>
      </c>
      <c r="M39" s="3">
        <f>Table210[[#This Row],[ Project Wise Budget]]+Table210[[#This Row],[Extra]]</f>
        <v>15880000</v>
      </c>
      <c r="N39" s="3">
        <f>SUM(Table210[[#This Row],[^Ninth Month]:[^Twelveth Months]])</f>
        <v>9012340</v>
      </c>
      <c r="O39" s="3">
        <f>Table210[[#This Row],['' Project Wise Total Budget]]-Table210[[#This Row],[Project Wise  Total Burnt]]</f>
        <v>6867660</v>
      </c>
      <c r="P39" s="3">
        <f>O39/K39</f>
        <v>0.43247229219143579</v>
      </c>
    </row>
    <row r="64" spans="12:12" x14ac:dyDescent="0.3">
      <c r="L64" t="s">
        <v>162</v>
      </c>
    </row>
  </sheetData>
  <mergeCells count="3">
    <mergeCell ref="K1:T2"/>
    <mergeCell ref="D34:P35"/>
    <mergeCell ref="C7:AB8"/>
  </mergeCells>
  <phoneticPr fontId="3" type="noConversion"/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8C64E-848A-42DA-9A95-3F4DA5DD6C21}">
  <dimension ref="B1:K13"/>
  <sheetViews>
    <sheetView showGridLines="0" zoomScale="70" zoomScaleNormal="70" workbookViewId="0">
      <selection activeCell="D13" sqref="D13"/>
    </sheetView>
  </sheetViews>
  <sheetFormatPr defaultRowHeight="14.4" x14ac:dyDescent="0.3"/>
  <cols>
    <col min="1" max="1" width="2.77734375" customWidth="1"/>
    <col min="3" max="3" width="10" bestFit="1" customWidth="1"/>
    <col min="4" max="4" width="46.33203125" bestFit="1" customWidth="1"/>
    <col min="5" max="5" width="21.5546875" bestFit="1" customWidth="1"/>
    <col min="6" max="6" width="27.5546875" bestFit="1" customWidth="1"/>
    <col min="7" max="7" width="14.33203125" bestFit="1" customWidth="1"/>
    <col min="8" max="8" width="16.88671875" bestFit="1" customWidth="1"/>
    <col min="9" max="9" width="30.77734375" bestFit="1" customWidth="1"/>
    <col min="11" max="11" width="47.88671875" bestFit="1" customWidth="1"/>
  </cols>
  <sheetData>
    <row r="1" spans="2:11" x14ac:dyDescent="0.3">
      <c r="B1" s="88" t="s">
        <v>151</v>
      </c>
      <c r="C1" s="85"/>
      <c r="D1" s="85"/>
      <c r="E1" s="85"/>
      <c r="F1" s="85"/>
      <c r="G1" s="85"/>
      <c r="H1" s="85"/>
      <c r="I1" s="85"/>
      <c r="J1" s="85"/>
      <c r="K1" s="85"/>
    </row>
    <row r="2" spans="2:11" x14ac:dyDescent="0.3"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2:11" x14ac:dyDescent="0.3">
      <c r="B3" s="85"/>
      <c r="C3" s="85"/>
      <c r="D3" s="85"/>
      <c r="E3" s="85"/>
      <c r="F3" s="85"/>
      <c r="G3" s="85"/>
      <c r="H3" s="85"/>
      <c r="I3" s="85"/>
      <c r="J3" s="85"/>
      <c r="K3" s="85"/>
    </row>
    <row r="4" spans="2:11" x14ac:dyDescent="0.3">
      <c r="B4" s="85"/>
      <c r="C4" s="85"/>
      <c r="D4" s="85"/>
      <c r="E4" s="85"/>
      <c r="F4" s="85"/>
      <c r="G4" s="85"/>
      <c r="H4" s="85"/>
      <c r="I4" s="85"/>
      <c r="J4" s="85"/>
      <c r="K4" s="85"/>
    </row>
    <row r="5" spans="2:11" x14ac:dyDescent="0.3">
      <c r="B5" s="85"/>
      <c r="C5" s="85"/>
      <c r="D5" s="85"/>
      <c r="E5" s="85"/>
      <c r="F5" s="85"/>
      <c r="G5" s="85"/>
      <c r="H5" s="85"/>
      <c r="I5" s="85"/>
      <c r="J5" s="85"/>
      <c r="K5" s="85"/>
    </row>
    <row r="8" spans="2:11" x14ac:dyDescent="0.3">
      <c r="C8" s="25" t="s">
        <v>142</v>
      </c>
      <c r="D8" s="26" t="s">
        <v>145</v>
      </c>
      <c r="E8" s="27" t="s">
        <v>150</v>
      </c>
      <c r="F8" s="28" t="s">
        <v>146</v>
      </c>
      <c r="G8" s="28" t="s">
        <v>147</v>
      </c>
      <c r="H8" s="28" t="s">
        <v>143</v>
      </c>
      <c r="I8" s="28" t="s">
        <v>144</v>
      </c>
    </row>
    <row r="9" spans="2:11" x14ac:dyDescent="0.3">
      <c r="C9" s="48">
        <v>1</v>
      </c>
      <c r="D9" s="49" t="s">
        <v>165</v>
      </c>
      <c r="E9" s="50">
        <f>COUNTA(Table2[^Project Name])</f>
        <v>4</v>
      </c>
      <c r="F9" s="51">
        <f>SUM(Table2['' Project Wise Total Budget])</f>
        <v>20000000</v>
      </c>
      <c r="G9" s="51">
        <f>SUM(Table2[Project Wise  Total Burnt])</f>
        <v>12611753</v>
      </c>
      <c r="H9" s="51">
        <f t="shared" ref="H9:H13" si="0">F9-G9</f>
        <v>7388247</v>
      </c>
      <c r="I9" s="89">
        <f t="shared" ref="I9:I13" si="1">H9/F9</f>
        <v>0.36941235</v>
      </c>
    </row>
    <row r="10" spans="2:11" x14ac:dyDescent="0.3">
      <c r="C10" s="52">
        <v>2</v>
      </c>
      <c r="D10" s="49" t="s">
        <v>166</v>
      </c>
      <c r="E10" s="53">
        <f>COUNTA(Table11[^Project Name])</f>
        <v>3</v>
      </c>
      <c r="F10" s="54">
        <f>SUM(Table11['' Project Wise Total Budget])</f>
        <v>33000000</v>
      </c>
      <c r="G10" s="54">
        <f>SUM(Table11['' Project Wise Total Burnt])</f>
        <v>28070006</v>
      </c>
      <c r="H10" s="54">
        <f t="shared" si="0"/>
        <v>4929994</v>
      </c>
      <c r="I10" s="89">
        <f t="shared" si="1"/>
        <v>0.14939375757575757</v>
      </c>
    </row>
    <row r="11" spans="2:11" x14ac:dyDescent="0.3">
      <c r="C11" s="48">
        <v>3</v>
      </c>
      <c r="D11" s="55" t="s">
        <v>167</v>
      </c>
      <c r="E11" s="50">
        <f>COUNTA(Table7[^Project Name])</f>
        <v>2</v>
      </c>
      <c r="F11" s="51">
        <f>SUM(Table7['' Project Wise Total Budget])</f>
        <v>89200000</v>
      </c>
      <c r="G11" s="51">
        <f>SUM(Table7['' Project Wise Total Bunt])</f>
        <v>67888285</v>
      </c>
      <c r="H11" s="51">
        <f t="shared" si="0"/>
        <v>21311715</v>
      </c>
      <c r="I11" s="89">
        <f t="shared" si="1"/>
        <v>0.23892057174887893</v>
      </c>
    </row>
    <row r="12" spans="2:11" x14ac:dyDescent="0.3">
      <c r="C12" s="52">
        <v>4</v>
      </c>
      <c r="D12" s="56" t="s">
        <v>148</v>
      </c>
      <c r="E12" s="53">
        <f>COUNTA(Table27[Project Name])</f>
        <v>6</v>
      </c>
      <c r="F12" s="54">
        <f>SUM(Table27['' Project Wise Total Budget])</f>
        <v>22200000</v>
      </c>
      <c r="G12" s="54">
        <f>SUM(Table27[Project Wise  Total Burnt])</f>
        <v>15453423</v>
      </c>
      <c r="H12" s="54">
        <f t="shared" si="0"/>
        <v>6746577</v>
      </c>
      <c r="I12" s="89">
        <f t="shared" si="1"/>
        <v>0.30389986486486487</v>
      </c>
    </row>
    <row r="13" spans="2:11" x14ac:dyDescent="0.3">
      <c r="C13" s="57">
        <v>5</v>
      </c>
      <c r="D13" s="58" t="s">
        <v>149</v>
      </c>
      <c r="E13" s="59">
        <f>COUNTA(Table210[^Project Name])</f>
        <v>3</v>
      </c>
      <c r="F13" s="60">
        <f>SUM(Table210['' Project Wise Total Budget])</f>
        <v>47640000</v>
      </c>
      <c r="G13" s="60">
        <f>SUM(Table210[Project Wise  Total Burnt])</f>
        <v>32211988</v>
      </c>
      <c r="H13" s="60">
        <f t="shared" si="0"/>
        <v>15428012</v>
      </c>
      <c r="I13" s="89">
        <f t="shared" si="1"/>
        <v>0.32384575986565911</v>
      </c>
    </row>
  </sheetData>
  <mergeCells count="1">
    <mergeCell ref="B1:K5"/>
  </mergeCells>
  <conditionalFormatting sqref="I9:I13">
    <cfRule type="aboveAverage" dxfId="6" priority="1" stopIfTrue="1"/>
    <cfRule type="cellIs" dxfId="7" priority="3" stopIfTrue="1" operator="lessThan">
      <formula>0.1</formula>
    </cfRule>
    <cfRule type="cellIs" dxfId="5" priority="4" stopIfTrue="1" operator="between">
      <formula>0.25</formula>
      <formula>0.1</formula>
    </cfRule>
  </conditionalFormatting>
  <hyperlinks>
    <hyperlink ref="D9" location="IBM!A1" display="IBM" xr:uid="{DE0408F3-083C-4B73-A990-46ED85B3C127}"/>
    <hyperlink ref="D10" location="IQVIA!A1" display="IQVIA" xr:uid="{65B35D97-F7A9-4B08-ABC1-F32FBCF7D4A7}"/>
    <hyperlink ref="D11" location="BAJAJ!A1" display="BAJAJ" xr:uid="{C93ADF9E-92E0-4ABB-AE0D-ABE4E846B983}"/>
    <hyperlink ref="D12" location="RI!A1" display="RELIANCE INDUSTRY" xr:uid="{089E8AB1-729D-46C3-8924-ABA83089C344}"/>
    <hyperlink ref="D13" location="CTC!A1" display="COGNIZANT TECHNOLOGY SOLUTIONS CORPORATION" xr:uid="{B435F411-FD68-41DD-A1EB-88AD2AE3CFF7}"/>
  </hyperlinks>
  <pageMargins left="0.7" right="0.7" top="0.75" bottom="0.75" header="0.3" footer="0.3"/>
  <pageSetup paperSize="9" orientation="portrait" horizont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IBM</vt:lpstr>
      <vt:lpstr>IQVIA</vt:lpstr>
      <vt:lpstr>BAJAJ</vt:lpstr>
      <vt:lpstr>RI</vt:lpstr>
      <vt:lpstr>CTC</vt:lpstr>
      <vt:lpstr>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ARGHYADIP PANDEY</dc:creator>
  <cp:lastModifiedBy>vwhk5</cp:lastModifiedBy>
  <dcterms:created xsi:type="dcterms:W3CDTF">2024-10-02T18:39:19Z</dcterms:created>
  <dcterms:modified xsi:type="dcterms:W3CDTF">2025-02-25T20:13:03Z</dcterms:modified>
</cp:coreProperties>
</file>