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202155.LABOS\Desktop\"/>
    </mc:Choice>
  </mc:AlternateContent>
  <bookViews>
    <workbookView xWindow="3375" yWindow="3375" windowWidth="14610" windowHeight="10710"/>
  </bookViews>
  <sheets>
    <sheet name="aero_spreadshee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5" l="1"/>
  <c r="L7" i="5" l="1"/>
  <c r="L5" i="5"/>
  <c r="C16" i="5" l="1"/>
  <c r="L29" i="5"/>
  <c r="C68" i="5"/>
  <c r="F65" i="5" s="1"/>
  <c r="C59" i="5"/>
  <c r="F56" i="5" s="1"/>
  <c r="C56" i="5"/>
  <c r="C47" i="5"/>
  <c r="C50" i="5"/>
  <c r="G15" i="5"/>
  <c r="C43" i="5"/>
  <c r="C42" i="5"/>
  <c r="G23" i="5"/>
  <c r="I47" i="5" l="1"/>
  <c r="F47" i="5"/>
  <c r="C17" i="5"/>
  <c r="C12" i="5"/>
  <c r="C8" i="5"/>
  <c r="C5" i="5"/>
  <c r="I69" i="5"/>
  <c r="I65" i="5"/>
  <c r="I66" i="5" s="1"/>
  <c r="I60" i="5"/>
  <c r="I56" i="5"/>
  <c r="I51" i="5"/>
  <c r="I44" i="5"/>
  <c r="F44" i="5"/>
  <c r="I42" i="5"/>
  <c r="F42" i="5"/>
  <c r="I37" i="5"/>
  <c r="F37" i="5"/>
  <c r="L28" i="5"/>
  <c r="G18" i="5"/>
  <c r="L13" i="5"/>
  <c r="G11" i="5"/>
  <c r="L8" i="5"/>
  <c r="L10" i="5" s="1"/>
  <c r="L9" i="5"/>
  <c r="L11" i="5" s="1"/>
  <c r="C38" i="5" l="1"/>
  <c r="G5" i="5"/>
  <c r="F28" i="5"/>
  <c r="F66" i="5"/>
  <c r="I49" i="5"/>
  <c r="I32" i="5"/>
  <c r="I61" i="5"/>
  <c r="F29" i="5"/>
  <c r="I43" i="5"/>
  <c r="I45" i="5" s="1"/>
  <c r="F48" i="5"/>
  <c r="F38" i="5"/>
  <c r="F58" i="5"/>
  <c r="F43" i="5"/>
  <c r="F45" i="5" s="1"/>
  <c r="F67" i="5"/>
  <c r="F57" i="5"/>
  <c r="F49" i="5"/>
  <c r="I31" i="5"/>
  <c r="L15" i="5"/>
  <c r="G24" i="5"/>
  <c r="G6" i="5"/>
  <c r="I38" i="5"/>
  <c r="I48" i="5"/>
  <c r="I57" i="5"/>
  <c r="I29" i="5"/>
  <c r="L12" i="5"/>
  <c r="I58" i="5"/>
  <c r="G25" i="5"/>
  <c r="I52" i="5"/>
  <c r="I67" i="5"/>
  <c r="I68" i="5" s="1"/>
  <c r="I28" i="5"/>
  <c r="I50" i="5" l="1"/>
  <c r="L34" i="5"/>
  <c r="F40" i="5"/>
  <c r="F50" i="5"/>
  <c r="F30" i="5"/>
  <c r="I39" i="5"/>
  <c r="I40" i="5" s="1"/>
  <c r="F39" i="5"/>
  <c r="F68" i="5"/>
  <c r="I74" i="5"/>
  <c r="L18" i="5"/>
  <c r="L14" i="5"/>
  <c r="F59" i="5"/>
  <c r="I59" i="5"/>
  <c r="I75" i="5"/>
  <c r="I30" i="5"/>
  <c r="L35" i="5"/>
  <c r="F73" i="5" l="1"/>
  <c r="L19" i="5"/>
  <c r="L32" i="5" s="1"/>
  <c r="L31" i="5"/>
  <c r="I73" i="5"/>
  <c r="I77" i="5" s="1"/>
  <c r="L21" i="5"/>
  <c r="L22" i="5"/>
  <c r="L37" i="5"/>
  <c r="L40" i="5" s="1"/>
  <c r="L36" i="5" l="1"/>
  <c r="L39" i="5" s="1"/>
  <c r="I78" i="5"/>
</calcChain>
</file>

<file path=xl/sharedStrings.xml><?xml version="1.0" encoding="utf-8"?>
<sst xmlns="http://schemas.openxmlformats.org/spreadsheetml/2006/main" count="241" uniqueCount="159">
  <si>
    <t>b (incl. wl)</t>
  </si>
  <si>
    <t>ft</t>
  </si>
  <si>
    <t>ft**2</t>
  </si>
  <si>
    <t>MTOW</t>
  </si>
  <si>
    <t>lbs</t>
  </si>
  <si>
    <t>S (ESDU equiv.)</t>
  </si>
  <si>
    <t>e</t>
  </si>
  <si>
    <t>Corke 4.17, 4.18</t>
  </si>
  <si>
    <t>Cdi</t>
  </si>
  <si>
    <t>CL</t>
  </si>
  <si>
    <t xml:space="preserve">b </t>
  </si>
  <si>
    <t>°</t>
  </si>
  <si>
    <t>j25</t>
  </si>
  <si>
    <t>3D Clmax clean</t>
  </si>
  <si>
    <t>Raymer 2.15</t>
  </si>
  <si>
    <t>Slatted area</t>
  </si>
  <si>
    <t>mac</t>
  </si>
  <si>
    <t>AR (incl. wl)</t>
  </si>
  <si>
    <r>
      <t>d</t>
    </r>
    <r>
      <rPr>
        <vertAlign val="subscript"/>
        <sz val="10"/>
        <rFont val="Arial"/>
        <family val="2"/>
      </rPr>
      <t>fuse</t>
    </r>
  </si>
  <si>
    <r>
      <t>j IB</t>
    </r>
    <r>
      <rPr>
        <sz val="10"/>
        <rFont val="Arial"/>
        <family val="2"/>
      </rPr>
      <t>FlapHL</t>
    </r>
  </si>
  <si>
    <r>
      <t>j OB</t>
    </r>
    <r>
      <rPr>
        <sz val="10"/>
        <rFont val="Arial"/>
        <family val="2"/>
      </rPr>
      <t>FlapHL</t>
    </r>
  </si>
  <si>
    <r>
      <t>j</t>
    </r>
    <r>
      <rPr>
        <sz val="10"/>
        <rFont val="Arial"/>
        <family val="2"/>
      </rPr>
      <t xml:space="preserve"> SlatHL</t>
    </r>
  </si>
  <si>
    <t>Slat c'/c</t>
  </si>
  <si>
    <t>Flaps cf/c</t>
  </si>
  <si>
    <t>Landing Flaps delta c</t>
  </si>
  <si>
    <t>T/O Flaps delta c</t>
  </si>
  <si>
    <t>Landing Flaps delta c/cf</t>
  </si>
  <si>
    <t>T/O Flaps delta c/cf</t>
  </si>
  <si>
    <t>Landing Flaps c'/c</t>
  </si>
  <si>
    <t>T/O Flaps c'/c</t>
  </si>
  <si>
    <t>Delta Clmax Landing</t>
  </si>
  <si>
    <t>Delta cl slat</t>
  </si>
  <si>
    <t>Flapped area IB</t>
  </si>
  <si>
    <t>Flapped area OB</t>
  </si>
  <si>
    <t>Raymer 12.21</t>
  </si>
  <si>
    <t>Clmax Flaps/Slats Landing</t>
  </si>
  <si>
    <t>Clmax Flaps/Slats T/O</t>
  </si>
  <si>
    <t>prescribed</t>
  </si>
  <si>
    <t>2D Clmax clean average</t>
  </si>
  <si>
    <t>Lift</t>
  </si>
  <si>
    <t>Drag</t>
  </si>
  <si>
    <t>from graph IVa</t>
  </si>
  <si>
    <t>http://www.aerospaceweb.org/design/scripts/atmosphere/</t>
  </si>
  <si>
    <t>Reynolds number etc.</t>
  </si>
  <si>
    <t>(x/c)max loc. max thickness</t>
  </si>
  <si>
    <t>CLmax LDG minus 3% for MLG, take credit for 90% of CLmax only if not using FBW</t>
  </si>
  <si>
    <t>minus 4%  for trim</t>
  </si>
  <si>
    <r>
      <t xml:space="preserve">j </t>
    </r>
    <r>
      <rPr>
        <sz val="10"/>
        <rFont val="Arial"/>
        <family val="2"/>
      </rPr>
      <t>t/cmax</t>
    </r>
  </si>
  <si>
    <r>
      <t xml:space="preserve">j </t>
    </r>
    <r>
      <rPr>
        <sz val="10"/>
        <rFont val="Arial"/>
        <family val="2"/>
      </rPr>
      <t>LE</t>
    </r>
  </si>
  <si>
    <t>Cruise Mach</t>
  </si>
  <si>
    <t>Cruise altitude</t>
  </si>
  <si>
    <t>LS Mach</t>
  </si>
  <si>
    <t>Max. fuel weight</t>
  </si>
  <si>
    <t>rho cruise</t>
  </si>
  <si>
    <t>V cruise</t>
  </si>
  <si>
    <t>ft/s</t>
  </si>
  <si>
    <t>V LS</t>
  </si>
  <si>
    <t>Re cruise</t>
  </si>
  <si>
    <t>Re LS</t>
  </si>
  <si>
    <t>Wing</t>
  </si>
  <si>
    <t>Fuselage</t>
  </si>
  <si>
    <t>fuselage length</t>
  </si>
  <si>
    <t>Nacelle</t>
  </si>
  <si>
    <t>nacelle length</t>
  </si>
  <si>
    <r>
      <t>d</t>
    </r>
    <r>
      <rPr>
        <vertAlign val="subscript"/>
        <sz val="10"/>
        <rFont val="Arial"/>
        <family val="2"/>
      </rPr>
      <t>nac</t>
    </r>
  </si>
  <si>
    <r>
      <t>Interference factor Q</t>
    </r>
    <r>
      <rPr>
        <vertAlign val="subscript"/>
        <sz val="10"/>
        <rFont val="Arial"/>
        <family val="2"/>
      </rPr>
      <t>fuse</t>
    </r>
  </si>
  <si>
    <r>
      <t>Interference factor Q</t>
    </r>
    <r>
      <rPr>
        <vertAlign val="subscript"/>
        <sz val="10"/>
        <rFont val="Arial"/>
        <family val="2"/>
      </rPr>
      <t>nac</t>
    </r>
  </si>
  <si>
    <t>H-tail</t>
  </si>
  <si>
    <t>S Htail</t>
  </si>
  <si>
    <r>
      <t xml:space="preserve">j </t>
    </r>
    <r>
      <rPr>
        <sz val="10"/>
        <rFont val="Arial"/>
        <family val="2"/>
      </rPr>
      <t>LE Htail</t>
    </r>
  </si>
  <si>
    <r>
      <t xml:space="preserve">j </t>
    </r>
    <r>
      <rPr>
        <sz val="10"/>
        <rFont val="Arial"/>
        <family val="2"/>
      </rPr>
      <t>t/cmax Htail</t>
    </r>
  </si>
  <si>
    <t>mac Htail</t>
  </si>
  <si>
    <t>Swet Htail</t>
  </si>
  <si>
    <r>
      <t>Interference factor Q</t>
    </r>
    <r>
      <rPr>
        <vertAlign val="subscript"/>
        <sz val="10"/>
        <rFont val="Arial"/>
        <family val="2"/>
      </rPr>
      <t>htail</t>
    </r>
  </si>
  <si>
    <r>
      <t>Interference factor Q</t>
    </r>
    <r>
      <rPr>
        <vertAlign val="subscript"/>
        <sz val="10"/>
        <rFont val="Arial"/>
        <family val="2"/>
      </rPr>
      <t>wing</t>
    </r>
  </si>
  <si>
    <t>S wet wing</t>
  </si>
  <si>
    <t>S wet fuse</t>
  </si>
  <si>
    <t>S wet nac</t>
  </si>
  <si>
    <t>t/c Htail av</t>
  </si>
  <si>
    <t>mac Vtail</t>
  </si>
  <si>
    <t>Interference factor QVtail</t>
  </si>
  <si>
    <t>Swet Vtail</t>
  </si>
  <si>
    <t>t/c Vtail av</t>
  </si>
  <si>
    <t>S Vtail</t>
  </si>
  <si>
    <t>V-tail</t>
  </si>
  <si>
    <r>
      <t xml:space="preserve">j </t>
    </r>
    <r>
      <rPr>
        <sz val="10"/>
        <rFont val="Arial"/>
        <family val="2"/>
      </rPr>
      <t>LE Vtail</t>
    </r>
  </si>
  <si>
    <r>
      <t xml:space="preserve">j </t>
    </r>
    <r>
      <rPr>
        <sz val="10"/>
        <rFont val="Arial"/>
        <family val="2"/>
      </rPr>
      <t>t/cmax Vtail</t>
    </r>
  </si>
  <si>
    <t>Pylon</t>
  </si>
  <si>
    <t>mac Pylon</t>
  </si>
  <si>
    <t>Interference factor QPylon</t>
  </si>
  <si>
    <t>Swet Pylon</t>
  </si>
  <si>
    <t>t/c Pylon av</t>
  </si>
  <si>
    <t>S Pylon</t>
  </si>
  <si>
    <r>
      <t xml:space="preserve">j </t>
    </r>
    <r>
      <rPr>
        <sz val="10"/>
        <rFont val="Arial"/>
        <family val="2"/>
      </rPr>
      <t>LE Pylon</t>
    </r>
  </si>
  <si>
    <r>
      <t xml:space="preserve">j </t>
    </r>
    <r>
      <rPr>
        <sz val="10"/>
        <rFont val="Arial"/>
        <family val="2"/>
      </rPr>
      <t>t/cmax Pylon</t>
    </r>
  </si>
  <si>
    <t>t/c average</t>
  </si>
  <si>
    <t>rho LS</t>
  </si>
  <si>
    <r>
      <rPr>
        <sz val="10"/>
        <rFont val="Symbol"/>
        <family val="1"/>
        <charset val="2"/>
      </rPr>
      <t>n</t>
    </r>
    <r>
      <rPr>
        <sz val="10"/>
        <rFont val="Arial"/>
        <family val="2"/>
      </rPr>
      <t xml:space="preserve"> cruise</t>
    </r>
  </si>
  <si>
    <r>
      <rPr>
        <sz val="10"/>
        <rFont val="Symbol"/>
        <family val="1"/>
        <charset val="2"/>
      </rPr>
      <t>n</t>
    </r>
    <r>
      <rPr>
        <sz val="10"/>
        <rFont val="Arial"/>
        <family val="2"/>
      </rPr>
      <t xml:space="preserve"> LS</t>
    </r>
  </si>
  <si>
    <t>ft**2/s</t>
  </si>
  <si>
    <t>slug/ft**3</t>
  </si>
  <si>
    <t>Cf wing</t>
  </si>
  <si>
    <r>
      <rPr>
        <sz val="10"/>
        <rFont val="Symbol"/>
        <family val="1"/>
        <charset val="2"/>
      </rPr>
      <t>Á</t>
    </r>
    <r>
      <rPr>
        <sz val="10"/>
        <rFont val="Arial"/>
        <family val="2"/>
      </rPr>
      <t xml:space="preserve"> wing</t>
    </r>
  </si>
  <si>
    <t>CD0 wing</t>
  </si>
  <si>
    <t>LS</t>
  </si>
  <si>
    <t>Cruise</t>
  </si>
  <si>
    <t>Cf fuse</t>
  </si>
  <si>
    <r>
      <rPr>
        <sz val="10"/>
        <rFont val="Symbol"/>
        <family val="1"/>
        <charset val="2"/>
      </rPr>
      <t>Á</t>
    </r>
    <r>
      <rPr>
        <sz val="10"/>
        <rFont val="Arial"/>
        <family val="2"/>
      </rPr>
      <t xml:space="preserve"> fuse</t>
    </r>
  </si>
  <si>
    <t>CD0 fuse</t>
  </si>
  <si>
    <t>Cf nac</t>
  </si>
  <si>
    <r>
      <rPr>
        <sz val="10"/>
        <rFont val="Symbol"/>
        <family val="1"/>
        <charset val="2"/>
      </rPr>
      <t>Á</t>
    </r>
    <r>
      <rPr>
        <sz val="10"/>
        <rFont val="Arial"/>
        <family val="2"/>
      </rPr>
      <t xml:space="preserve"> nac</t>
    </r>
  </si>
  <si>
    <t>CD0 nac</t>
  </si>
  <si>
    <t>Cf pyl</t>
  </si>
  <si>
    <r>
      <rPr>
        <sz val="10"/>
        <rFont val="Symbol"/>
        <family val="1"/>
        <charset val="2"/>
      </rPr>
      <t>Á</t>
    </r>
    <r>
      <rPr>
        <sz val="10"/>
        <rFont val="Arial"/>
        <family val="2"/>
      </rPr>
      <t xml:space="preserve"> pyl</t>
    </r>
  </si>
  <si>
    <t>CD0 pyl</t>
  </si>
  <si>
    <t>CDcomp</t>
  </si>
  <si>
    <t>LS  M</t>
  </si>
  <si>
    <t>Cruise M</t>
  </si>
  <si>
    <t>Cf htail</t>
  </si>
  <si>
    <r>
      <rPr>
        <sz val="10"/>
        <rFont val="Symbol"/>
        <family val="1"/>
        <charset val="2"/>
      </rPr>
      <t>Á</t>
    </r>
    <r>
      <rPr>
        <sz val="10"/>
        <rFont val="Arial"/>
        <family val="2"/>
      </rPr>
      <t xml:space="preserve"> htail</t>
    </r>
  </si>
  <si>
    <t>CD0 htail</t>
  </si>
  <si>
    <t>Cf vtail</t>
  </si>
  <si>
    <r>
      <rPr>
        <sz val="10"/>
        <rFont val="Symbol"/>
        <family val="1"/>
        <charset val="2"/>
      </rPr>
      <t>Á</t>
    </r>
    <r>
      <rPr>
        <sz val="10"/>
        <rFont val="Arial"/>
        <family val="2"/>
      </rPr>
      <t xml:space="preserve"> vtail</t>
    </r>
  </si>
  <si>
    <t>CD0 vtail</t>
  </si>
  <si>
    <t>Re x</t>
  </si>
  <si>
    <t>Mcrit</t>
  </si>
  <si>
    <t>LS CD0 tot</t>
  </si>
  <si>
    <t>Cruise CD0 tot</t>
  </si>
  <si>
    <t>Cruise CDcomp tot</t>
  </si>
  <si>
    <t>Excrescence CD</t>
  </si>
  <si>
    <t>Cruise CDi</t>
  </si>
  <si>
    <t>Cruise CD tot</t>
  </si>
  <si>
    <t>Clmax Flaps/Slats Landing (trim, MLG, no FBW)</t>
  </si>
  <si>
    <t>Clmax Flaps/Slats T/O (trim. no FBW)</t>
  </si>
  <si>
    <t>Max. Landing Weight</t>
  </si>
  <si>
    <t>CL at Vref</t>
  </si>
  <si>
    <t>CL at T/O</t>
  </si>
  <si>
    <t>Landing Gear</t>
  </si>
  <si>
    <t>Delta CD0 Flap LDG</t>
  </si>
  <si>
    <t>Delta CD0 Flap T/O</t>
  </si>
  <si>
    <t>Delta CDi Flap LDG</t>
  </si>
  <si>
    <t>Delta CDi Flap T/O</t>
  </si>
  <si>
    <t>Low Speed HL System</t>
  </si>
  <si>
    <t>CD tot LDG</t>
  </si>
  <si>
    <t>CD tot T/O</t>
  </si>
  <si>
    <t>L/D LDG</t>
  </si>
  <si>
    <t>L/D T/O</t>
  </si>
  <si>
    <t>Clean CDi at Vref</t>
  </si>
  <si>
    <t>Delta Clmax T/O</t>
  </si>
  <si>
    <t>Mid Cruise L/D</t>
  </si>
  <si>
    <t>CL mid cruise</t>
  </si>
  <si>
    <t>Korn eq. technology factor k</t>
  </si>
  <si>
    <t>Clean CDi at T/O</t>
  </si>
  <si>
    <t>GX6000</t>
  </si>
  <si>
    <t>Kin. Visc.</t>
  </si>
  <si>
    <t>Vref 129.3kts</t>
  </si>
  <si>
    <t>Wing Cdcomp correc.fac.</t>
  </si>
  <si>
    <t>Delta cl Landing flap fowler</t>
  </si>
  <si>
    <t>Delta cl T/O flap fowler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</si>
</sst>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0"/>
  </numFmts>
  <fonts count="6" x14ac:knownFonts="1">
    <font>
      <sz val="10"/>
      <name val="Arial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2" borderId="0" xfId="0" applyFill="1"/>
    <xf numFmtId="2" fontId="0" fillId="3" borderId="0" xfId="0" applyNumberFormat="1" applyFill="1"/>
    <xf numFmtId="0" fontId="0" fillId="3" borderId="0" xfId="0" applyFill="1"/>
    <xf numFmtId="165" fontId="0" fillId="3" borderId="0" xfId="0" applyNumberFormat="1" applyFill="1"/>
    <xf numFmtId="0" fontId="1" fillId="2" borderId="0" xfId="0" applyFont="1" applyFill="1"/>
    <xf numFmtId="0" fontId="1" fillId="4" borderId="0" xfId="0" applyFont="1" applyFill="1"/>
    <xf numFmtId="166" fontId="0" fillId="3" borderId="0" xfId="0" applyNumberFormat="1" applyFill="1"/>
    <xf numFmtId="164" fontId="0" fillId="3" borderId="0" xfId="0" applyNumberFormat="1" applyFill="1"/>
    <xf numFmtId="166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10" fontId="0" fillId="0" borderId="0" xfId="2" applyNumberFormat="1" applyFont="1"/>
    <xf numFmtId="2" fontId="0" fillId="2" borderId="0" xfId="0" applyNumberFormat="1" applyFill="1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2" fontId="1" fillId="2" borderId="0" xfId="0" applyNumberFormat="1" applyFont="1" applyFill="1"/>
    <xf numFmtId="166" fontId="0" fillId="0" borderId="0" xfId="0" applyNumberFormat="1" applyFill="1"/>
    <xf numFmtId="2" fontId="0" fillId="0" borderId="0" xfId="0" applyNumberFormat="1" applyFill="1"/>
    <xf numFmtId="0" fontId="4" fillId="0" borderId="0" xfId="1"/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erospaceweb.org/design/scripts/atmosphe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8"/>
  <sheetViews>
    <sheetView tabSelected="1" topLeftCell="F1" workbookViewId="0">
      <selection activeCell="I21" sqref="I21"/>
    </sheetView>
  </sheetViews>
  <sheetFormatPr baseColWidth="10" defaultColWidth="9.140625" defaultRowHeight="12.75" x14ac:dyDescent="0.2"/>
  <cols>
    <col min="2" max="2" width="24" customWidth="1"/>
    <col min="3" max="3" width="10.5703125" bestFit="1" customWidth="1"/>
    <col min="4" max="4" width="13.140625" customWidth="1"/>
    <col min="5" max="5" width="10.42578125" customWidth="1"/>
    <col min="6" max="6" width="13.140625" customWidth="1"/>
    <col min="8" max="8" width="17" customWidth="1"/>
    <col min="9" max="9" width="21.140625" customWidth="1"/>
    <col min="10" max="10" width="23.7109375" customWidth="1"/>
    <col min="11" max="11" width="41.5703125" customWidth="1"/>
    <col min="12" max="12" width="17.85546875" bestFit="1" customWidth="1"/>
    <col min="15" max="15" width="10.5703125" customWidth="1"/>
  </cols>
  <sheetData>
    <row r="1" spans="2:21" x14ac:dyDescent="0.2">
      <c r="K1" s="1" t="s">
        <v>142</v>
      </c>
    </row>
    <row r="2" spans="2:21" x14ac:dyDescent="0.2">
      <c r="K2" t="s">
        <v>39</v>
      </c>
      <c r="O2" s="19"/>
      <c r="P2" s="20"/>
      <c r="Q2" s="20"/>
      <c r="R2" s="20"/>
      <c r="S2" s="20"/>
      <c r="T2" s="20"/>
      <c r="U2" s="1"/>
    </row>
    <row r="3" spans="2:21" x14ac:dyDescent="0.2">
      <c r="B3" t="s">
        <v>153</v>
      </c>
      <c r="F3" t="s">
        <v>9</v>
      </c>
      <c r="G3">
        <v>0.5</v>
      </c>
      <c r="K3" s="1" t="s">
        <v>38</v>
      </c>
      <c r="L3" s="6">
        <v>2</v>
      </c>
      <c r="O3" s="20"/>
      <c r="P3" s="20"/>
      <c r="Q3" s="20"/>
      <c r="R3" s="20"/>
      <c r="S3" s="20"/>
      <c r="T3" s="20"/>
    </row>
    <row r="4" spans="2:21" x14ac:dyDescent="0.2">
      <c r="B4" s="11" t="s">
        <v>59</v>
      </c>
      <c r="C4" s="11"/>
      <c r="D4" s="11"/>
      <c r="E4" s="11"/>
      <c r="F4" s="11"/>
      <c r="G4" s="11"/>
      <c r="H4" s="11"/>
      <c r="I4" s="11"/>
      <c r="O4" s="20"/>
      <c r="P4" s="20"/>
      <c r="Q4" s="20"/>
      <c r="R4" s="20"/>
      <c r="S4" s="20"/>
      <c r="T4" s="20"/>
    </row>
    <row r="5" spans="2:21" x14ac:dyDescent="0.2">
      <c r="B5" t="s">
        <v>10</v>
      </c>
      <c r="C5" s="18">
        <f>1086.965/12</f>
        <v>90.580416666666665</v>
      </c>
      <c r="D5" t="s">
        <v>1</v>
      </c>
      <c r="F5" t="s">
        <v>6</v>
      </c>
      <c r="G5" s="3">
        <f>0.98*(1-(C8/C6))</f>
        <v>0.88790780141843972</v>
      </c>
      <c r="H5" t="s">
        <v>7</v>
      </c>
      <c r="K5" t="s">
        <v>13</v>
      </c>
      <c r="L5" s="9">
        <f>0.9*$L$3*COS(RADIANS($C$13))</f>
        <v>1.4848492271868248</v>
      </c>
      <c r="M5" t="s">
        <v>14</v>
      </c>
      <c r="O5" s="20"/>
      <c r="P5" s="19"/>
      <c r="Q5" s="20"/>
      <c r="R5" s="20"/>
      <c r="S5" s="20"/>
      <c r="T5" s="19"/>
    </row>
    <row r="6" spans="2:21" x14ac:dyDescent="0.2">
      <c r="B6" t="s">
        <v>0</v>
      </c>
      <c r="C6" s="18">
        <v>94</v>
      </c>
      <c r="D6" t="s">
        <v>1</v>
      </c>
      <c r="F6" t="s">
        <v>8</v>
      </c>
      <c r="G6" s="2">
        <f>($G$3^2)/(PI()*$G$5*$C$12)</f>
        <v>1.0366149137552889E-2</v>
      </c>
    </row>
    <row r="7" spans="2:21" x14ac:dyDescent="0.2">
      <c r="B7" t="s">
        <v>5</v>
      </c>
      <c r="C7" s="18">
        <v>1022</v>
      </c>
      <c r="D7" t="s">
        <v>2</v>
      </c>
      <c r="K7" s="1" t="s">
        <v>24</v>
      </c>
      <c r="L7" s="8">
        <f>$C$22*$C$23</f>
        <v>0.14300000000000002</v>
      </c>
    </row>
    <row r="8" spans="2:21" ht="15.75" x14ac:dyDescent="0.3">
      <c r="B8" t="s">
        <v>18</v>
      </c>
      <c r="C8" s="18">
        <f>106/12</f>
        <v>8.8333333333333339</v>
      </c>
      <c r="D8" t="s">
        <v>1</v>
      </c>
      <c r="F8" t="s">
        <v>43</v>
      </c>
      <c r="K8" s="1" t="s">
        <v>25</v>
      </c>
      <c r="L8" s="8">
        <f>$C$22*$C$24</f>
        <v>0.12740000000000001</v>
      </c>
    </row>
    <row r="9" spans="2:21" x14ac:dyDescent="0.2">
      <c r="B9" t="s">
        <v>3</v>
      </c>
      <c r="C9" s="6">
        <v>99500</v>
      </c>
      <c r="D9" t="s">
        <v>4</v>
      </c>
      <c r="F9" s="25" t="s">
        <v>42</v>
      </c>
      <c r="G9" s="25"/>
      <c r="H9" s="25"/>
      <c r="I9" s="25"/>
      <c r="K9" s="1" t="s">
        <v>28</v>
      </c>
      <c r="L9" s="8">
        <f>1+L7</f>
        <v>1.143</v>
      </c>
    </row>
    <row r="10" spans="2:21" x14ac:dyDescent="0.2">
      <c r="B10" s="1" t="s">
        <v>52</v>
      </c>
      <c r="C10" s="6">
        <v>45050</v>
      </c>
      <c r="D10" s="1" t="s">
        <v>4</v>
      </c>
      <c r="K10" s="1" t="s">
        <v>29</v>
      </c>
      <c r="L10" s="8">
        <f>1+L8</f>
        <v>1.1274</v>
      </c>
    </row>
    <row r="11" spans="2:21" x14ac:dyDescent="0.2">
      <c r="B11" s="1" t="s">
        <v>134</v>
      </c>
      <c r="C11" s="6">
        <v>78600</v>
      </c>
      <c r="D11" s="1" t="s">
        <v>4</v>
      </c>
      <c r="F11" s="1" t="s">
        <v>117</v>
      </c>
      <c r="G11" s="6">
        <f>C30</f>
        <v>0.85</v>
      </c>
      <c r="K11" s="1" t="s">
        <v>157</v>
      </c>
      <c r="L11" s="7">
        <f>1.3*L9</f>
        <v>1.4859</v>
      </c>
    </row>
    <row r="12" spans="2:21" x14ac:dyDescent="0.2">
      <c r="B12" t="s">
        <v>17</v>
      </c>
      <c r="C12" s="7">
        <f>C6^2/C7</f>
        <v>8.6457925636007822</v>
      </c>
      <c r="F12" s="1" t="s">
        <v>54</v>
      </c>
      <c r="G12" s="6">
        <v>822.86429999999996</v>
      </c>
      <c r="H12" s="1" t="s">
        <v>55</v>
      </c>
      <c r="K12" s="1" t="s">
        <v>158</v>
      </c>
      <c r="L12" s="7">
        <f>0.8*L11</f>
        <v>1.18872</v>
      </c>
    </row>
    <row r="13" spans="2:21" x14ac:dyDescent="0.2">
      <c r="B13" s="5" t="s">
        <v>12</v>
      </c>
      <c r="C13" s="6">
        <v>34.42</v>
      </c>
      <c r="D13" t="s">
        <v>11</v>
      </c>
      <c r="F13" s="1" t="s">
        <v>53</v>
      </c>
      <c r="G13" s="6">
        <v>4.4073000000000002E-4</v>
      </c>
      <c r="H13" s="1" t="s">
        <v>100</v>
      </c>
      <c r="K13" s="1" t="s">
        <v>31</v>
      </c>
      <c r="L13" s="8">
        <f>0.4*C21</f>
        <v>0.42000000000000004</v>
      </c>
      <c r="O13" s="20"/>
      <c r="P13" s="20"/>
      <c r="Q13" s="20"/>
      <c r="R13" s="20"/>
      <c r="S13" s="20"/>
    </row>
    <row r="14" spans="2:21" x14ac:dyDescent="0.2">
      <c r="B14" s="19" t="s">
        <v>32</v>
      </c>
      <c r="C14" s="18">
        <v>380</v>
      </c>
      <c r="D14" s="1" t="s">
        <v>2</v>
      </c>
      <c r="E14" s="1" t="s">
        <v>154</v>
      </c>
      <c r="F14" s="1" t="s">
        <v>97</v>
      </c>
      <c r="G14" s="6">
        <v>6.7400000000000001E-4</v>
      </c>
      <c r="H14" s="1" t="s">
        <v>99</v>
      </c>
      <c r="K14" s="1" t="s">
        <v>148</v>
      </c>
      <c r="L14" s="7">
        <f>0.8*L15</f>
        <v>0.96141391039040947</v>
      </c>
      <c r="O14" s="20"/>
      <c r="P14" s="19"/>
      <c r="Q14" s="20"/>
      <c r="R14" s="20"/>
      <c r="S14" s="20"/>
    </row>
    <row r="15" spans="2:21" x14ac:dyDescent="0.2">
      <c r="B15" s="19" t="s">
        <v>33</v>
      </c>
      <c r="C15" s="18">
        <v>380</v>
      </c>
      <c r="D15" s="1" t="s">
        <v>2</v>
      </c>
      <c r="F15" s="1" t="s">
        <v>150</v>
      </c>
      <c r="G15" s="7">
        <f>(2*($C$9-$C$10/2)*32.0602)/($G$13*$C$7*$G$12^2*32.2)</f>
        <v>0.50258566568215379</v>
      </c>
      <c r="K15" s="1" t="s">
        <v>30</v>
      </c>
      <c r="L15" s="7">
        <f>0.9*$L$11*($C$14/$C$7)*COS(RADIANS($C$18))+0.9*$L$11*($C$15/$C$7)*COS(RADIANS($C$19))+0.9*$L$13*($C$16/$C$7)*COS(RADIANS($C$20))</f>
        <v>1.2017673879880117</v>
      </c>
      <c r="M15" t="s">
        <v>34</v>
      </c>
      <c r="O15" s="20"/>
      <c r="P15" s="19"/>
      <c r="Q15" s="20"/>
      <c r="R15" s="20"/>
      <c r="S15" s="20"/>
    </row>
    <row r="16" spans="2:21" x14ac:dyDescent="0.2">
      <c r="B16" s="20" t="s">
        <v>15</v>
      </c>
      <c r="C16" s="6">
        <f>C7*0.85</f>
        <v>868.69999999999993</v>
      </c>
      <c r="D16" s="1" t="s">
        <v>2</v>
      </c>
      <c r="F16" s="1" t="s">
        <v>57</v>
      </c>
      <c r="G16" s="15">
        <v>15633000</v>
      </c>
      <c r="K16" s="1"/>
      <c r="L16" s="4"/>
    </row>
    <row r="17" spans="2:20" x14ac:dyDescent="0.2">
      <c r="B17" t="s">
        <v>16</v>
      </c>
      <c r="C17" s="6">
        <f>153.588/12</f>
        <v>12.798999999999999</v>
      </c>
      <c r="D17" s="1" t="s">
        <v>1</v>
      </c>
      <c r="M17" t="s">
        <v>45</v>
      </c>
    </row>
    <row r="18" spans="2:20" x14ac:dyDescent="0.2">
      <c r="B18" s="21" t="s">
        <v>19</v>
      </c>
      <c r="C18" s="6">
        <v>6</v>
      </c>
      <c r="D18" t="s">
        <v>11</v>
      </c>
      <c r="F18" s="1" t="s">
        <v>116</v>
      </c>
      <c r="G18" s="6">
        <f>C32</f>
        <v>0.22</v>
      </c>
      <c r="K18" s="1" t="s">
        <v>35</v>
      </c>
      <c r="L18" s="7">
        <f>L5+L15</f>
        <v>2.6866166151748363</v>
      </c>
      <c r="M18" t="s">
        <v>46</v>
      </c>
      <c r="O18" s="20"/>
      <c r="P18" s="19"/>
      <c r="Q18" s="20"/>
      <c r="R18" s="20"/>
      <c r="S18" s="20"/>
      <c r="T18" s="19"/>
    </row>
    <row r="19" spans="2:20" x14ac:dyDescent="0.2">
      <c r="B19" s="21" t="s">
        <v>20</v>
      </c>
      <c r="C19" s="6">
        <v>25</v>
      </c>
      <c r="D19" t="s">
        <v>11</v>
      </c>
      <c r="F19" s="1" t="s">
        <v>56</v>
      </c>
      <c r="G19" s="6">
        <v>245.62</v>
      </c>
      <c r="H19" s="1" t="s">
        <v>55</v>
      </c>
      <c r="K19" s="1" t="s">
        <v>36</v>
      </c>
      <c r="L19" s="7">
        <f>0.8*L18</f>
        <v>2.1492932921398693</v>
      </c>
      <c r="M19" t="s">
        <v>46</v>
      </c>
      <c r="O19" s="20"/>
      <c r="P19" s="19"/>
      <c r="Q19" s="20"/>
      <c r="R19" s="20"/>
      <c r="S19" s="20"/>
      <c r="T19" s="19"/>
    </row>
    <row r="20" spans="2:20" x14ac:dyDescent="0.2">
      <c r="B20" s="21" t="s">
        <v>21</v>
      </c>
      <c r="C20" s="6">
        <v>37</v>
      </c>
      <c r="D20" t="s">
        <v>11</v>
      </c>
      <c r="F20" s="1" t="s">
        <v>96</v>
      </c>
      <c r="G20" s="6">
        <v>2.3771999999999999E-3</v>
      </c>
      <c r="H20" s="1" t="s">
        <v>100</v>
      </c>
    </row>
    <row r="21" spans="2:20" x14ac:dyDescent="0.2">
      <c r="B21" s="19" t="s">
        <v>22</v>
      </c>
      <c r="C21" s="6">
        <v>1.05</v>
      </c>
      <c r="D21" s="1" t="s">
        <v>37</v>
      </c>
      <c r="F21" s="1" t="s">
        <v>98</v>
      </c>
      <c r="G21" s="6">
        <v>1.5723000000000001E-4</v>
      </c>
      <c r="H21" s="1" t="s">
        <v>99</v>
      </c>
      <c r="K21" s="1" t="s">
        <v>132</v>
      </c>
      <c r="L21" s="7">
        <f>L18*0.9*0.97*0.96</f>
        <v>2.2515996528457265</v>
      </c>
      <c r="O21" s="20"/>
      <c r="P21" s="20"/>
      <c r="Q21" s="19"/>
    </row>
    <row r="22" spans="2:20" x14ac:dyDescent="0.2">
      <c r="B22" s="19" t="s">
        <v>23</v>
      </c>
      <c r="C22" s="6">
        <v>0.26</v>
      </c>
      <c r="D22" s="1" t="s">
        <v>37</v>
      </c>
      <c r="F22" s="1" t="s">
        <v>58</v>
      </c>
      <c r="G22" s="15">
        <v>19996000</v>
      </c>
      <c r="K22" s="1" t="s">
        <v>133</v>
      </c>
      <c r="L22" s="7">
        <f>0.8*L18*0.9*0.96</f>
        <v>1.8569894044088471</v>
      </c>
      <c r="O22" s="20"/>
      <c r="P22" s="20"/>
      <c r="Q22" s="19"/>
    </row>
    <row r="23" spans="2:20" x14ac:dyDescent="0.2">
      <c r="B23" s="19" t="s">
        <v>26</v>
      </c>
      <c r="C23" s="6">
        <v>0.55000000000000004</v>
      </c>
      <c r="D23" s="1" t="s">
        <v>41</v>
      </c>
      <c r="F23" s="1" t="s">
        <v>155</v>
      </c>
      <c r="G23" s="6">
        <f>129.3*1.68781</f>
        <v>218.23383300000003</v>
      </c>
      <c r="H23" s="1" t="s">
        <v>55</v>
      </c>
    </row>
    <row r="24" spans="2:20" x14ac:dyDescent="0.2">
      <c r="B24" s="19" t="s">
        <v>27</v>
      </c>
      <c r="C24" s="6">
        <v>0.49</v>
      </c>
      <c r="D24" s="1" t="s">
        <v>41</v>
      </c>
      <c r="F24" s="1" t="s">
        <v>135</v>
      </c>
      <c r="G24" s="7">
        <f>(2*($C$11)*32.0602)/($G$20*$C$7*$G$23^2*32.2)</f>
        <v>1.3527019583564883</v>
      </c>
    </row>
    <row r="25" spans="2:20" x14ac:dyDescent="0.2">
      <c r="B25" s="1"/>
      <c r="C25" s="10"/>
      <c r="D25" s="6"/>
      <c r="F25" s="1" t="s">
        <v>136</v>
      </c>
      <c r="G25" s="7">
        <f>(2*($C$9)*32.0602)/($G$20*$C$7*$G$23^2*32.2)</f>
        <v>1.7123898836701092</v>
      </c>
      <c r="K25" s="1" t="s">
        <v>40</v>
      </c>
    </row>
    <row r="26" spans="2:20" x14ac:dyDescent="0.2">
      <c r="B26" s="1" t="s">
        <v>95</v>
      </c>
      <c r="C26" s="6">
        <v>0.12</v>
      </c>
      <c r="D26" s="6"/>
      <c r="K26" s="1" t="s">
        <v>137</v>
      </c>
      <c r="L26" s="16">
        <v>0.03</v>
      </c>
    </row>
    <row r="27" spans="2:20" x14ac:dyDescent="0.2">
      <c r="B27" s="19" t="s">
        <v>44</v>
      </c>
      <c r="C27" s="6">
        <v>0.5</v>
      </c>
      <c r="E27" s="1" t="s">
        <v>104</v>
      </c>
      <c r="H27" s="1" t="s">
        <v>105</v>
      </c>
    </row>
    <row r="28" spans="2:20" x14ac:dyDescent="0.2">
      <c r="B28" s="21" t="s">
        <v>48</v>
      </c>
      <c r="C28" s="6">
        <v>37.4</v>
      </c>
      <c r="D28" t="s">
        <v>11</v>
      </c>
      <c r="E28" s="1" t="s">
        <v>101</v>
      </c>
      <c r="F28" s="12">
        <f>0.455/(((LOG10($G$19*$C$17/$G$21))^2.58)*((1+0.144*(($G$18*COS(RADIANS($C$28)))^2))^0.65))</f>
        <v>2.6869568202857247E-3</v>
      </c>
      <c r="H28" s="1" t="s">
        <v>101</v>
      </c>
      <c r="I28" s="12">
        <f>0.455/(((LOG10($G$12*$C$17/$G$14))^2.58)*((1+0.144*(($G$11*COS(RADIANS($C$28)))^2))^0.65))</f>
        <v>2.6859630297731848E-3</v>
      </c>
      <c r="K28" s="1" t="s">
        <v>138</v>
      </c>
      <c r="L28" s="12">
        <f>0.0074*$C$22*(($C$14+$C$15)/$C$7)*30</f>
        <v>4.2922896281800391E-2</v>
      </c>
    </row>
    <row r="29" spans="2:20" x14ac:dyDescent="0.2">
      <c r="B29" s="21" t="s">
        <v>47</v>
      </c>
      <c r="C29" s="6">
        <v>32</v>
      </c>
      <c r="D29" t="s">
        <v>11</v>
      </c>
      <c r="E29" s="1" t="s">
        <v>102</v>
      </c>
      <c r="F29" s="12">
        <f>(1+(0.6/$C$27)*$C$26+100*$C$26^4)*(1.34*($G$18^0.18)*(COS(RADIANS($C$29)))^0.28)</f>
        <v>1.1348177373979165</v>
      </c>
      <c r="H29" s="1" t="s">
        <v>102</v>
      </c>
      <c r="I29" s="12">
        <f>(1+(0.6/$C$27)*$C$26+100*$C$26^4)*(1.34*($G$11^0.18)*(COS(RADIANS($C$29)))^0.28)</f>
        <v>1.4473895720443735</v>
      </c>
      <c r="K29" s="1" t="s">
        <v>139</v>
      </c>
      <c r="L29" s="12">
        <f>0.0074*$C$22*(($C$14+$C$15)/$C$7)*6</f>
        <v>8.5845792563600792E-3</v>
      </c>
    </row>
    <row r="30" spans="2:20" x14ac:dyDescent="0.2">
      <c r="B30" s="1" t="s">
        <v>49</v>
      </c>
      <c r="C30" s="6">
        <v>0.85</v>
      </c>
      <c r="E30" s="11" t="s">
        <v>103</v>
      </c>
      <c r="F30" s="12">
        <f>$F$28*$F$29*$C$34*($C$33/$C$7)</f>
        <v>5.9745944561773959E-3</v>
      </c>
      <c r="H30" s="11" t="s">
        <v>103</v>
      </c>
      <c r="I30" s="12">
        <f>$I$28*$I$29*$C$34*($C$33/$C$7)</f>
        <v>7.617405917398545E-3</v>
      </c>
      <c r="N30" s="20"/>
      <c r="O30" s="20"/>
      <c r="P30" s="20"/>
      <c r="Q30" s="20"/>
      <c r="R30" s="20"/>
      <c r="S30" s="20"/>
      <c r="T30" s="20"/>
    </row>
    <row r="31" spans="2:20" x14ac:dyDescent="0.2">
      <c r="B31" s="1" t="s">
        <v>50</v>
      </c>
      <c r="C31" s="10">
        <v>46000</v>
      </c>
      <c r="D31" t="s">
        <v>1</v>
      </c>
      <c r="H31" s="1" t="s">
        <v>125</v>
      </c>
      <c r="I31" s="13">
        <f>$C$35/COS(RADIANS($C$29))-$C$26/(COS(RADIANS($C$29))^2)-$G$15/(10*(COS(RADIANS($C$29))^3))-(0.1/80)^(1/3)</f>
        <v>0.76323827671070155</v>
      </c>
      <c r="J31" s="1" t="s">
        <v>156</v>
      </c>
      <c r="K31" s="1" t="s">
        <v>140</v>
      </c>
      <c r="L31" s="12">
        <f>(0.21^2)*(($L$18*0.97*0.96)-$L$5)^2*(COS(RADIANS($C$13)))</f>
        <v>3.7620883730637801E-2</v>
      </c>
      <c r="N31" s="20"/>
      <c r="O31" s="20"/>
      <c r="P31" s="20"/>
      <c r="Q31" s="20"/>
      <c r="R31" s="20"/>
      <c r="S31" s="20"/>
      <c r="T31" s="20"/>
    </row>
    <row r="32" spans="2:20" x14ac:dyDescent="0.2">
      <c r="B32" s="1" t="s">
        <v>51</v>
      </c>
      <c r="C32" s="10">
        <v>0.22</v>
      </c>
      <c r="H32" s="11" t="s">
        <v>115</v>
      </c>
      <c r="I32" s="12">
        <f>J32*20*($G$11-I31)^4</f>
        <v>1.1332942199163184E-3</v>
      </c>
      <c r="J32">
        <v>1</v>
      </c>
      <c r="K32" s="1" t="s">
        <v>141</v>
      </c>
      <c r="L32" s="12">
        <f>(0.21^2)*($L$19*0.96-$L$5)^2*(COS(RADIANS($C$13)))</f>
        <v>1.2173448617751619E-2</v>
      </c>
      <c r="N32" s="20"/>
      <c r="O32" s="20"/>
      <c r="P32" s="20"/>
      <c r="Q32" s="20"/>
      <c r="R32" s="20"/>
      <c r="S32" s="20"/>
      <c r="T32" s="20"/>
    </row>
    <row r="33" spans="2:20" x14ac:dyDescent="0.2">
      <c r="B33" s="1" t="s">
        <v>75</v>
      </c>
      <c r="C33" s="10">
        <v>1780</v>
      </c>
      <c r="D33" t="s">
        <v>2</v>
      </c>
      <c r="N33" s="20"/>
      <c r="O33" s="20"/>
      <c r="P33" s="20"/>
      <c r="Q33" s="20"/>
      <c r="R33" s="20"/>
      <c r="S33" s="20"/>
      <c r="T33" s="20"/>
    </row>
    <row r="34" spans="2:20" ht="15.75" x14ac:dyDescent="0.3">
      <c r="B34" s="1" t="s">
        <v>74</v>
      </c>
      <c r="C34" s="10">
        <v>1.125</v>
      </c>
      <c r="K34" s="1" t="s">
        <v>147</v>
      </c>
      <c r="L34" s="12">
        <f>($G$24^2)/(PI()*$G$5*$C$12)</f>
        <v>7.5872026083819322E-2</v>
      </c>
      <c r="N34" s="20"/>
      <c r="O34" s="20"/>
      <c r="P34" s="20"/>
      <c r="Q34" s="20"/>
      <c r="R34" s="20"/>
      <c r="S34" s="20"/>
      <c r="T34" s="20"/>
    </row>
    <row r="35" spans="2:20" x14ac:dyDescent="0.2">
      <c r="B35" s="1" t="s">
        <v>151</v>
      </c>
      <c r="C35" s="10">
        <v>0.95</v>
      </c>
      <c r="E35" s="1" t="s">
        <v>104</v>
      </c>
      <c r="H35" s="1" t="s">
        <v>105</v>
      </c>
      <c r="K35" s="1" t="s">
        <v>152</v>
      </c>
      <c r="L35" s="12">
        <f>($G$25^2)/(PI()*$G$5*$C$12)</f>
        <v>0.12158577042200537</v>
      </c>
      <c r="N35" s="20"/>
      <c r="O35" s="20"/>
      <c r="P35" s="20"/>
      <c r="Q35" s="20"/>
      <c r="R35" s="20"/>
      <c r="S35" s="20"/>
      <c r="T35" s="20"/>
    </row>
    <row r="36" spans="2:20" x14ac:dyDescent="0.2">
      <c r="B36" s="11" t="s">
        <v>60</v>
      </c>
      <c r="C36" s="11"/>
      <c r="D36" s="11"/>
      <c r="E36" s="11"/>
      <c r="F36" s="11"/>
      <c r="G36" s="11"/>
      <c r="H36" s="11"/>
      <c r="I36" s="11"/>
      <c r="K36" s="1" t="s">
        <v>143</v>
      </c>
      <c r="L36" s="12">
        <f>L26+L28+L31+F73+L34+I76</f>
        <v>0.2034738278875064</v>
      </c>
      <c r="N36" s="20"/>
      <c r="O36" s="23"/>
      <c r="P36" s="19"/>
      <c r="Q36" s="19"/>
      <c r="R36" s="19"/>
      <c r="S36" s="20"/>
      <c r="T36" s="20"/>
    </row>
    <row r="37" spans="2:20" x14ac:dyDescent="0.2">
      <c r="B37" s="19" t="s">
        <v>61</v>
      </c>
      <c r="C37" s="22">
        <f>1037/12</f>
        <v>86.416666666666671</v>
      </c>
      <c r="D37" t="s">
        <v>1</v>
      </c>
      <c r="E37" s="1" t="s">
        <v>124</v>
      </c>
      <c r="F37" s="8">
        <f>$G$19*$C$37/$G$21</f>
        <v>134997530.15751871</v>
      </c>
      <c r="H37" s="1" t="s">
        <v>124</v>
      </c>
      <c r="I37" s="8">
        <f>$G$12*$C$37/$G$14</f>
        <v>105503249.14688426</v>
      </c>
      <c r="K37" s="1" t="s">
        <v>144</v>
      </c>
      <c r="L37" s="12">
        <f>F73+L29+L32+L35+I76</f>
        <v>0.15940182008736592</v>
      </c>
      <c r="N37" s="20"/>
      <c r="O37" s="23"/>
      <c r="P37" s="19"/>
      <c r="Q37" s="19"/>
      <c r="R37" s="19"/>
      <c r="S37" s="20"/>
      <c r="T37" s="20"/>
    </row>
    <row r="38" spans="2:20" ht="15.75" x14ac:dyDescent="0.3">
      <c r="B38" t="s">
        <v>18</v>
      </c>
      <c r="C38" s="18">
        <f>C8</f>
        <v>8.8333333333333339</v>
      </c>
      <c r="D38" t="s">
        <v>1</v>
      </c>
      <c r="E38" s="1" t="s">
        <v>106</v>
      </c>
      <c r="F38" s="12">
        <f>0.455/(((LOG10(F37))^2.58)*((1+0.144*(($G$18*COS(RADIANS(0)))^2))^0.65))</f>
        <v>2.0322271594973595E-3</v>
      </c>
      <c r="H38" s="1" t="s">
        <v>106</v>
      </c>
      <c r="I38" s="12">
        <f>0.455/(((LOG10(I37))^2.58)*((1+0.144*(($G$11*COS(RADIANS(0)))^2))^0.65))</f>
        <v>1.9808209555492368E-3</v>
      </c>
      <c r="N38" s="20"/>
      <c r="O38" s="20"/>
      <c r="P38" s="20"/>
      <c r="Q38" s="20"/>
      <c r="R38" s="20"/>
      <c r="S38" s="20"/>
      <c r="T38" s="20"/>
    </row>
    <row r="39" spans="2:20" ht="15.75" x14ac:dyDescent="0.3">
      <c r="B39" s="1" t="s">
        <v>65</v>
      </c>
      <c r="C39" s="6">
        <v>1</v>
      </c>
      <c r="E39" s="1" t="s">
        <v>107</v>
      </c>
      <c r="F39" s="13">
        <f>1+(60/($C$37/$C$38)^3)+($C$37/$C$38)/400</f>
        <v>1.0885390335926104</v>
      </c>
      <c r="H39" s="1" t="s">
        <v>107</v>
      </c>
      <c r="I39" s="13">
        <f>1+(60/($C$37/$C$38)^3)+($C$37/$C$38)/400</f>
        <v>1.0885390335926104</v>
      </c>
      <c r="K39" s="1" t="s">
        <v>145</v>
      </c>
      <c r="L39" s="7">
        <f>G24/L36</f>
        <v>6.6480390741179267</v>
      </c>
      <c r="N39" s="20"/>
      <c r="O39" s="24"/>
      <c r="P39" s="19"/>
      <c r="Q39" s="20"/>
      <c r="R39" s="20"/>
      <c r="S39" s="20"/>
      <c r="T39" s="20"/>
    </row>
    <row r="40" spans="2:20" x14ac:dyDescent="0.2">
      <c r="B40" s="19" t="s">
        <v>76</v>
      </c>
      <c r="C40" s="6">
        <v>2050</v>
      </c>
      <c r="D40" s="1" t="s">
        <v>2</v>
      </c>
      <c r="E40" s="11" t="s">
        <v>108</v>
      </c>
      <c r="F40" s="12">
        <f>F38*F39*$C$39*($C$40/$C$7)</f>
        <v>4.4373044088961032E-3</v>
      </c>
      <c r="H40" s="11" t="s">
        <v>108</v>
      </c>
      <c r="I40" s="12">
        <f>I38*I39*$C$39*($C$40/$C$7)</f>
        <v>4.3250605712140825E-3</v>
      </c>
      <c r="K40" s="1" t="s">
        <v>146</v>
      </c>
      <c r="L40" s="7">
        <f>G25/L37</f>
        <v>10.74259931744551</v>
      </c>
      <c r="N40" s="20"/>
      <c r="O40" s="24"/>
      <c r="P40" s="19"/>
      <c r="Q40" s="20"/>
      <c r="R40" s="20"/>
      <c r="S40" s="20"/>
      <c r="T40" s="20"/>
    </row>
    <row r="41" spans="2:20" x14ac:dyDescent="0.2">
      <c r="B41" s="11" t="s">
        <v>62</v>
      </c>
      <c r="C41" s="11"/>
      <c r="D41" s="11"/>
      <c r="E41" s="11"/>
      <c r="F41" s="11"/>
      <c r="G41" s="11"/>
      <c r="H41" s="11"/>
      <c r="I41" s="11"/>
      <c r="N41" s="20"/>
      <c r="O41" s="20"/>
      <c r="P41" s="20"/>
      <c r="Q41" s="20"/>
      <c r="R41" s="20"/>
      <c r="S41" s="20"/>
      <c r="T41" s="20"/>
    </row>
    <row r="42" spans="2:20" x14ac:dyDescent="0.2">
      <c r="B42" s="19" t="s">
        <v>63</v>
      </c>
      <c r="C42" s="18">
        <f>202/12</f>
        <v>16.833333333333332</v>
      </c>
      <c r="D42" s="1" t="s">
        <v>1</v>
      </c>
      <c r="E42" s="1" t="s">
        <v>124</v>
      </c>
      <c r="F42" s="8">
        <f>$G$19*$C$42/$G$21</f>
        <v>26296529.500307404</v>
      </c>
      <c r="H42" s="1" t="s">
        <v>124</v>
      </c>
      <c r="I42" s="8">
        <f>$G$12*$C$42/$G$14</f>
        <v>20551259.718100887</v>
      </c>
      <c r="N42" s="20"/>
      <c r="O42" s="20"/>
      <c r="P42" s="20"/>
      <c r="Q42" s="20"/>
      <c r="R42" s="20"/>
      <c r="S42" s="20"/>
      <c r="T42" s="20"/>
    </row>
    <row r="43" spans="2:20" ht="15.75" x14ac:dyDescent="0.3">
      <c r="B43" s="19" t="s">
        <v>64</v>
      </c>
      <c r="C43" s="18">
        <f>71.6/12</f>
        <v>5.9666666666666659</v>
      </c>
      <c r="D43" s="1" t="s">
        <v>1</v>
      </c>
      <c r="E43" s="1" t="s">
        <v>109</v>
      </c>
      <c r="F43" s="12">
        <f>0.455/(((LOG10(F42))^2.58)*((1+0.144*(($G$18*COS(RADIANS(0)))^2))^0.65))</f>
        <v>2.5729066200205577E-3</v>
      </c>
      <c r="H43" s="1" t="s">
        <v>109</v>
      </c>
      <c r="I43" s="12">
        <f>0.455/(((LOG10(I42))^2.58)*((1+0.144*(($G$18*COS(RADIANS(0)))^2))^0.65))</f>
        <v>2.6712155634731542E-3</v>
      </c>
    </row>
    <row r="44" spans="2:20" ht="15.75" x14ac:dyDescent="0.3">
      <c r="B44" s="1" t="s">
        <v>66</v>
      </c>
      <c r="C44" s="6">
        <v>1.2</v>
      </c>
      <c r="E44" s="1" t="s">
        <v>110</v>
      </c>
      <c r="F44" s="13">
        <f>1+(0.35/($C$42/$C$43))</f>
        <v>1.1240594059405939</v>
      </c>
      <c r="H44" s="1" t="s">
        <v>110</v>
      </c>
      <c r="I44" s="13">
        <f>1+(0.35/($C$42/$C$43))</f>
        <v>1.1240594059405939</v>
      </c>
    </row>
    <row r="45" spans="2:20" x14ac:dyDescent="0.2">
      <c r="B45" s="19" t="s">
        <v>77</v>
      </c>
      <c r="C45" s="18">
        <v>270</v>
      </c>
      <c r="D45" s="1" t="s">
        <v>2</v>
      </c>
      <c r="E45" s="11" t="s">
        <v>111</v>
      </c>
      <c r="F45" s="12">
        <f>F43*F44*$C$44*($C$45/$C$7)</f>
        <v>9.1686924005524571E-4</v>
      </c>
      <c r="H45" s="11" t="s">
        <v>111</v>
      </c>
      <c r="I45" s="12">
        <f>I43*I44*$C$44*($C$45/$C$7)</f>
        <v>9.5190216568598459E-4</v>
      </c>
    </row>
    <row r="46" spans="2:20" x14ac:dyDescent="0.2">
      <c r="B46" s="11" t="s">
        <v>87</v>
      </c>
      <c r="C46" s="11"/>
      <c r="D46" s="11"/>
      <c r="E46" s="11"/>
      <c r="F46" s="11"/>
      <c r="G46" s="11"/>
      <c r="H46" s="11"/>
      <c r="I46" s="11"/>
    </row>
    <row r="47" spans="2:20" x14ac:dyDescent="0.2">
      <c r="B47" s="19" t="s">
        <v>92</v>
      </c>
      <c r="C47" s="18">
        <f>C52/2</f>
        <v>32</v>
      </c>
      <c r="D47" s="1" t="s">
        <v>2</v>
      </c>
      <c r="E47" s="1" t="s">
        <v>124</v>
      </c>
      <c r="F47" s="8">
        <f>$G$19*$C$50/$G$21</f>
        <v>25176974.283957686</v>
      </c>
      <c r="H47" s="1" t="s">
        <v>124</v>
      </c>
      <c r="I47" s="8">
        <f>$G$12*$C$50/$G$14</f>
        <v>19676305.096439168</v>
      </c>
    </row>
    <row r="48" spans="2:20" x14ac:dyDescent="0.2">
      <c r="B48" s="5" t="s">
        <v>93</v>
      </c>
      <c r="C48" s="6">
        <v>0</v>
      </c>
      <c r="D48" t="s">
        <v>11</v>
      </c>
      <c r="E48" s="1" t="s">
        <v>112</v>
      </c>
      <c r="F48" s="12">
        <f>0.455/(((LOG10(F47))^2.58)*((1+0.144*(($G$18*COS(RADIANS($C$48)))^2))^0.65))</f>
        <v>2.5898880078464573E-3</v>
      </c>
      <c r="H48" s="1" t="s">
        <v>112</v>
      </c>
      <c r="I48" s="12">
        <f>0.455/(((LOG10(I47))^2.58)*((1+0.144*(($G$11*COS(RADIANS($C$48)))^2))^0.65))</f>
        <v>2.5329597286185769E-3</v>
      </c>
    </row>
    <row r="49" spans="2:9" x14ac:dyDescent="0.2">
      <c r="B49" s="5" t="s">
        <v>94</v>
      </c>
      <c r="C49" s="6">
        <v>0</v>
      </c>
      <c r="D49" t="s">
        <v>11</v>
      </c>
      <c r="E49" s="1" t="s">
        <v>113</v>
      </c>
      <c r="F49" s="12">
        <f>(1+(0.6/$C$27)*$C$53+100*$C$53^4)*(1.34*($G$18^0.18)*(COS(RADIANS($C$49)))^0.28)</f>
        <v>1.1224615327847751</v>
      </c>
      <c r="H49" s="1" t="s">
        <v>113</v>
      </c>
      <c r="I49" s="12">
        <f>(1+(0.6/$C$27)*$C$53+100*$C$53^4)*(1.34*($G$18^0.18)*(COS(RADIANS($C$49)))^0.28)</f>
        <v>1.1224615327847751</v>
      </c>
    </row>
    <row r="50" spans="2:9" x14ac:dyDescent="0.2">
      <c r="B50" s="19" t="s">
        <v>88</v>
      </c>
      <c r="C50" s="18">
        <f>193.4/12</f>
        <v>16.116666666666667</v>
      </c>
      <c r="D50" s="1" t="s">
        <v>1</v>
      </c>
      <c r="E50" s="1" t="s">
        <v>114</v>
      </c>
      <c r="F50" s="12">
        <f>F48*F49*$C$51*($C$52/$C$7)</f>
        <v>2.1845539542130038E-4</v>
      </c>
      <c r="H50" s="11" t="s">
        <v>114</v>
      </c>
      <c r="I50" s="12">
        <f>I48*I49*$C$51*($C$52/$C$7)</f>
        <v>2.1365353151378655E-4</v>
      </c>
    </row>
    <row r="51" spans="2:9" x14ac:dyDescent="0.2">
      <c r="B51" s="1" t="s">
        <v>89</v>
      </c>
      <c r="C51" s="6">
        <v>1.2</v>
      </c>
      <c r="H51" s="1" t="s">
        <v>125</v>
      </c>
      <c r="I51" s="13">
        <f>$C$54/COS(RADIANS($C$49))-$C$53/(COS(RADIANS($C$49))^2)-0/(10*(COS(RADIANS($C$49))^3))-(0.1/80)^(1/3)</f>
        <v>0.76227826549840583</v>
      </c>
    </row>
    <row r="52" spans="2:9" x14ac:dyDescent="0.2">
      <c r="B52" s="19" t="s">
        <v>90</v>
      </c>
      <c r="C52" s="18">
        <v>64</v>
      </c>
      <c r="D52" s="1" t="s">
        <v>2</v>
      </c>
      <c r="H52" s="11" t="s">
        <v>115</v>
      </c>
      <c r="I52" s="12">
        <f>20*($G$11-I51)^4</f>
        <v>1.1842921124923659E-3</v>
      </c>
    </row>
    <row r="53" spans="2:9" x14ac:dyDescent="0.2">
      <c r="B53" s="19" t="s">
        <v>91</v>
      </c>
      <c r="C53" s="6">
        <v>0.08</v>
      </c>
    </row>
    <row r="54" spans="2:9" x14ac:dyDescent="0.2">
      <c r="B54" s="1" t="s">
        <v>151</v>
      </c>
      <c r="C54" s="10">
        <v>0.95</v>
      </c>
    </row>
    <row r="55" spans="2:9" x14ac:dyDescent="0.2">
      <c r="B55" s="11" t="s">
        <v>67</v>
      </c>
      <c r="C55" s="11"/>
      <c r="D55" s="11"/>
      <c r="E55" s="11"/>
      <c r="F55" s="11"/>
      <c r="G55" s="11"/>
      <c r="H55" s="11"/>
      <c r="I55" s="11"/>
    </row>
    <row r="56" spans="2:9" x14ac:dyDescent="0.2">
      <c r="B56" s="19" t="s">
        <v>68</v>
      </c>
      <c r="C56" s="6">
        <f>245</f>
        <v>245</v>
      </c>
      <c r="D56" s="1" t="s">
        <v>2</v>
      </c>
      <c r="E56" s="1" t="s">
        <v>124</v>
      </c>
      <c r="F56" s="8">
        <f>$G$19*$C$59/$G$21</f>
        <v>12549432.890245711</v>
      </c>
      <c r="H56" s="1" t="s">
        <v>124</v>
      </c>
      <c r="I56" s="8">
        <f>$G$12*$C$59/$G$14</f>
        <v>9807630.8753709197</v>
      </c>
    </row>
    <row r="57" spans="2:9" x14ac:dyDescent="0.2">
      <c r="B57" s="21" t="s">
        <v>69</v>
      </c>
      <c r="C57" s="6">
        <v>41</v>
      </c>
      <c r="D57" t="s">
        <v>11</v>
      </c>
      <c r="E57" s="1" t="s">
        <v>118</v>
      </c>
      <c r="F57" s="12">
        <f>0.455/(((LOG10(F56))^2.58)*((1+0.144*(($G$18*COS(RADIANS($C$57)))^2))^0.65))</f>
        <v>2.8897721083826298E-3</v>
      </c>
      <c r="H57" s="1" t="s">
        <v>118</v>
      </c>
      <c r="I57" s="12">
        <f>0.455/(((LOG10(I56))^2.58)*((1+0.144*(($G$11*COS(RADIANS($C$57)))^2))^0.65))</f>
        <v>2.9024047296703414E-3</v>
      </c>
    </row>
    <row r="58" spans="2:9" x14ac:dyDescent="0.2">
      <c r="B58" s="21" t="s">
        <v>70</v>
      </c>
      <c r="C58" s="6">
        <v>36</v>
      </c>
      <c r="D58" t="s">
        <v>11</v>
      </c>
      <c r="E58" s="1" t="s">
        <v>119</v>
      </c>
      <c r="F58" s="12">
        <f>(1+(0.6/$C$27)*$C$62+100*$C$62^4)*(1.34*($G$18^0.18)*(COS(RADIANS($C$58)))^0.28)</f>
        <v>1.0577903652028755</v>
      </c>
      <c r="H58" s="1" t="s">
        <v>119</v>
      </c>
      <c r="I58" s="12">
        <f>(1+(0.6/$C$27)*$C$62+100*$C$62^4)*(1.34*($G$11^0.18)*(COS(RADIANS($C$58)))^0.28)</f>
        <v>1.3491459408400175</v>
      </c>
    </row>
    <row r="59" spans="2:9" x14ac:dyDescent="0.2">
      <c r="B59" s="19" t="s">
        <v>71</v>
      </c>
      <c r="C59" s="18">
        <f>96.4/12</f>
        <v>8.0333333333333332</v>
      </c>
      <c r="D59" s="1" t="s">
        <v>1</v>
      </c>
      <c r="E59" s="11" t="s">
        <v>120</v>
      </c>
      <c r="F59" s="12">
        <f>F57*F58*$C$60*($C$61/$C$7)</f>
        <v>1.4296844803074671E-3</v>
      </c>
      <c r="H59" s="11" t="s">
        <v>120</v>
      </c>
      <c r="I59" s="12">
        <f>I57*I58*$C$60*($C$61/$C$7)</f>
        <v>1.8314451013123219E-3</v>
      </c>
    </row>
    <row r="60" spans="2:9" ht="15.75" x14ac:dyDescent="0.3">
      <c r="B60" s="1" t="s">
        <v>73</v>
      </c>
      <c r="C60" s="6">
        <v>1</v>
      </c>
      <c r="H60" s="1" t="s">
        <v>125</v>
      </c>
      <c r="I60" s="13">
        <f>$C$63/COS(RADIANS($C$58))-$C$62/(COS(RADIANS($C$58))^2)-0/(10*(COS(RADIANS($C$58))^3))-(0.1/80)^(1/3)</f>
        <v>0.84542828232318912</v>
      </c>
    </row>
    <row r="61" spans="2:9" x14ac:dyDescent="0.2">
      <c r="B61" s="19" t="s">
        <v>72</v>
      </c>
      <c r="C61" s="18">
        <v>478</v>
      </c>
      <c r="D61" s="1" t="s">
        <v>2</v>
      </c>
      <c r="H61" s="11" t="s">
        <v>115</v>
      </c>
      <c r="I61" s="12">
        <f>20*($G$11-I60)^4</f>
        <v>8.7367037110251684E-9</v>
      </c>
    </row>
    <row r="62" spans="2:9" x14ac:dyDescent="0.2">
      <c r="B62" s="19" t="s">
        <v>78</v>
      </c>
      <c r="C62" s="6">
        <v>0.08</v>
      </c>
    </row>
    <row r="63" spans="2:9" x14ac:dyDescent="0.2">
      <c r="B63" s="1" t="s">
        <v>151</v>
      </c>
      <c r="C63" s="10">
        <v>0.87</v>
      </c>
      <c r="D63" s="1"/>
    </row>
    <row r="64" spans="2:9" x14ac:dyDescent="0.2">
      <c r="B64" s="11" t="s">
        <v>84</v>
      </c>
      <c r="C64" s="11"/>
      <c r="D64" s="11"/>
      <c r="E64" s="11"/>
      <c r="F64" s="11"/>
      <c r="G64" s="11"/>
      <c r="H64" s="11"/>
      <c r="I64" s="11"/>
    </row>
    <row r="65" spans="2:11" x14ac:dyDescent="0.2">
      <c r="B65" s="19" t="s">
        <v>83</v>
      </c>
      <c r="C65" s="18">
        <v>200</v>
      </c>
      <c r="D65" s="1" t="s">
        <v>2</v>
      </c>
      <c r="E65" s="1" t="s">
        <v>124</v>
      </c>
      <c r="F65" s="8">
        <f>$G$19*$C$68/$G$21</f>
        <v>20472238.758506645</v>
      </c>
      <c r="H65" s="1" t="s">
        <v>124</v>
      </c>
      <c r="I65" s="8">
        <f>$G$12*$C$68/$G$14</f>
        <v>15999460.907270027</v>
      </c>
    </row>
    <row r="66" spans="2:11" x14ac:dyDescent="0.2">
      <c r="B66" s="21" t="s">
        <v>85</v>
      </c>
      <c r="C66" s="6">
        <v>48</v>
      </c>
      <c r="D66" t="s">
        <v>11</v>
      </c>
      <c r="E66" s="1" t="s">
        <v>121</v>
      </c>
      <c r="F66" s="12">
        <f>0.455/(((LOG10(F65))^2.58)*((1+0.144*(($G$18*COS(RADIANS($C$66)))^2))^0.65))</f>
        <v>2.6794547368356974E-3</v>
      </c>
      <c r="H66" s="1" t="s">
        <v>121</v>
      </c>
      <c r="I66" s="12">
        <f>0.455/(((LOG10(I65))^2.58)*((1+0.144*(($G$11*COS(RADIANS($C$66)))^2))^0.65))</f>
        <v>2.7077098132064791E-3</v>
      </c>
    </row>
    <row r="67" spans="2:11" x14ac:dyDescent="0.2">
      <c r="B67" s="21" t="s">
        <v>86</v>
      </c>
      <c r="C67" s="6">
        <v>42</v>
      </c>
      <c r="D67" t="s">
        <v>11</v>
      </c>
      <c r="E67" s="1" t="s">
        <v>122</v>
      </c>
      <c r="F67" s="12">
        <f>(1+(0.6/$C$27)*$C$71+100*$C$71^4)*(1.34*($G$18^0.18)*(COS(RADIANS($C$67)))^0.28)</f>
        <v>1.0610110151875856</v>
      </c>
      <c r="H67" s="1" t="s">
        <v>122</v>
      </c>
      <c r="I67" s="12">
        <f>(1+(0.6/$C$27)*$C$71+100*$C$71^4)*(1.34*($G$11^0.18)*(COS(RADIANS($C$67)))^0.28)</f>
        <v>1.3532536799504078</v>
      </c>
    </row>
    <row r="68" spans="2:11" x14ac:dyDescent="0.2">
      <c r="B68" s="19" t="s">
        <v>79</v>
      </c>
      <c r="C68" s="18">
        <f>157.26/12</f>
        <v>13.104999999999999</v>
      </c>
      <c r="D68" s="1" t="s">
        <v>1</v>
      </c>
      <c r="E68" s="11" t="s">
        <v>123</v>
      </c>
      <c r="F68" s="12">
        <f>F66*F67*$C$69*($C$70/$C$7)</f>
        <v>9.4578917491481163E-4</v>
      </c>
      <c r="H68" s="11" t="s">
        <v>123</v>
      </c>
      <c r="I68" s="12">
        <f>I66*I67*$C$69*($C$70/$C$7)</f>
        <v>1.2190158624718489E-3</v>
      </c>
    </row>
    <row r="69" spans="2:11" x14ac:dyDescent="0.2">
      <c r="B69" s="1" t="s">
        <v>80</v>
      </c>
      <c r="C69" s="6">
        <v>1</v>
      </c>
      <c r="H69" s="1" t="s">
        <v>125</v>
      </c>
      <c r="I69" s="13">
        <f>$C$72/COS(RADIANS($C$67))-$C$71/(COS(RADIANS($C$67))^2)-0/(10*(COS(RADIANS($C$67))^3))-(0.1/80)^(1/3)</f>
        <v>0.88190599595716224</v>
      </c>
    </row>
    <row r="70" spans="2:11" x14ac:dyDescent="0.2">
      <c r="B70" s="19" t="s">
        <v>81</v>
      </c>
      <c r="C70" s="18">
        <v>340</v>
      </c>
      <c r="D70" s="1" t="s">
        <v>2</v>
      </c>
      <c r="H70" s="11" t="s">
        <v>115</v>
      </c>
      <c r="I70" s="12">
        <v>0</v>
      </c>
    </row>
    <row r="71" spans="2:11" x14ac:dyDescent="0.2">
      <c r="B71" s="1" t="s">
        <v>82</v>
      </c>
      <c r="C71" s="6">
        <v>0.1</v>
      </c>
    </row>
    <row r="72" spans="2:11" x14ac:dyDescent="0.2">
      <c r="B72" s="1" t="s">
        <v>151</v>
      </c>
      <c r="C72" s="10">
        <v>0.87</v>
      </c>
    </row>
    <row r="73" spans="2:11" x14ac:dyDescent="0.2">
      <c r="E73" s="11" t="s">
        <v>126</v>
      </c>
      <c r="F73" s="12">
        <f>F30+F40+2*F45+2*F50+F59+F68</f>
        <v>1.5058021791248866E-2</v>
      </c>
      <c r="H73" s="11" t="s">
        <v>127</v>
      </c>
      <c r="I73" s="12">
        <f>I30+I40+2*I45+2*I50+I59+I68</f>
        <v>1.7324038846796341E-2</v>
      </c>
      <c r="J73" s="1"/>
    </row>
    <row r="74" spans="2:11" x14ac:dyDescent="0.2">
      <c r="H74" s="11" t="s">
        <v>128</v>
      </c>
      <c r="I74" s="12">
        <f>I32+2*I52+I61+I70</f>
        <v>3.5018871816047611E-3</v>
      </c>
    </row>
    <row r="75" spans="2:11" x14ac:dyDescent="0.2">
      <c r="H75" s="11" t="s">
        <v>130</v>
      </c>
      <c r="I75" s="12">
        <f>($G$15^2)/(PI()*$G$5*$C$12)</f>
        <v>1.0473639940362772E-2</v>
      </c>
    </row>
    <row r="76" spans="2:11" x14ac:dyDescent="0.2">
      <c r="H76" s="11" t="s">
        <v>129</v>
      </c>
      <c r="I76" s="14">
        <v>2E-3</v>
      </c>
      <c r="J76" s="1"/>
      <c r="K76" s="1"/>
    </row>
    <row r="77" spans="2:11" x14ac:dyDescent="0.2">
      <c r="H77" s="11" t="s">
        <v>131</v>
      </c>
      <c r="I77" s="12">
        <f>SUM(I73:I76)</f>
        <v>3.3299565968763878E-2</v>
      </c>
      <c r="K77" s="17"/>
    </row>
    <row r="78" spans="2:11" x14ac:dyDescent="0.2">
      <c r="H78" s="11" t="s">
        <v>149</v>
      </c>
      <c r="I78" s="7">
        <f>G15/I77</f>
        <v>15.092859352989651</v>
      </c>
    </row>
  </sheetData>
  <mergeCells count="1">
    <mergeCell ref="F9:I9"/>
  </mergeCells>
  <hyperlinks>
    <hyperlink ref="F9" r:id="rId1"/>
  </hyperlinks>
  <pageMargins left="0.75" right="0.75" top="1" bottom="1" header="0.5" footer="0.5"/>
  <pageSetup orientation="portrait" vertic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aero_spreadsheet</vt:lpstr>
    </vt:vector>
  </TitlesOfParts>
  <Company>Bombardier Aerospace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Bombardier Aerospace</dc:creator>
  <cp:lastModifiedBy>Valerie Desilets</cp:lastModifiedBy>
  <dcterms:created xsi:type="dcterms:W3CDTF">2013-01-31T19:11:59Z</dcterms:created>
  <dcterms:modified xsi:type="dcterms:W3CDTF">2020-02-11T22:59:13Z</dcterms:modified>
</cp:coreProperties>
</file>