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6"/>
  </bookViews>
  <sheets>
    <sheet name="Income Statement" sheetId="1" r:id="rId1"/>
    <sheet name="Balance Sheet" sheetId="2" r:id="rId2"/>
    <sheet name="Cashflow Statement" sheetId="3" r:id="rId3"/>
    <sheet name="Ratio Analysis" sheetId="4" r:id="rId4"/>
    <sheet name="Working Capital Schedule" sheetId="5" r:id="rId5"/>
    <sheet name="Revenue Projections" sheetId="7" r:id="rId6"/>
    <sheet name="Cost Sheet" sheetId="8" r:id="rId7"/>
    <sheet name="Depriciation Schedule" sheetId="9" r:id="rId8"/>
    <sheet name="Beta Calculation Sheet" sheetId="14" r:id="rId9"/>
    <sheet name="DCF Model" sheetId="11" r:id="rId10"/>
  </sheets>
  <calcPr calcId="124519"/>
</workbook>
</file>

<file path=xl/calcChain.xml><?xml version="1.0" encoding="utf-8"?>
<calcChain xmlns="http://schemas.openxmlformats.org/spreadsheetml/2006/main">
  <c r="C49" i="11"/>
  <c r="I76"/>
  <c r="H76"/>
  <c r="E76"/>
  <c r="F76"/>
  <c r="D81"/>
  <c r="D80"/>
  <c r="D77"/>
  <c r="D78"/>
  <c r="C68" l="1"/>
  <c r="C47"/>
  <c r="C46"/>
  <c r="C48" s="1"/>
  <c r="C24" l="1"/>
  <c r="C31"/>
  <c r="C35"/>
  <c r="C30"/>
  <c r="C32" l="1"/>
  <c r="C38" s="1"/>
  <c r="C39" s="1"/>
  <c r="C71"/>
  <c r="C40"/>
  <c r="C69"/>
  <c r="C23"/>
  <c r="C44" s="1"/>
  <c r="AD17" i="14"/>
  <c r="AD15"/>
  <c r="AD13"/>
  <c r="W8"/>
  <c r="X8"/>
  <c r="Y8"/>
  <c r="Z8"/>
  <c r="AA8"/>
  <c r="AB8"/>
  <c r="V8"/>
  <c r="W7"/>
  <c r="X7"/>
  <c r="Y7"/>
  <c r="Z7"/>
  <c r="AA7"/>
  <c r="AB7"/>
  <c r="V7"/>
  <c r="W6"/>
  <c r="X6"/>
  <c r="Y6"/>
  <c r="Z6"/>
  <c r="AA6"/>
  <c r="AB6"/>
  <c r="V6"/>
  <c r="W5"/>
  <c r="X5"/>
  <c r="Y5"/>
  <c r="Z5"/>
  <c r="AA5"/>
  <c r="AB5"/>
  <c r="V5"/>
  <c r="W4"/>
  <c r="X4"/>
  <c r="Y4"/>
  <c r="Z4"/>
  <c r="AA4"/>
  <c r="AB4"/>
  <c r="V4"/>
  <c r="L5"/>
  <c r="M5"/>
  <c r="N5"/>
  <c r="O5"/>
  <c r="P5"/>
  <c r="Q5"/>
  <c r="R5"/>
  <c r="S5"/>
  <c r="L6"/>
  <c r="M6"/>
  <c r="N6"/>
  <c r="O6"/>
  <c r="P6"/>
  <c r="Q6"/>
  <c r="R6"/>
  <c r="S6"/>
  <c r="L7"/>
  <c r="M7"/>
  <c r="N7"/>
  <c r="O7"/>
  <c r="P7"/>
  <c r="Q7"/>
  <c r="R7"/>
  <c r="S7"/>
  <c r="L8"/>
  <c r="M8"/>
  <c r="N8"/>
  <c r="O8"/>
  <c r="P8"/>
  <c r="Q8"/>
  <c r="R8"/>
  <c r="S8"/>
  <c r="L9"/>
  <c r="M9"/>
  <c r="N9"/>
  <c r="O9"/>
  <c r="P9"/>
  <c r="Q9"/>
  <c r="R9"/>
  <c r="S9"/>
  <c r="L10"/>
  <c r="M10"/>
  <c r="N10"/>
  <c r="O10"/>
  <c r="P10"/>
  <c r="Q10"/>
  <c r="R10"/>
  <c r="S10"/>
  <c r="L11"/>
  <c r="M11"/>
  <c r="N11"/>
  <c r="O11"/>
  <c r="P11"/>
  <c r="Q11"/>
  <c r="R11"/>
  <c r="S11"/>
  <c r="L12"/>
  <c r="M12"/>
  <c r="N12"/>
  <c r="O12"/>
  <c r="P12"/>
  <c r="Q12"/>
  <c r="R12"/>
  <c r="S12"/>
  <c r="L13"/>
  <c r="M13"/>
  <c r="N13"/>
  <c r="O13"/>
  <c r="P13"/>
  <c r="Q13"/>
  <c r="R13"/>
  <c r="S13"/>
  <c r="L14"/>
  <c r="M14"/>
  <c r="N14"/>
  <c r="O14"/>
  <c r="P14"/>
  <c r="Q14"/>
  <c r="R14"/>
  <c r="S14"/>
  <c r="L15"/>
  <c r="M15"/>
  <c r="N15"/>
  <c r="O15"/>
  <c r="P15"/>
  <c r="Q15"/>
  <c r="R15"/>
  <c r="S15"/>
  <c r="L16"/>
  <c r="M16"/>
  <c r="N16"/>
  <c r="O16"/>
  <c r="P16"/>
  <c r="Q16"/>
  <c r="R16"/>
  <c r="S16"/>
  <c r="L17"/>
  <c r="M17"/>
  <c r="N17"/>
  <c r="O17"/>
  <c r="P17"/>
  <c r="Q17"/>
  <c r="R17"/>
  <c r="S17"/>
  <c r="L18"/>
  <c r="M18"/>
  <c r="N18"/>
  <c r="O18"/>
  <c r="P18"/>
  <c r="Q18"/>
  <c r="R18"/>
  <c r="S18"/>
  <c r="L19"/>
  <c r="M19"/>
  <c r="N19"/>
  <c r="O19"/>
  <c r="P19"/>
  <c r="Q19"/>
  <c r="R19"/>
  <c r="S19"/>
  <c r="L20"/>
  <c r="M20"/>
  <c r="N20"/>
  <c r="O20"/>
  <c r="P20"/>
  <c r="Q20"/>
  <c r="R20"/>
  <c r="S20"/>
  <c r="L21"/>
  <c r="M21"/>
  <c r="N21"/>
  <c r="O21"/>
  <c r="P21"/>
  <c r="Q21"/>
  <c r="R21"/>
  <c r="S21"/>
  <c r="L22"/>
  <c r="M22"/>
  <c r="N22"/>
  <c r="O22"/>
  <c r="P22"/>
  <c r="Q22"/>
  <c r="R22"/>
  <c r="S22"/>
  <c r="L23"/>
  <c r="M23"/>
  <c r="N23"/>
  <c r="O23"/>
  <c r="P23"/>
  <c r="Q23"/>
  <c r="R23"/>
  <c r="S23"/>
  <c r="L24"/>
  <c r="M24"/>
  <c r="N24"/>
  <c r="O24"/>
  <c r="P24"/>
  <c r="Q24"/>
  <c r="R24"/>
  <c r="S24"/>
  <c r="L25"/>
  <c r="M25"/>
  <c r="N25"/>
  <c r="O25"/>
  <c r="P25"/>
  <c r="Q25"/>
  <c r="R25"/>
  <c r="S25"/>
  <c r="L26"/>
  <c r="M26"/>
  <c r="N26"/>
  <c r="O26"/>
  <c r="P26"/>
  <c r="Q26"/>
  <c r="R26"/>
  <c r="S26"/>
  <c r="L27"/>
  <c r="M27"/>
  <c r="N27"/>
  <c r="O27"/>
  <c r="P27"/>
  <c r="Q27"/>
  <c r="R27"/>
  <c r="S27"/>
  <c r="L28"/>
  <c r="M28"/>
  <c r="N28"/>
  <c r="O28"/>
  <c r="P28"/>
  <c r="Q28"/>
  <c r="R28"/>
  <c r="S28"/>
  <c r="L29"/>
  <c r="M29"/>
  <c r="N29"/>
  <c r="O29"/>
  <c r="P29"/>
  <c r="Q29"/>
  <c r="R29"/>
  <c r="S29"/>
  <c r="L30"/>
  <c r="M30"/>
  <c r="N30"/>
  <c r="O30"/>
  <c r="P30"/>
  <c r="Q30"/>
  <c r="R30"/>
  <c r="S30"/>
  <c r="L31"/>
  <c r="M31"/>
  <c r="N31"/>
  <c r="O31"/>
  <c r="P31"/>
  <c r="Q31"/>
  <c r="R31"/>
  <c r="S31"/>
  <c r="L32"/>
  <c r="M32"/>
  <c r="N32"/>
  <c r="O32"/>
  <c r="P32"/>
  <c r="Q32"/>
  <c r="R32"/>
  <c r="S32"/>
  <c r="L33"/>
  <c r="M33"/>
  <c r="N33"/>
  <c r="O33"/>
  <c r="P33"/>
  <c r="Q33"/>
  <c r="R33"/>
  <c r="S33"/>
  <c r="L34"/>
  <c r="M34"/>
  <c r="N34"/>
  <c r="O34"/>
  <c r="P34"/>
  <c r="Q34"/>
  <c r="R34"/>
  <c r="S34"/>
  <c r="L35"/>
  <c r="M35"/>
  <c r="N35"/>
  <c r="O35"/>
  <c r="P35"/>
  <c r="Q35"/>
  <c r="R35"/>
  <c r="S35"/>
  <c r="L36"/>
  <c r="M36"/>
  <c r="N36"/>
  <c r="O36"/>
  <c r="P36"/>
  <c r="Q36"/>
  <c r="R36"/>
  <c r="S36"/>
  <c r="L37"/>
  <c r="M37"/>
  <c r="N37"/>
  <c r="O37"/>
  <c r="P37"/>
  <c r="Q37"/>
  <c r="R37"/>
  <c r="S37"/>
  <c r="L38"/>
  <c r="M38"/>
  <c r="N38"/>
  <c r="O38"/>
  <c r="P38"/>
  <c r="Q38"/>
  <c r="R38"/>
  <c r="S38"/>
  <c r="L39"/>
  <c r="M39"/>
  <c r="N39"/>
  <c r="O39"/>
  <c r="P39"/>
  <c r="Q39"/>
  <c r="R39"/>
  <c r="S39"/>
  <c r="L40"/>
  <c r="M40"/>
  <c r="N40"/>
  <c r="O40"/>
  <c r="P40"/>
  <c r="Q40"/>
  <c r="R40"/>
  <c r="S40"/>
  <c r="L41"/>
  <c r="M41"/>
  <c r="N41"/>
  <c r="O41"/>
  <c r="P41"/>
  <c r="Q41"/>
  <c r="R41"/>
  <c r="S41"/>
  <c r="L42"/>
  <c r="M42"/>
  <c r="N42"/>
  <c r="O42"/>
  <c r="P42"/>
  <c r="Q42"/>
  <c r="R42"/>
  <c r="S42"/>
  <c r="L43"/>
  <c r="M43"/>
  <c r="N43"/>
  <c r="O43"/>
  <c r="P43"/>
  <c r="Q43"/>
  <c r="R43"/>
  <c r="S43"/>
  <c r="L44"/>
  <c r="M44"/>
  <c r="N44"/>
  <c r="O44"/>
  <c r="P44"/>
  <c r="Q44"/>
  <c r="R44"/>
  <c r="S44"/>
  <c r="L45"/>
  <c r="M45"/>
  <c r="N45"/>
  <c r="O45"/>
  <c r="P45"/>
  <c r="Q45"/>
  <c r="R45"/>
  <c r="S45"/>
  <c r="L46"/>
  <c r="M46"/>
  <c r="N46"/>
  <c r="O46"/>
  <c r="P46"/>
  <c r="Q46"/>
  <c r="R46"/>
  <c r="S46"/>
  <c r="L47"/>
  <c r="M47"/>
  <c r="N47"/>
  <c r="O47"/>
  <c r="P47"/>
  <c r="Q47"/>
  <c r="R47"/>
  <c r="S47"/>
  <c r="L48"/>
  <c r="M48"/>
  <c r="N48"/>
  <c r="O48"/>
  <c r="P48"/>
  <c r="Q48"/>
  <c r="R48"/>
  <c r="S48"/>
  <c r="L49"/>
  <c r="M49"/>
  <c r="N49"/>
  <c r="O49"/>
  <c r="P49"/>
  <c r="Q49"/>
  <c r="R49"/>
  <c r="S49"/>
  <c r="L50"/>
  <c r="M50"/>
  <c r="N50"/>
  <c r="O50"/>
  <c r="P50"/>
  <c r="Q50"/>
  <c r="R50"/>
  <c r="S50"/>
  <c r="L51"/>
  <c r="M51"/>
  <c r="N51"/>
  <c r="O51"/>
  <c r="P51"/>
  <c r="Q51"/>
  <c r="R51"/>
  <c r="S51"/>
  <c r="L52"/>
  <c r="M52"/>
  <c r="N52"/>
  <c r="O52"/>
  <c r="P52"/>
  <c r="Q52"/>
  <c r="R52"/>
  <c r="S52"/>
  <c r="L53"/>
  <c r="M53"/>
  <c r="N53"/>
  <c r="O53"/>
  <c r="P53"/>
  <c r="Q53"/>
  <c r="R53"/>
  <c r="S53"/>
  <c r="L54"/>
  <c r="M54"/>
  <c r="N54"/>
  <c r="O54"/>
  <c r="P54"/>
  <c r="Q54"/>
  <c r="R54"/>
  <c r="S54"/>
  <c r="L55"/>
  <c r="M55"/>
  <c r="N55"/>
  <c r="O55"/>
  <c r="P55"/>
  <c r="Q55"/>
  <c r="R55"/>
  <c r="S55"/>
  <c r="L56"/>
  <c r="M56"/>
  <c r="N56"/>
  <c r="O56"/>
  <c r="P56"/>
  <c r="Q56"/>
  <c r="R56"/>
  <c r="S56"/>
  <c r="L57"/>
  <c r="M57"/>
  <c r="N57"/>
  <c r="O57"/>
  <c r="P57"/>
  <c r="Q57"/>
  <c r="R57"/>
  <c r="S57"/>
  <c r="L58"/>
  <c r="M58"/>
  <c r="N58"/>
  <c r="O58"/>
  <c r="P58"/>
  <c r="Q58"/>
  <c r="R58"/>
  <c r="S58"/>
  <c r="L59"/>
  <c r="M59"/>
  <c r="N59"/>
  <c r="O59"/>
  <c r="P59"/>
  <c r="Q59"/>
  <c r="R59"/>
  <c r="S59"/>
  <c r="L60"/>
  <c r="M60"/>
  <c r="N60"/>
  <c r="O60"/>
  <c r="P60"/>
  <c r="Q60"/>
  <c r="R60"/>
  <c r="S60"/>
  <c r="L61"/>
  <c r="M61"/>
  <c r="N61"/>
  <c r="O61"/>
  <c r="P61"/>
  <c r="Q61"/>
  <c r="R61"/>
  <c r="S61"/>
  <c r="L62"/>
  <c r="M62"/>
  <c r="N62"/>
  <c r="O62"/>
  <c r="P62"/>
  <c r="Q62"/>
  <c r="R62"/>
  <c r="S62"/>
  <c r="L63"/>
  <c r="M63"/>
  <c r="N63"/>
  <c r="O63"/>
  <c r="P63"/>
  <c r="Q63"/>
  <c r="R63"/>
  <c r="S63"/>
  <c r="L64"/>
  <c r="M64"/>
  <c r="N64"/>
  <c r="O64"/>
  <c r="P64"/>
  <c r="Q64"/>
  <c r="R64"/>
  <c r="S64"/>
  <c r="L65"/>
  <c r="M65"/>
  <c r="N65"/>
  <c r="O65"/>
  <c r="P65"/>
  <c r="Q65"/>
  <c r="R65"/>
  <c r="S65"/>
  <c r="L66"/>
  <c r="M66"/>
  <c r="N66"/>
  <c r="O66"/>
  <c r="P66"/>
  <c r="Q66"/>
  <c r="R66"/>
  <c r="S66"/>
  <c r="L67"/>
  <c r="M67"/>
  <c r="N67"/>
  <c r="O67"/>
  <c r="P67"/>
  <c r="Q67"/>
  <c r="R67"/>
  <c r="S67"/>
  <c r="L68"/>
  <c r="M68"/>
  <c r="N68"/>
  <c r="O68"/>
  <c r="P68"/>
  <c r="Q68"/>
  <c r="R68"/>
  <c r="S68"/>
  <c r="L69"/>
  <c r="M69"/>
  <c r="N69"/>
  <c r="O69"/>
  <c r="P69"/>
  <c r="Q69"/>
  <c r="R69"/>
  <c r="S69"/>
  <c r="L70"/>
  <c r="M70"/>
  <c r="N70"/>
  <c r="O70"/>
  <c r="P70"/>
  <c r="Q70"/>
  <c r="R70"/>
  <c r="S70"/>
  <c r="L71"/>
  <c r="M71"/>
  <c r="N71"/>
  <c r="O71"/>
  <c r="P71"/>
  <c r="Q71"/>
  <c r="R71"/>
  <c r="S71"/>
  <c r="L72"/>
  <c r="M72"/>
  <c r="N72"/>
  <c r="O72"/>
  <c r="P72"/>
  <c r="Q72"/>
  <c r="R72"/>
  <c r="S72"/>
  <c r="L73"/>
  <c r="M73"/>
  <c r="N73"/>
  <c r="O73"/>
  <c r="P73"/>
  <c r="Q73"/>
  <c r="R73"/>
  <c r="S73"/>
  <c r="L74"/>
  <c r="M74"/>
  <c r="N74"/>
  <c r="O74"/>
  <c r="P74"/>
  <c r="Q74"/>
  <c r="R74"/>
  <c r="S74"/>
  <c r="L75"/>
  <c r="M75"/>
  <c r="N75"/>
  <c r="O75"/>
  <c r="P75"/>
  <c r="Q75"/>
  <c r="R75"/>
  <c r="S75"/>
  <c r="L76"/>
  <c r="M76"/>
  <c r="N76"/>
  <c r="O76"/>
  <c r="P76"/>
  <c r="Q76"/>
  <c r="R76"/>
  <c r="S76"/>
  <c r="L77"/>
  <c r="M77"/>
  <c r="N77"/>
  <c r="O77"/>
  <c r="P77"/>
  <c r="Q77"/>
  <c r="R77"/>
  <c r="S77"/>
  <c r="L78"/>
  <c r="M78"/>
  <c r="N78"/>
  <c r="O78"/>
  <c r="P78"/>
  <c r="Q78"/>
  <c r="R78"/>
  <c r="S78"/>
  <c r="L79"/>
  <c r="M79"/>
  <c r="N79"/>
  <c r="O79"/>
  <c r="P79"/>
  <c r="Q79"/>
  <c r="R79"/>
  <c r="S79"/>
  <c r="L80"/>
  <c r="M80"/>
  <c r="N80"/>
  <c r="O80"/>
  <c r="P80"/>
  <c r="Q80"/>
  <c r="R80"/>
  <c r="S80"/>
  <c r="L81"/>
  <c r="M81"/>
  <c r="N81"/>
  <c r="O81"/>
  <c r="P81"/>
  <c r="Q81"/>
  <c r="R81"/>
  <c r="S81"/>
  <c r="L82"/>
  <c r="M82"/>
  <c r="N82"/>
  <c r="O82"/>
  <c r="P82"/>
  <c r="Q82"/>
  <c r="R82"/>
  <c r="S82"/>
  <c r="L83"/>
  <c r="M83"/>
  <c r="N83"/>
  <c r="O83"/>
  <c r="P83"/>
  <c r="Q83"/>
  <c r="R83"/>
  <c r="S83"/>
  <c r="L84"/>
  <c r="M84"/>
  <c r="N84"/>
  <c r="O84"/>
  <c r="P84"/>
  <c r="Q84"/>
  <c r="R84"/>
  <c r="S84"/>
  <c r="L85"/>
  <c r="M85"/>
  <c r="N85"/>
  <c r="O85"/>
  <c r="P85"/>
  <c r="Q85"/>
  <c r="R85"/>
  <c r="S85"/>
  <c r="L86"/>
  <c r="M86"/>
  <c r="N86"/>
  <c r="O86"/>
  <c r="P86"/>
  <c r="Q86"/>
  <c r="R86"/>
  <c r="S86"/>
  <c r="L87"/>
  <c r="M87"/>
  <c r="N87"/>
  <c r="O87"/>
  <c r="P87"/>
  <c r="Q87"/>
  <c r="R87"/>
  <c r="S87"/>
  <c r="L88"/>
  <c r="M88"/>
  <c r="N88"/>
  <c r="O88"/>
  <c r="P88"/>
  <c r="Q88"/>
  <c r="R88"/>
  <c r="S88"/>
  <c r="L89"/>
  <c r="M89"/>
  <c r="N89"/>
  <c r="O89"/>
  <c r="P89"/>
  <c r="Q89"/>
  <c r="R89"/>
  <c r="S89"/>
  <c r="L90"/>
  <c r="M90"/>
  <c r="N90"/>
  <c r="O90"/>
  <c r="P90"/>
  <c r="Q90"/>
  <c r="R90"/>
  <c r="S90"/>
  <c r="L91"/>
  <c r="M91"/>
  <c r="N91"/>
  <c r="O91"/>
  <c r="P91"/>
  <c r="Q91"/>
  <c r="R91"/>
  <c r="S91"/>
  <c r="L92"/>
  <c r="M92"/>
  <c r="N92"/>
  <c r="O92"/>
  <c r="P92"/>
  <c r="Q92"/>
  <c r="R92"/>
  <c r="S92"/>
  <c r="L93"/>
  <c r="M93"/>
  <c r="N93"/>
  <c r="O93"/>
  <c r="P93"/>
  <c r="Q93"/>
  <c r="R93"/>
  <c r="S93"/>
  <c r="L94"/>
  <c r="M94"/>
  <c r="N94"/>
  <c r="O94"/>
  <c r="P94"/>
  <c r="Q94"/>
  <c r="R94"/>
  <c r="S94"/>
  <c r="L95"/>
  <c r="M95"/>
  <c r="N95"/>
  <c r="O95"/>
  <c r="P95"/>
  <c r="Q95"/>
  <c r="R95"/>
  <c r="S95"/>
  <c r="L96"/>
  <c r="M96"/>
  <c r="N96"/>
  <c r="O96"/>
  <c r="P96"/>
  <c r="Q96"/>
  <c r="R96"/>
  <c r="S96"/>
  <c r="L97"/>
  <c r="M97"/>
  <c r="N97"/>
  <c r="O97"/>
  <c r="P97"/>
  <c r="Q97"/>
  <c r="R97"/>
  <c r="S97"/>
  <c r="L98"/>
  <c r="M98"/>
  <c r="N98"/>
  <c r="O98"/>
  <c r="P98"/>
  <c r="Q98"/>
  <c r="R98"/>
  <c r="S98"/>
  <c r="L99"/>
  <c r="M99"/>
  <c r="N99"/>
  <c r="O99"/>
  <c r="P99"/>
  <c r="Q99"/>
  <c r="R99"/>
  <c r="S99"/>
  <c r="L100"/>
  <c r="M100"/>
  <c r="N100"/>
  <c r="O100"/>
  <c r="P100"/>
  <c r="Q100"/>
  <c r="R100"/>
  <c r="S100"/>
  <c r="L101"/>
  <c r="M101"/>
  <c r="N101"/>
  <c r="O101"/>
  <c r="P101"/>
  <c r="Q101"/>
  <c r="R101"/>
  <c r="S101"/>
  <c r="L102"/>
  <c r="M102"/>
  <c r="N102"/>
  <c r="O102"/>
  <c r="P102"/>
  <c r="Q102"/>
  <c r="R102"/>
  <c r="S102"/>
  <c r="L103"/>
  <c r="M103"/>
  <c r="N103"/>
  <c r="O103"/>
  <c r="P103"/>
  <c r="Q103"/>
  <c r="R103"/>
  <c r="S103"/>
  <c r="L104"/>
  <c r="M104"/>
  <c r="N104"/>
  <c r="O104"/>
  <c r="P104"/>
  <c r="Q104"/>
  <c r="R104"/>
  <c r="S104"/>
  <c r="L105"/>
  <c r="M105"/>
  <c r="N105"/>
  <c r="O105"/>
  <c r="P105"/>
  <c r="Q105"/>
  <c r="R105"/>
  <c r="S105"/>
  <c r="L106"/>
  <c r="M106"/>
  <c r="N106"/>
  <c r="O106"/>
  <c r="P106"/>
  <c r="Q106"/>
  <c r="R106"/>
  <c r="S106"/>
  <c r="L107"/>
  <c r="M107"/>
  <c r="N107"/>
  <c r="O107"/>
  <c r="P107"/>
  <c r="Q107"/>
  <c r="R107"/>
  <c r="S107"/>
  <c r="L108"/>
  <c r="M108"/>
  <c r="N108"/>
  <c r="O108"/>
  <c r="P108"/>
  <c r="Q108"/>
  <c r="R108"/>
  <c r="S108"/>
  <c r="L109"/>
  <c r="M109"/>
  <c r="N109"/>
  <c r="O109"/>
  <c r="P109"/>
  <c r="Q109"/>
  <c r="R109"/>
  <c r="S109"/>
  <c r="L110"/>
  <c r="M110"/>
  <c r="N110"/>
  <c r="O110"/>
  <c r="P110"/>
  <c r="Q110"/>
  <c r="R110"/>
  <c r="S110"/>
  <c r="L111"/>
  <c r="M111"/>
  <c r="N111"/>
  <c r="O111"/>
  <c r="P111"/>
  <c r="Q111"/>
  <c r="R111"/>
  <c r="S111"/>
  <c r="L112"/>
  <c r="M112"/>
  <c r="N112"/>
  <c r="O112"/>
  <c r="P112"/>
  <c r="Q112"/>
  <c r="R112"/>
  <c r="S112"/>
  <c r="L113"/>
  <c r="M113"/>
  <c r="N113"/>
  <c r="O113"/>
  <c r="P113"/>
  <c r="Q113"/>
  <c r="R113"/>
  <c r="S113"/>
  <c r="L114"/>
  <c r="M114"/>
  <c r="N114"/>
  <c r="O114"/>
  <c r="P114"/>
  <c r="Q114"/>
  <c r="R114"/>
  <c r="S114"/>
  <c r="L115"/>
  <c r="M115"/>
  <c r="N115"/>
  <c r="O115"/>
  <c r="P115"/>
  <c r="Q115"/>
  <c r="R115"/>
  <c r="S115"/>
  <c r="L116"/>
  <c r="M116"/>
  <c r="N116"/>
  <c r="O116"/>
  <c r="P116"/>
  <c r="Q116"/>
  <c r="R116"/>
  <c r="S116"/>
  <c r="L117"/>
  <c r="M117"/>
  <c r="N117"/>
  <c r="O117"/>
  <c r="P117"/>
  <c r="Q117"/>
  <c r="R117"/>
  <c r="S117"/>
  <c r="L118"/>
  <c r="M118"/>
  <c r="N118"/>
  <c r="O118"/>
  <c r="P118"/>
  <c r="Q118"/>
  <c r="R118"/>
  <c r="S118"/>
  <c r="L119"/>
  <c r="M119"/>
  <c r="N119"/>
  <c r="O119"/>
  <c r="P119"/>
  <c r="Q119"/>
  <c r="R119"/>
  <c r="S119"/>
  <c r="L120"/>
  <c r="M120"/>
  <c r="N120"/>
  <c r="O120"/>
  <c r="P120"/>
  <c r="Q120"/>
  <c r="R120"/>
  <c r="S120"/>
  <c r="L121"/>
  <c r="M121"/>
  <c r="N121"/>
  <c r="O121"/>
  <c r="P121"/>
  <c r="Q121"/>
  <c r="R121"/>
  <c r="S121"/>
  <c r="L122"/>
  <c r="M122"/>
  <c r="N122"/>
  <c r="O122"/>
  <c r="P122"/>
  <c r="Q122"/>
  <c r="R122"/>
  <c r="S122"/>
  <c r="L123"/>
  <c r="M123"/>
  <c r="N123"/>
  <c r="O123"/>
  <c r="P123"/>
  <c r="Q123"/>
  <c r="R123"/>
  <c r="S123"/>
  <c r="L124"/>
  <c r="M124"/>
  <c r="N124"/>
  <c r="O124"/>
  <c r="P124"/>
  <c r="Q124"/>
  <c r="R124"/>
  <c r="S124"/>
  <c r="L125"/>
  <c r="M125"/>
  <c r="N125"/>
  <c r="O125"/>
  <c r="P125"/>
  <c r="Q125"/>
  <c r="R125"/>
  <c r="S125"/>
  <c r="L126"/>
  <c r="M126"/>
  <c r="N126"/>
  <c r="O126"/>
  <c r="P126"/>
  <c r="Q126"/>
  <c r="R126"/>
  <c r="S126"/>
  <c r="L127"/>
  <c r="M127"/>
  <c r="N127"/>
  <c r="O127"/>
  <c r="P127"/>
  <c r="Q127"/>
  <c r="R127"/>
  <c r="S127"/>
  <c r="L128"/>
  <c r="M128"/>
  <c r="N128"/>
  <c r="O128"/>
  <c r="P128"/>
  <c r="Q128"/>
  <c r="R128"/>
  <c r="S128"/>
  <c r="L129"/>
  <c r="M129"/>
  <c r="N129"/>
  <c r="O129"/>
  <c r="P129"/>
  <c r="Q129"/>
  <c r="R129"/>
  <c r="S129"/>
  <c r="L130"/>
  <c r="M130"/>
  <c r="N130"/>
  <c r="O130"/>
  <c r="P130"/>
  <c r="Q130"/>
  <c r="R130"/>
  <c r="S130"/>
  <c r="L131"/>
  <c r="M131"/>
  <c r="N131"/>
  <c r="O131"/>
  <c r="P131"/>
  <c r="Q131"/>
  <c r="R131"/>
  <c r="S131"/>
  <c r="L132"/>
  <c r="M132"/>
  <c r="N132"/>
  <c r="O132"/>
  <c r="P132"/>
  <c r="Q132"/>
  <c r="R132"/>
  <c r="S132"/>
  <c r="L133"/>
  <c r="M133"/>
  <c r="N133"/>
  <c r="O133"/>
  <c r="P133"/>
  <c r="Q133"/>
  <c r="R133"/>
  <c r="S133"/>
  <c r="L134"/>
  <c r="M134"/>
  <c r="N134"/>
  <c r="O134"/>
  <c r="P134"/>
  <c r="Q134"/>
  <c r="R134"/>
  <c r="S134"/>
  <c r="L135"/>
  <c r="M135"/>
  <c r="N135"/>
  <c r="O135"/>
  <c r="P135"/>
  <c r="Q135"/>
  <c r="R135"/>
  <c r="S135"/>
  <c r="L136"/>
  <c r="M136"/>
  <c r="N136"/>
  <c r="O136"/>
  <c r="P136"/>
  <c r="Q136"/>
  <c r="R136"/>
  <c r="S136"/>
  <c r="L137"/>
  <c r="M137"/>
  <c r="N137"/>
  <c r="O137"/>
  <c r="P137"/>
  <c r="Q137"/>
  <c r="R137"/>
  <c r="S137"/>
  <c r="L138"/>
  <c r="M138"/>
  <c r="N138"/>
  <c r="O138"/>
  <c r="P138"/>
  <c r="Q138"/>
  <c r="R138"/>
  <c r="S138"/>
  <c r="L139"/>
  <c r="M139"/>
  <c r="N139"/>
  <c r="O139"/>
  <c r="P139"/>
  <c r="Q139"/>
  <c r="R139"/>
  <c r="S139"/>
  <c r="L140"/>
  <c r="M140"/>
  <c r="N140"/>
  <c r="O140"/>
  <c r="P140"/>
  <c r="Q140"/>
  <c r="R140"/>
  <c r="S140"/>
  <c r="L141"/>
  <c r="M141"/>
  <c r="N141"/>
  <c r="O141"/>
  <c r="P141"/>
  <c r="Q141"/>
  <c r="R141"/>
  <c r="S141"/>
  <c r="L142"/>
  <c r="M142"/>
  <c r="N142"/>
  <c r="O142"/>
  <c r="P142"/>
  <c r="Q142"/>
  <c r="R142"/>
  <c r="S142"/>
  <c r="L143"/>
  <c r="M143"/>
  <c r="N143"/>
  <c r="O143"/>
  <c r="P143"/>
  <c r="Q143"/>
  <c r="R143"/>
  <c r="S143"/>
  <c r="L144"/>
  <c r="M144"/>
  <c r="N144"/>
  <c r="O144"/>
  <c r="P144"/>
  <c r="Q144"/>
  <c r="R144"/>
  <c r="S144"/>
  <c r="L145"/>
  <c r="M145"/>
  <c r="N145"/>
  <c r="O145"/>
  <c r="P145"/>
  <c r="Q145"/>
  <c r="R145"/>
  <c r="S145"/>
  <c r="L146"/>
  <c r="M146"/>
  <c r="N146"/>
  <c r="O146"/>
  <c r="P146"/>
  <c r="Q146"/>
  <c r="R146"/>
  <c r="S146"/>
  <c r="L147"/>
  <c r="M147"/>
  <c r="N147"/>
  <c r="O147"/>
  <c r="P147"/>
  <c r="Q147"/>
  <c r="R147"/>
  <c r="S147"/>
  <c r="L148"/>
  <c r="M148"/>
  <c r="N148"/>
  <c r="O148"/>
  <c r="P148"/>
  <c r="Q148"/>
  <c r="R148"/>
  <c r="S148"/>
  <c r="L149"/>
  <c r="M149"/>
  <c r="N149"/>
  <c r="O149"/>
  <c r="P149"/>
  <c r="Q149"/>
  <c r="R149"/>
  <c r="S149"/>
  <c r="L150"/>
  <c r="M150"/>
  <c r="N150"/>
  <c r="O150"/>
  <c r="P150"/>
  <c r="Q150"/>
  <c r="R150"/>
  <c r="S150"/>
  <c r="L151"/>
  <c r="M151"/>
  <c r="N151"/>
  <c r="O151"/>
  <c r="P151"/>
  <c r="Q151"/>
  <c r="R151"/>
  <c r="S151"/>
  <c r="L152"/>
  <c r="M152"/>
  <c r="N152"/>
  <c r="O152"/>
  <c r="P152"/>
  <c r="Q152"/>
  <c r="R152"/>
  <c r="S152"/>
  <c r="L153"/>
  <c r="M153"/>
  <c r="N153"/>
  <c r="O153"/>
  <c r="P153"/>
  <c r="Q153"/>
  <c r="R153"/>
  <c r="S153"/>
  <c r="L154"/>
  <c r="M154"/>
  <c r="N154"/>
  <c r="O154"/>
  <c r="P154"/>
  <c r="Q154"/>
  <c r="R154"/>
  <c r="S154"/>
  <c r="L155"/>
  <c r="M155"/>
  <c r="N155"/>
  <c r="O155"/>
  <c r="P155"/>
  <c r="Q155"/>
  <c r="R155"/>
  <c r="S155"/>
  <c r="L156"/>
  <c r="M156"/>
  <c r="N156"/>
  <c r="O156"/>
  <c r="P156"/>
  <c r="Q156"/>
  <c r="R156"/>
  <c r="S156"/>
  <c r="L157"/>
  <c r="M157"/>
  <c r="N157"/>
  <c r="O157"/>
  <c r="P157"/>
  <c r="Q157"/>
  <c r="R157"/>
  <c r="S157"/>
  <c r="L158"/>
  <c r="M158"/>
  <c r="N158"/>
  <c r="O158"/>
  <c r="P158"/>
  <c r="Q158"/>
  <c r="R158"/>
  <c r="S158"/>
  <c r="L159"/>
  <c r="M159"/>
  <c r="N159"/>
  <c r="O159"/>
  <c r="P159"/>
  <c r="Q159"/>
  <c r="R159"/>
  <c r="S159"/>
  <c r="L160"/>
  <c r="M160"/>
  <c r="N160"/>
  <c r="O160"/>
  <c r="P160"/>
  <c r="Q160"/>
  <c r="R160"/>
  <c r="S160"/>
  <c r="L161"/>
  <c r="M161"/>
  <c r="N161"/>
  <c r="O161"/>
  <c r="P161"/>
  <c r="Q161"/>
  <c r="R161"/>
  <c r="S161"/>
  <c r="L162"/>
  <c r="M162"/>
  <c r="N162"/>
  <c r="O162"/>
  <c r="P162"/>
  <c r="Q162"/>
  <c r="R162"/>
  <c r="S162"/>
  <c r="L163"/>
  <c r="M163"/>
  <c r="N163"/>
  <c r="O163"/>
  <c r="P163"/>
  <c r="Q163"/>
  <c r="R163"/>
  <c r="S163"/>
  <c r="L164"/>
  <c r="M164"/>
  <c r="N164"/>
  <c r="O164"/>
  <c r="P164"/>
  <c r="Q164"/>
  <c r="R164"/>
  <c r="S164"/>
  <c r="L165"/>
  <c r="M165"/>
  <c r="N165"/>
  <c r="O165"/>
  <c r="P165"/>
  <c r="Q165"/>
  <c r="R165"/>
  <c r="S165"/>
  <c r="L166"/>
  <c r="M166"/>
  <c r="N166"/>
  <c r="O166"/>
  <c r="P166"/>
  <c r="Q166"/>
  <c r="R166"/>
  <c r="S166"/>
  <c r="L167"/>
  <c r="M167"/>
  <c r="N167"/>
  <c r="O167"/>
  <c r="P167"/>
  <c r="Q167"/>
  <c r="R167"/>
  <c r="S167"/>
  <c r="L168"/>
  <c r="M168"/>
  <c r="N168"/>
  <c r="O168"/>
  <c r="P168"/>
  <c r="Q168"/>
  <c r="R168"/>
  <c r="S168"/>
  <c r="L169"/>
  <c r="M169"/>
  <c r="N169"/>
  <c r="O169"/>
  <c r="P169"/>
  <c r="Q169"/>
  <c r="R169"/>
  <c r="S169"/>
  <c r="L170"/>
  <c r="M170"/>
  <c r="N170"/>
  <c r="O170"/>
  <c r="P170"/>
  <c r="Q170"/>
  <c r="R170"/>
  <c r="S170"/>
  <c r="L171"/>
  <c r="M171"/>
  <c r="N171"/>
  <c r="O171"/>
  <c r="P171"/>
  <c r="Q171"/>
  <c r="R171"/>
  <c r="S171"/>
  <c r="L172"/>
  <c r="M172"/>
  <c r="N172"/>
  <c r="O172"/>
  <c r="P172"/>
  <c r="Q172"/>
  <c r="R172"/>
  <c r="S172"/>
  <c r="L173"/>
  <c r="M173"/>
  <c r="N173"/>
  <c r="O173"/>
  <c r="P173"/>
  <c r="Q173"/>
  <c r="R173"/>
  <c r="S173"/>
  <c r="L174"/>
  <c r="M174"/>
  <c r="N174"/>
  <c r="O174"/>
  <c r="P174"/>
  <c r="Q174"/>
  <c r="R174"/>
  <c r="S174"/>
  <c r="L175"/>
  <c r="M175"/>
  <c r="N175"/>
  <c r="O175"/>
  <c r="P175"/>
  <c r="Q175"/>
  <c r="R175"/>
  <c r="S175"/>
  <c r="L176"/>
  <c r="M176"/>
  <c r="N176"/>
  <c r="O176"/>
  <c r="P176"/>
  <c r="Q176"/>
  <c r="R176"/>
  <c r="S176"/>
  <c r="L177"/>
  <c r="M177"/>
  <c r="N177"/>
  <c r="O177"/>
  <c r="P177"/>
  <c r="Q177"/>
  <c r="R177"/>
  <c r="S177"/>
  <c r="L178"/>
  <c r="M178"/>
  <c r="N178"/>
  <c r="O178"/>
  <c r="P178"/>
  <c r="Q178"/>
  <c r="R178"/>
  <c r="S178"/>
  <c r="L179"/>
  <c r="M179"/>
  <c r="N179"/>
  <c r="O179"/>
  <c r="P179"/>
  <c r="Q179"/>
  <c r="R179"/>
  <c r="S179"/>
  <c r="L180"/>
  <c r="M180"/>
  <c r="N180"/>
  <c r="O180"/>
  <c r="P180"/>
  <c r="Q180"/>
  <c r="R180"/>
  <c r="S180"/>
  <c r="L181"/>
  <c r="M181"/>
  <c r="N181"/>
  <c r="O181"/>
  <c r="P181"/>
  <c r="Q181"/>
  <c r="R181"/>
  <c r="S181"/>
  <c r="L182"/>
  <c r="M182"/>
  <c r="N182"/>
  <c r="O182"/>
  <c r="P182"/>
  <c r="Q182"/>
  <c r="R182"/>
  <c r="S182"/>
  <c r="L183"/>
  <c r="M183"/>
  <c r="N183"/>
  <c r="O183"/>
  <c r="P183"/>
  <c r="Q183"/>
  <c r="R183"/>
  <c r="S183"/>
  <c r="L184"/>
  <c r="M184"/>
  <c r="N184"/>
  <c r="O184"/>
  <c r="P184"/>
  <c r="Q184"/>
  <c r="R184"/>
  <c r="S184"/>
  <c r="L185"/>
  <c r="M185"/>
  <c r="N185"/>
  <c r="O185"/>
  <c r="P185"/>
  <c r="Q185"/>
  <c r="R185"/>
  <c r="S185"/>
  <c r="L186"/>
  <c r="M186"/>
  <c r="N186"/>
  <c r="O186"/>
  <c r="P186"/>
  <c r="Q186"/>
  <c r="R186"/>
  <c r="S186"/>
  <c r="L187"/>
  <c r="M187"/>
  <c r="N187"/>
  <c r="O187"/>
  <c r="P187"/>
  <c r="Q187"/>
  <c r="R187"/>
  <c r="S187"/>
  <c r="L188"/>
  <c r="M188"/>
  <c r="N188"/>
  <c r="O188"/>
  <c r="P188"/>
  <c r="Q188"/>
  <c r="R188"/>
  <c r="S188"/>
  <c r="L189"/>
  <c r="M189"/>
  <c r="N189"/>
  <c r="O189"/>
  <c r="P189"/>
  <c r="Q189"/>
  <c r="R189"/>
  <c r="S189"/>
  <c r="L190"/>
  <c r="M190"/>
  <c r="N190"/>
  <c r="O190"/>
  <c r="P190"/>
  <c r="Q190"/>
  <c r="R190"/>
  <c r="S190"/>
  <c r="L191"/>
  <c r="M191"/>
  <c r="N191"/>
  <c r="O191"/>
  <c r="P191"/>
  <c r="Q191"/>
  <c r="R191"/>
  <c r="S191"/>
  <c r="L192"/>
  <c r="M192"/>
  <c r="N192"/>
  <c r="O192"/>
  <c r="P192"/>
  <c r="Q192"/>
  <c r="R192"/>
  <c r="S192"/>
  <c r="L193"/>
  <c r="M193"/>
  <c r="N193"/>
  <c r="O193"/>
  <c r="P193"/>
  <c r="Q193"/>
  <c r="R193"/>
  <c r="S193"/>
  <c r="L194"/>
  <c r="M194"/>
  <c r="N194"/>
  <c r="O194"/>
  <c r="P194"/>
  <c r="Q194"/>
  <c r="R194"/>
  <c r="S194"/>
  <c r="L195"/>
  <c r="M195"/>
  <c r="N195"/>
  <c r="O195"/>
  <c r="P195"/>
  <c r="Q195"/>
  <c r="R195"/>
  <c r="S195"/>
  <c r="L196"/>
  <c r="M196"/>
  <c r="N196"/>
  <c r="O196"/>
  <c r="P196"/>
  <c r="Q196"/>
  <c r="R196"/>
  <c r="S196"/>
  <c r="L197"/>
  <c r="M197"/>
  <c r="N197"/>
  <c r="O197"/>
  <c r="P197"/>
  <c r="Q197"/>
  <c r="R197"/>
  <c r="S197"/>
  <c r="L198"/>
  <c r="M198"/>
  <c r="N198"/>
  <c r="O198"/>
  <c r="P198"/>
  <c r="Q198"/>
  <c r="R198"/>
  <c r="S198"/>
  <c r="L199"/>
  <c r="M199"/>
  <c r="N199"/>
  <c r="O199"/>
  <c r="P199"/>
  <c r="Q199"/>
  <c r="R199"/>
  <c r="S199"/>
  <c r="L200"/>
  <c r="M200"/>
  <c r="N200"/>
  <c r="O200"/>
  <c r="P200"/>
  <c r="Q200"/>
  <c r="R200"/>
  <c r="S200"/>
  <c r="L201"/>
  <c r="M201"/>
  <c r="N201"/>
  <c r="O201"/>
  <c r="P201"/>
  <c r="Q201"/>
  <c r="R201"/>
  <c r="S201"/>
  <c r="L202"/>
  <c r="M202"/>
  <c r="N202"/>
  <c r="O202"/>
  <c r="P202"/>
  <c r="Q202"/>
  <c r="R202"/>
  <c r="S202"/>
  <c r="L203"/>
  <c r="M203"/>
  <c r="N203"/>
  <c r="O203"/>
  <c r="P203"/>
  <c r="Q203"/>
  <c r="R203"/>
  <c r="S203"/>
  <c r="L204"/>
  <c r="M204"/>
  <c r="N204"/>
  <c r="O204"/>
  <c r="P204"/>
  <c r="Q204"/>
  <c r="R204"/>
  <c r="S204"/>
  <c r="L205"/>
  <c r="M205"/>
  <c r="N205"/>
  <c r="O205"/>
  <c r="P205"/>
  <c r="Q205"/>
  <c r="R205"/>
  <c r="S205"/>
  <c r="L206"/>
  <c r="M206"/>
  <c r="N206"/>
  <c r="O206"/>
  <c r="P206"/>
  <c r="Q206"/>
  <c r="R206"/>
  <c r="S206"/>
  <c r="L207"/>
  <c r="M207"/>
  <c r="N207"/>
  <c r="O207"/>
  <c r="P207"/>
  <c r="Q207"/>
  <c r="R207"/>
  <c r="S207"/>
  <c r="L208"/>
  <c r="M208"/>
  <c r="N208"/>
  <c r="O208"/>
  <c r="P208"/>
  <c r="Q208"/>
  <c r="R208"/>
  <c r="S208"/>
  <c r="L209"/>
  <c r="M209"/>
  <c r="N209"/>
  <c r="O209"/>
  <c r="P209"/>
  <c r="Q209"/>
  <c r="R209"/>
  <c r="S209"/>
  <c r="L210"/>
  <c r="M210"/>
  <c r="N210"/>
  <c r="O210"/>
  <c r="P210"/>
  <c r="Q210"/>
  <c r="R210"/>
  <c r="S210"/>
  <c r="L211"/>
  <c r="M211"/>
  <c r="N211"/>
  <c r="O211"/>
  <c r="P211"/>
  <c r="Q211"/>
  <c r="R211"/>
  <c r="S211"/>
  <c r="L212"/>
  <c r="M212"/>
  <c r="N212"/>
  <c r="O212"/>
  <c r="P212"/>
  <c r="Q212"/>
  <c r="R212"/>
  <c r="S212"/>
  <c r="L213"/>
  <c r="M213"/>
  <c r="N213"/>
  <c r="O213"/>
  <c r="P213"/>
  <c r="Q213"/>
  <c r="R213"/>
  <c r="S213"/>
  <c r="L214"/>
  <c r="M214"/>
  <c r="N214"/>
  <c r="O214"/>
  <c r="P214"/>
  <c r="Q214"/>
  <c r="R214"/>
  <c r="S214"/>
  <c r="L215"/>
  <c r="M215"/>
  <c r="N215"/>
  <c r="O215"/>
  <c r="P215"/>
  <c r="Q215"/>
  <c r="R215"/>
  <c r="S215"/>
  <c r="L216"/>
  <c r="M216"/>
  <c r="N216"/>
  <c r="O216"/>
  <c r="P216"/>
  <c r="Q216"/>
  <c r="R216"/>
  <c r="S216"/>
  <c r="L217"/>
  <c r="M217"/>
  <c r="N217"/>
  <c r="O217"/>
  <c r="P217"/>
  <c r="Q217"/>
  <c r="R217"/>
  <c r="S217"/>
  <c r="L218"/>
  <c r="M218"/>
  <c r="N218"/>
  <c r="O218"/>
  <c r="P218"/>
  <c r="Q218"/>
  <c r="R218"/>
  <c r="S218"/>
  <c r="L219"/>
  <c r="M219"/>
  <c r="N219"/>
  <c r="O219"/>
  <c r="P219"/>
  <c r="Q219"/>
  <c r="R219"/>
  <c r="S219"/>
  <c r="L220"/>
  <c r="M220"/>
  <c r="N220"/>
  <c r="O220"/>
  <c r="P220"/>
  <c r="Q220"/>
  <c r="R220"/>
  <c r="S220"/>
  <c r="L221"/>
  <c r="M221"/>
  <c r="N221"/>
  <c r="O221"/>
  <c r="P221"/>
  <c r="Q221"/>
  <c r="R221"/>
  <c r="S221"/>
  <c r="L222"/>
  <c r="M222"/>
  <c r="N222"/>
  <c r="O222"/>
  <c r="P222"/>
  <c r="Q222"/>
  <c r="R222"/>
  <c r="S222"/>
  <c r="L223"/>
  <c r="M223"/>
  <c r="N223"/>
  <c r="O223"/>
  <c r="P223"/>
  <c r="Q223"/>
  <c r="R223"/>
  <c r="S223"/>
  <c r="L224"/>
  <c r="M224"/>
  <c r="N224"/>
  <c r="O224"/>
  <c r="P224"/>
  <c r="Q224"/>
  <c r="R224"/>
  <c r="S224"/>
  <c r="L225"/>
  <c r="M225"/>
  <c r="N225"/>
  <c r="O225"/>
  <c r="P225"/>
  <c r="Q225"/>
  <c r="R225"/>
  <c r="S225"/>
  <c r="L226"/>
  <c r="M226"/>
  <c r="N226"/>
  <c r="O226"/>
  <c r="P226"/>
  <c r="Q226"/>
  <c r="R226"/>
  <c r="S226"/>
  <c r="L227"/>
  <c r="M227"/>
  <c r="N227"/>
  <c r="O227"/>
  <c r="P227"/>
  <c r="Q227"/>
  <c r="R227"/>
  <c r="S227"/>
  <c r="L228"/>
  <c r="M228"/>
  <c r="N228"/>
  <c r="O228"/>
  <c r="P228"/>
  <c r="Q228"/>
  <c r="R228"/>
  <c r="S228"/>
  <c r="L229"/>
  <c r="M229"/>
  <c r="N229"/>
  <c r="O229"/>
  <c r="P229"/>
  <c r="Q229"/>
  <c r="R229"/>
  <c r="S229"/>
  <c r="L230"/>
  <c r="M230"/>
  <c r="N230"/>
  <c r="O230"/>
  <c r="P230"/>
  <c r="Q230"/>
  <c r="R230"/>
  <c r="S230"/>
  <c r="L231"/>
  <c r="M231"/>
  <c r="N231"/>
  <c r="O231"/>
  <c r="P231"/>
  <c r="Q231"/>
  <c r="R231"/>
  <c r="S231"/>
  <c r="L232"/>
  <c r="M232"/>
  <c r="N232"/>
  <c r="O232"/>
  <c r="P232"/>
  <c r="Q232"/>
  <c r="R232"/>
  <c r="S232"/>
  <c r="L233"/>
  <c r="M233"/>
  <c r="N233"/>
  <c r="O233"/>
  <c r="P233"/>
  <c r="Q233"/>
  <c r="R233"/>
  <c r="S233"/>
  <c r="L234"/>
  <c r="M234"/>
  <c r="N234"/>
  <c r="O234"/>
  <c r="P234"/>
  <c r="Q234"/>
  <c r="R234"/>
  <c r="S234"/>
  <c r="L235"/>
  <c r="M235"/>
  <c r="N235"/>
  <c r="O235"/>
  <c r="P235"/>
  <c r="Q235"/>
  <c r="R235"/>
  <c r="S235"/>
  <c r="L236"/>
  <c r="M236"/>
  <c r="N236"/>
  <c r="O236"/>
  <c r="P236"/>
  <c r="Q236"/>
  <c r="R236"/>
  <c r="S236"/>
  <c r="L237"/>
  <c r="M237"/>
  <c r="N237"/>
  <c r="O237"/>
  <c r="P237"/>
  <c r="Q237"/>
  <c r="R237"/>
  <c r="S237"/>
  <c r="L238"/>
  <c r="M238"/>
  <c r="N238"/>
  <c r="O238"/>
  <c r="P238"/>
  <c r="Q238"/>
  <c r="R238"/>
  <c r="S238"/>
  <c r="L239"/>
  <c r="M239"/>
  <c r="N239"/>
  <c r="O239"/>
  <c r="P239"/>
  <c r="Q239"/>
  <c r="R239"/>
  <c r="S239"/>
  <c r="L240"/>
  <c r="M240"/>
  <c r="N240"/>
  <c r="O240"/>
  <c r="P240"/>
  <c r="Q240"/>
  <c r="R240"/>
  <c r="S240"/>
  <c r="L241"/>
  <c r="M241"/>
  <c r="N241"/>
  <c r="O241"/>
  <c r="P241"/>
  <c r="Q241"/>
  <c r="R241"/>
  <c r="S241"/>
  <c r="L242"/>
  <c r="M242"/>
  <c r="N242"/>
  <c r="O242"/>
  <c r="P242"/>
  <c r="Q242"/>
  <c r="R242"/>
  <c r="S242"/>
  <c r="L243"/>
  <c r="M243"/>
  <c r="N243"/>
  <c r="O243"/>
  <c r="P243"/>
  <c r="Q243"/>
  <c r="R243"/>
  <c r="S243"/>
  <c r="L244"/>
  <c r="M244"/>
  <c r="N244"/>
  <c r="O244"/>
  <c r="P244"/>
  <c r="Q244"/>
  <c r="R244"/>
  <c r="S244"/>
  <c r="L245"/>
  <c r="M245"/>
  <c r="N245"/>
  <c r="O245"/>
  <c r="P245"/>
  <c r="Q245"/>
  <c r="R245"/>
  <c r="S245"/>
  <c r="L246"/>
  <c r="M246"/>
  <c r="N246"/>
  <c r="O246"/>
  <c r="P246"/>
  <c r="Q246"/>
  <c r="R246"/>
  <c r="S246"/>
  <c r="L247"/>
  <c r="M247"/>
  <c r="N247"/>
  <c r="O247"/>
  <c r="P247"/>
  <c r="Q247"/>
  <c r="R247"/>
  <c r="S247"/>
  <c r="L248"/>
  <c r="M248"/>
  <c r="N248"/>
  <c r="O248"/>
  <c r="P248"/>
  <c r="Q248"/>
  <c r="R248"/>
  <c r="S248"/>
  <c r="L249"/>
  <c r="M249"/>
  <c r="N249"/>
  <c r="O249"/>
  <c r="P249"/>
  <c r="Q249"/>
  <c r="R249"/>
  <c r="S249"/>
  <c r="L250"/>
  <c r="M250"/>
  <c r="N250"/>
  <c r="O250"/>
  <c r="P250"/>
  <c r="Q250"/>
  <c r="R250"/>
  <c r="S250"/>
  <c r="L251"/>
  <c r="M251"/>
  <c r="N251"/>
  <c r="O251"/>
  <c r="P251"/>
  <c r="Q251"/>
  <c r="R251"/>
  <c r="S251"/>
  <c r="L252"/>
  <c r="M252"/>
  <c r="N252"/>
  <c r="O252"/>
  <c r="P252"/>
  <c r="Q252"/>
  <c r="R252"/>
  <c r="S252"/>
  <c r="L253"/>
  <c r="M253"/>
  <c r="N253"/>
  <c r="O253"/>
  <c r="P253"/>
  <c r="Q253"/>
  <c r="R253"/>
  <c r="S253"/>
  <c r="L254"/>
  <c r="M254"/>
  <c r="N254"/>
  <c r="O254"/>
  <c r="P254"/>
  <c r="Q254"/>
  <c r="R254"/>
  <c r="S254"/>
  <c r="L255"/>
  <c r="M255"/>
  <c r="N255"/>
  <c r="O255"/>
  <c r="P255"/>
  <c r="Q255"/>
  <c r="R255"/>
  <c r="S255"/>
  <c r="L256"/>
  <c r="M256"/>
  <c r="N256"/>
  <c r="O256"/>
  <c r="P256"/>
  <c r="Q256"/>
  <c r="R256"/>
  <c r="S256"/>
  <c r="L257"/>
  <c r="M257"/>
  <c r="N257"/>
  <c r="O257"/>
  <c r="P257"/>
  <c r="Q257"/>
  <c r="R257"/>
  <c r="S257"/>
  <c r="L258"/>
  <c r="M258"/>
  <c r="N258"/>
  <c r="O258"/>
  <c r="P258"/>
  <c r="Q258"/>
  <c r="R258"/>
  <c r="S258"/>
  <c r="L259"/>
  <c r="M259"/>
  <c r="N259"/>
  <c r="O259"/>
  <c r="P259"/>
  <c r="Q259"/>
  <c r="R259"/>
  <c r="S259"/>
  <c r="L260"/>
  <c r="M260"/>
  <c r="N260"/>
  <c r="O260"/>
  <c r="P260"/>
  <c r="Q260"/>
  <c r="R260"/>
  <c r="S260"/>
  <c r="L261"/>
  <c r="M261"/>
  <c r="N261"/>
  <c r="O261"/>
  <c r="P261"/>
  <c r="Q261"/>
  <c r="R261"/>
  <c r="S261"/>
  <c r="L262"/>
  <c r="M262"/>
  <c r="N262"/>
  <c r="O262"/>
  <c r="P262"/>
  <c r="Q262"/>
  <c r="R262"/>
  <c r="S262"/>
  <c r="L263"/>
  <c r="M263"/>
  <c r="N263"/>
  <c r="O263"/>
  <c r="P263"/>
  <c r="Q263"/>
  <c r="R263"/>
  <c r="S263"/>
  <c r="M4"/>
  <c r="N4"/>
  <c r="O4"/>
  <c r="P4"/>
  <c r="Q4"/>
  <c r="R4"/>
  <c r="S4"/>
  <c r="L4"/>
  <c r="C22" i="11"/>
  <c r="J13" i="4"/>
  <c r="L13"/>
  <c r="K13"/>
  <c r="I13"/>
  <c r="H7" i="5"/>
  <c r="I7"/>
  <c r="J7"/>
  <c r="K7"/>
  <c r="L7"/>
  <c r="H8"/>
  <c r="I8"/>
  <c r="J8"/>
  <c r="K8"/>
  <c r="L8"/>
  <c r="H9"/>
  <c r="I9"/>
  <c r="J9"/>
  <c r="K9"/>
  <c r="L9"/>
  <c r="H14"/>
  <c r="H17" s="1"/>
  <c r="I14"/>
  <c r="J14"/>
  <c r="J17" s="1"/>
  <c r="K14"/>
  <c r="L14"/>
  <c r="L17" s="1"/>
  <c r="H15"/>
  <c r="I15"/>
  <c r="J15"/>
  <c r="K15"/>
  <c r="L15"/>
  <c r="H16"/>
  <c r="I16"/>
  <c r="J16"/>
  <c r="K16"/>
  <c r="L16"/>
  <c r="I17"/>
  <c r="K17"/>
  <c r="F9" i="11"/>
  <c r="G9"/>
  <c r="H9"/>
  <c r="I9"/>
  <c r="E9"/>
  <c r="F8"/>
  <c r="G8"/>
  <c r="H8"/>
  <c r="I8"/>
  <c r="E8"/>
  <c r="F6"/>
  <c r="G6"/>
  <c r="G7" s="1"/>
  <c r="H6"/>
  <c r="I6"/>
  <c r="E6"/>
  <c r="C25" l="1"/>
  <c r="C45" s="1"/>
  <c r="C43"/>
  <c r="H7"/>
  <c r="I7"/>
  <c r="E7"/>
  <c r="F7"/>
  <c r="H59" i="3"/>
  <c r="G59"/>
  <c r="G61" s="1"/>
  <c r="F64"/>
  <c r="D61"/>
  <c r="E61"/>
  <c r="C61"/>
  <c r="I29" i="1"/>
  <c r="J29"/>
  <c r="K29"/>
  <c r="L29"/>
  <c r="H29"/>
  <c r="I14"/>
  <c r="J14"/>
  <c r="K14"/>
  <c r="L14"/>
  <c r="H14"/>
  <c r="I18"/>
  <c r="J18"/>
  <c r="K18"/>
  <c r="L18"/>
  <c r="H18"/>
  <c r="I4"/>
  <c r="J4"/>
  <c r="K4"/>
  <c r="L4"/>
  <c r="H4"/>
  <c r="D48" i="8" l="1"/>
  <c r="E48"/>
  <c r="F48"/>
  <c r="G48"/>
  <c r="C48"/>
  <c r="I62" i="3"/>
  <c r="J62"/>
  <c r="K62" s="1"/>
  <c r="L62" s="1"/>
  <c r="H63"/>
  <c r="I63" s="1"/>
  <c r="J63" s="1"/>
  <c r="K63" s="1"/>
  <c r="L63" s="1"/>
  <c r="H62"/>
  <c r="F24"/>
  <c r="G24"/>
  <c r="E24"/>
  <c r="I53"/>
  <c r="J53"/>
  <c r="K53"/>
  <c r="L53"/>
  <c r="H53"/>
  <c r="I14" l="1"/>
  <c r="J14"/>
  <c r="K14"/>
  <c r="L14"/>
  <c r="H14"/>
  <c r="I8"/>
  <c r="J8"/>
  <c r="K8"/>
  <c r="L8"/>
  <c r="H8"/>
  <c r="I24" i="1"/>
  <c r="J24"/>
  <c r="K24" s="1"/>
  <c r="L24" s="1"/>
  <c r="H24"/>
  <c r="I55" i="2"/>
  <c r="J55"/>
  <c r="K55" s="1"/>
  <c r="L55" s="1"/>
  <c r="H51"/>
  <c r="I51"/>
  <c r="J51"/>
  <c r="K51"/>
  <c r="L51"/>
  <c r="I47"/>
  <c r="J47"/>
  <c r="K47" s="1"/>
  <c r="L47" s="1"/>
  <c r="H55"/>
  <c r="H47"/>
  <c r="I57" i="1"/>
  <c r="J57"/>
  <c r="K57" s="1"/>
  <c r="L57" s="1"/>
  <c r="I58"/>
  <c r="J58"/>
  <c r="K58" s="1"/>
  <c r="L58" s="1"/>
  <c r="I57" i="2"/>
  <c r="J57"/>
  <c r="K57" s="1"/>
  <c r="L57" s="1"/>
  <c r="I58"/>
  <c r="J58"/>
  <c r="K58" s="1"/>
  <c r="L58" s="1"/>
  <c r="H58"/>
  <c r="H57"/>
  <c r="I48" i="1"/>
  <c r="J48"/>
  <c r="K48" s="1"/>
  <c r="L48" s="1"/>
  <c r="I48" i="2"/>
  <c r="J48"/>
  <c r="K48" s="1"/>
  <c r="L48" s="1"/>
  <c r="H48"/>
  <c r="I26"/>
  <c r="J26"/>
  <c r="K26" s="1"/>
  <c r="L26" s="1"/>
  <c r="H26"/>
  <c r="I27"/>
  <c r="J27"/>
  <c r="K27" s="1"/>
  <c r="L27" s="1"/>
  <c r="I28"/>
  <c r="J28"/>
  <c r="K28" s="1"/>
  <c r="L28" s="1"/>
  <c r="H28"/>
  <c r="H27"/>
  <c r="I30"/>
  <c r="J30"/>
  <c r="K30" s="1"/>
  <c r="L30" s="1"/>
  <c r="H30"/>
  <c r="I17"/>
  <c r="J17"/>
  <c r="K17" s="1"/>
  <c r="L17" s="1"/>
  <c r="H17"/>
  <c r="I14"/>
  <c r="J14" s="1"/>
  <c r="K14" s="1"/>
  <c r="L14" s="1"/>
  <c r="H14"/>
  <c r="I12"/>
  <c r="J12"/>
  <c r="K12" s="1"/>
  <c r="L12" s="1"/>
  <c r="H12"/>
  <c r="I23"/>
  <c r="J23"/>
  <c r="K23" s="1"/>
  <c r="L23" s="1"/>
  <c r="H23"/>
  <c r="I7"/>
  <c r="J7"/>
  <c r="K7" s="1"/>
  <c r="L7" s="1"/>
  <c r="H7"/>
  <c r="I163" i="9"/>
  <c r="J163"/>
  <c r="K163"/>
  <c r="L163"/>
  <c r="H163"/>
  <c r="E167"/>
  <c r="E168"/>
  <c r="E169"/>
  <c r="E170"/>
  <c r="E166"/>
  <c r="D162"/>
  <c r="D161"/>
  <c r="E152"/>
  <c r="E153"/>
  <c r="E154"/>
  <c r="E155"/>
  <c r="E151"/>
  <c r="I148"/>
  <c r="J148"/>
  <c r="K148"/>
  <c r="L148"/>
  <c r="H148"/>
  <c r="D147"/>
  <c r="D146"/>
  <c r="I133"/>
  <c r="J133"/>
  <c r="K133"/>
  <c r="L133"/>
  <c r="H133"/>
  <c r="E137"/>
  <c r="E138"/>
  <c r="E139"/>
  <c r="E140"/>
  <c r="E136"/>
  <c r="D132"/>
  <c r="D131"/>
  <c r="I118"/>
  <c r="J118"/>
  <c r="K118"/>
  <c r="L118"/>
  <c r="H118"/>
  <c r="E122"/>
  <c r="E123"/>
  <c r="E124"/>
  <c r="E125"/>
  <c r="E121"/>
  <c r="D117"/>
  <c r="D116"/>
  <c r="I103"/>
  <c r="J103"/>
  <c r="K103"/>
  <c r="L103"/>
  <c r="H103"/>
  <c r="E107"/>
  <c r="E108"/>
  <c r="E109"/>
  <c r="E110"/>
  <c r="E106"/>
  <c r="D102"/>
  <c r="D101"/>
  <c r="I88"/>
  <c r="J88"/>
  <c r="K88"/>
  <c r="L88"/>
  <c r="H88"/>
  <c r="E92"/>
  <c r="E93"/>
  <c r="E94"/>
  <c r="E95"/>
  <c r="E91"/>
  <c r="D87"/>
  <c r="D86"/>
  <c r="I73"/>
  <c r="J73"/>
  <c r="K73"/>
  <c r="L73"/>
  <c r="H73"/>
  <c r="E77"/>
  <c r="E78"/>
  <c r="E79"/>
  <c r="E80"/>
  <c r="E76"/>
  <c r="D72"/>
  <c r="D71"/>
  <c r="E62"/>
  <c r="E63"/>
  <c r="E64"/>
  <c r="E65"/>
  <c r="E61"/>
  <c r="I58"/>
  <c r="J58"/>
  <c r="K58"/>
  <c r="L58"/>
  <c r="H58"/>
  <c r="D57"/>
  <c r="D56"/>
  <c r="D19" l="1"/>
  <c r="E19"/>
  <c r="F19"/>
  <c r="G19"/>
  <c r="H16" s="1"/>
  <c r="G14"/>
  <c r="F14"/>
  <c r="E14"/>
  <c r="D14"/>
  <c r="H4"/>
  <c r="H6" s="1"/>
  <c r="I4"/>
  <c r="I6" s="1"/>
  <c r="J4"/>
  <c r="J6" s="1"/>
  <c r="K4"/>
  <c r="K6" s="1"/>
  <c r="L4"/>
  <c r="L6" s="1"/>
  <c r="C38"/>
  <c r="D33" s="1"/>
  <c r="D6"/>
  <c r="E6"/>
  <c r="F6"/>
  <c r="G6"/>
  <c r="D4"/>
  <c r="E4"/>
  <c r="F4"/>
  <c r="G4"/>
  <c r="G43" i="8"/>
  <c r="D23"/>
  <c r="E23"/>
  <c r="F23"/>
  <c r="G23"/>
  <c r="D11"/>
  <c r="D17" s="1"/>
  <c r="E11"/>
  <c r="E17" s="1"/>
  <c r="F11"/>
  <c r="F17" s="1"/>
  <c r="G11"/>
  <c r="G17" s="1"/>
  <c r="C11"/>
  <c r="H4"/>
  <c r="I4"/>
  <c r="J4"/>
  <c r="K4"/>
  <c r="L4"/>
  <c r="D4"/>
  <c r="E4"/>
  <c r="F4"/>
  <c r="G4"/>
  <c r="H5" i="7"/>
  <c r="I5"/>
  <c r="J5"/>
  <c r="K5"/>
  <c r="L5"/>
  <c r="C19" i="9"/>
  <c r="D29"/>
  <c r="D25"/>
  <c r="J40" i="3" l="1"/>
  <c r="J45" s="1"/>
  <c r="J51" i="9"/>
  <c r="J52"/>
  <c r="K40" i="3"/>
  <c r="K45" s="1"/>
  <c r="K52" i="9"/>
  <c r="K51"/>
  <c r="L51"/>
  <c r="L40" i="3"/>
  <c r="L45" s="1"/>
  <c r="L52" i="9"/>
  <c r="L17" s="1"/>
  <c r="H40" i="3"/>
  <c r="H45" s="1"/>
  <c r="H51" i="9"/>
  <c r="H52"/>
  <c r="I40" i="3"/>
  <c r="I45" s="1"/>
  <c r="I52" i="9"/>
  <c r="I51"/>
  <c r="D34"/>
  <c r="D28"/>
  <c r="D30"/>
  <c r="D26"/>
  <c r="D31"/>
  <c r="D27"/>
  <c r="D32"/>
  <c r="I17" l="1"/>
  <c r="I59" i="2"/>
  <c r="J59"/>
  <c r="K59" s="1"/>
  <c r="L59" s="1"/>
  <c r="I60"/>
  <c r="J60"/>
  <c r="K60" s="1"/>
  <c r="L60" s="1"/>
  <c r="H60"/>
  <c r="H59"/>
  <c r="I38"/>
  <c r="J38"/>
  <c r="K38" s="1"/>
  <c r="L38" s="1"/>
  <c r="H38"/>
  <c r="I49"/>
  <c r="J49"/>
  <c r="K49" s="1"/>
  <c r="L49" s="1"/>
  <c r="I50"/>
  <c r="J50"/>
  <c r="K50" s="1"/>
  <c r="L50" s="1"/>
  <c r="H50"/>
  <c r="H49"/>
  <c r="I41"/>
  <c r="J41"/>
  <c r="K41" s="1"/>
  <c r="L41" s="1"/>
  <c r="H41"/>
  <c r="I8"/>
  <c r="J8"/>
  <c r="K8" s="1"/>
  <c r="L8" s="1"/>
  <c r="I9"/>
  <c r="J9"/>
  <c r="K9" s="1"/>
  <c r="L9" s="1"/>
  <c r="I13"/>
  <c r="J13"/>
  <c r="K13" s="1"/>
  <c r="L13" s="1"/>
  <c r="I15"/>
  <c r="J15"/>
  <c r="K15" s="1"/>
  <c r="L15" s="1"/>
  <c r="I16"/>
  <c r="J16"/>
  <c r="K16" s="1"/>
  <c r="L16" s="1"/>
  <c r="I31"/>
  <c r="J31"/>
  <c r="K31" s="1"/>
  <c r="L31" s="1"/>
  <c r="I29"/>
  <c r="J29"/>
  <c r="K29" s="1"/>
  <c r="L29" s="1"/>
  <c r="H31"/>
  <c r="H29"/>
  <c r="G6" i="8"/>
  <c r="H16" i="2"/>
  <c r="H15"/>
  <c r="H13"/>
  <c r="H8"/>
  <c r="H9"/>
  <c r="D37" i="8"/>
  <c r="E37"/>
  <c r="F37"/>
  <c r="G37"/>
  <c r="D38"/>
  <c r="E38"/>
  <c r="F38"/>
  <c r="G38"/>
  <c r="I5" i="1" l="1"/>
  <c r="J5"/>
  <c r="K5" s="1"/>
  <c r="L5" s="1"/>
  <c r="H5"/>
  <c r="L14" i="8" l="1"/>
  <c r="L7" i="1" s="1"/>
  <c r="L22" i="8"/>
  <c r="L15" i="1" s="1"/>
  <c r="L21" i="8"/>
  <c r="H14"/>
  <c r="H7" i="1" s="1"/>
  <c r="H21" i="8"/>
  <c r="H22"/>
  <c r="H15" i="1" s="1"/>
  <c r="I14" i="8"/>
  <c r="I7" i="1" s="1"/>
  <c r="I21" i="8"/>
  <c r="I22"/>
  <c r="I15" i="1" s="1"/>
  <c r="J14" i="8"/>
  <c r="J7" i="1" s="1"/>
  <c r="J21" i="8"/>
  <c r="J22"/>
  <c r="J15" i="1" s="1"/>
  <c r="K14" i="8"/>
  <c r="K7" i="1" s="1"/>
  <c r="K21" i="8"/>
  <c r="K22"/>
  <c r="K15" i="1" s="1"/>
  <c r="H9" i="8"/>
  <c r="H42"/>
  <c r="I42" s="1"/>
  <c r="J42" s="1"/>
  <c r="K42" s="1"/>
  <c r="L42" s="1"/>
  <c r="F43"/>
  <c r="I28"/>
  <c r="I9" s="1"/>
  <c r="I4" i="7"/>
  <c r="J4"/>
  <c r="H4"/>
  <c r="H35"/>
  <c r="I35"/>
  <c r="J35"/>
  <c r="H44"/>
  <c r="I44"/>
  <c r="J44"/>
  <c r="K44"/>
  <c r="L44"/>
  <c r="I25"/>
  <c r="J25" s="1"/>
  <c r="K25" s="1"/>
  <c r="L25" s="1"/>
  <c r="H25"/>
  <c r="I17"/>
  <c r="J17" s="1"/>
  <c r="H18"/>
  <c r="I18" s="1"/>
  <c r="J18" s="1"/>
  <c r="K18" s="1"/>
  <c r="L18" s="1"/>
  <c r="H19"/>
  <c r="I19" s="1"/>
  <c r="J19" s="1"/>
  <c r="K19" s="1"/>
  <c r="L19" s="1"/>
  <c r="H20"/>
  <c r="I20" s="1"/>
  <c r="J20" s="1"/>
  <c r="K20" s="1"/>
  <c r="L20" s="1"/>
  <c r="H21"/>
  <c r="I21" s="1"/>
  <c r="J21" s="1"/>
  <c r="K21" s="1"/>
  <c r="L21" s="1"/>
  <c r="H17"/>
  <c r="H13"/>
  <c r="I13"/>
  <c r="J13"/>
  <c r="H10"/>
  <c r="I10" s="1"/>
  <c r="J10" s="1"/>
  <c r="K10" s="1"/>
  <c r="L10" s="1"/>
  <c r="I12"/>
  <c r="J12"/>
  <c r="K12" s="1"/>
  <c r="L12" s="1"/>
  <c r="L13" s="1"/>
  <c r="H12"/>
  <c r="I11"/>
  <c r="J11" s="1"/>
  <c r="K11" s="1"/>
  <c r="L11" s="1"/>
  <c r="H11"/>
  <c r="J28" i="8" l="1"/>
  <c r="L4" i="7"/>
  <c r="L35"/>
  <c r="K13"/>
  <c r="H22"/>
  <c r="K17"/>
  <c r="J22"/>
  <c r="I22"/>
  <c r="J9" i="8" l="1"/>
  <c r="K28"/>
  <c r="K4" i="7"/>
  <c r="K35"/>
  <c r="L17"/>
  <c r="L22" s="1"/>
  <c r="K22"/>
  <c r="L28" i="8" l="1"/>
  <c r="L9" s="1"/>
  <c r="K9"/>
  <c r="H11" i="9"/>
  <c r="C14"/>
  <c r="C6"/>
  <c r="C4"/>
  <c r="E63" i="8"/>
  <c r="F63"/>
  <c r="G63"/>
  <c r="H63" s="1"/>
  <c r="I63" s="1"/>
  <c r="J63" s="1"/>
  <c r="K63" s="1"/>
  <c r="L63" s="1"/>
  <c r="D63"/>
  <c r="E62"/>
  <c r="F62"/>
  <c r="G62"/>
  <c r="H62" s="1"/>
  <c r="I62" s="1"/>
  <c r="J62" s="1"/>
  <c r="K62" s="1"/>
  <c r="L62" s="1"/>
  <c r="D62"/>
  <c r="D58"/>
  <c r="E58"/>
  <c r="F58"/>
  <c r="F59" s="1"/>
  <c r="G58"/>
  <c r="G59" s="1"/>
  <c r="C58"/>
  <c r="C54"/>
  <c r="D53"/>
  <c r="E53"/>
  <c r="F53"/>
  <c r="G53"/>
  <c r="C53"/>
  <c r="C49"/>
  <c r="C47"/>
  <c r="F44"/>
  <c r="G44"/>
  <c r="E44"/>
  <c r="C23"/>
  <c r="C17"/>
  <c r="D29"/>
  <c r="E28"/>
  <c r="F29"/>
  <c r="C4"/>
  <c r="D59" l="1"/>
  <c r="E59"/>
  <c r="C6"/>
  <c r="D6"/>
  <c r="C50"/>
  <c r="C37"/>
  <c r="C38"/>
  <c r="F8" i="9"/>
  <c r="C8"/>
  <c r="E8"/>
  <c r="D8"/>
  <c r="G8"/>
  <c r="F6" i="8"/>
  <c r="E6"/>
  <c r="C55"/>
  <c r="H44"/>
  <c r="H41" s="1"/>
  <c r="H20" s="1"/>
  <c r="H23" s="1"/>
  <c r="C59"/>
  <c r="H59" s="1"/>
  <c r="I59" s="1"/>
  <c r="J59" s="1"/>
  <c r="K59" s="1"/>
  <c r="L59" s="1"/>
  <c r="E64"/>
  <c r="F64"/>
  <c r="G64"/>
  <c r="D64"/>
  <c r="C32"/>
  <c r="E33"/>
  <c r="F33"/>
  <c r="F34"/>
  <c r="C29"/>
  <c r="D32"/>
  <c r="F28"/>
  <c r="D34"/>
  <c r="E32"/>
  <c r="E34"/>
  <c r="D33"/>
  <c r="C33"/>
  <c r="D28"/>
  <c r="E29"/>
  <c r="C34"/>
  <c r="F32"/>
  <c r="G29"/>
  <c r="G28"/>
  <c r="C28"/>
  <c r="G34"/>
  <c r="H34" s="1"/>
  <c r="G33"/>
  <c r="H33" s="1"/>
  <c r="H15" s="1"/>
  <c r="H8" i="1" s="1"/>
  <c r="G32" i="8"/>
  <c r="H13" i="1" l="1"/>
  <c r="I33" i="8"/>
  <c r="I15" s="1"/>
  <c r="I8" i="1" s="1"/>
  <c r="H8" i="9"/>
  <c r="I44" i="8"/>
  <c r="I41" s="1"/>
  <c r="I20" s="1"/>
  <c r="I23" s="1"/>
  <c r="I34"/>
  <c r="H16"/>
  <c r="H9" i="1" s="1"/>
  <c r="J44" i="8"/>
  <c r="K29"/>
  <c r="K10" s="1"/>
  <c r="K11" s="1"/>
  <c r="J29"/>
  <c r="J10" s="1"/>
  <c r="J11" s="1"/>
  <c r="I29"/>
  <c r="I10" s="1"/>
  <c r="I11" s="1"/>
  <c r="H29"/>
  <c r="H10" s="1"/>
  <c r="H11" s="1"/>
  <c r="H17" s="1"/>
  <c r="L29"/>
  <c r="L10" s="1"/>
  <c r="L11" s="1"/>
  <c r="E32" i="7"/>
  <c r="F32"/>
  <c r="G32"/>
  <c r="E33"/>
  <c r="F33"/>
  <c r="G33"/>
  <c r="E34"/>
  <c r="F34"/>
  <c r="G34"/>
  <c r="E35"/>
  <c r="F35"/>
  <c r="G35"/>
  <c r="D33"/>
  <c r="D34"/>
  <c r="D35"/>
  <c r="D39"/>
  <c r="E39"/>
  <c r="F39"/>
  <c r="G39"/>
  <c r="D40"/>
  <c r="E40"/>
  <c r="F40"/>
  <c r="G40"/>
  <c r="D41"/>
  <c r="E41"/>
  <c r="F41"/>
  <c r="G41"/>
  <c r="D42"/>
  <c r="E42"/>
  <c r="F42"/>
  <c r="G42"/>
  <c r="D43"/>
  <c r="E43"/>
  <c r="F43"/>
  <c r="G43"/>
  <c r="D47"/>
  <c r="E47"/>
  <c r="F47"/>
  <c r="G47"/>
  <c r="D32"/>
  <c r="D22"/>
  <c r="D44" s="1"/>
  <c r="E22"/>
  <c r="F44" s="1"/>
  <c r="F22"/>
  <c r="G22"/>
  <c r="G44" s="1"/>
  <c r="C22"/>
  <c r="D13"/>
  <c r="E13"/>
  <c r="F13"/>
  <c r="G13"/>
  <c r="D4"/>
  <c r="E4"/>
  <c r="F4"/>
  <c r="F5" s="1"/>
  <c r="G4"/>
  <c r="C4"/>
  <c r="I13" i="1" l="1"/>
  <c r="J33" i="8"/>
  <c r="J15" s="1"/>
  <c r="J8" i="1" s="1"/>
  <c r="H6"/>
  <c r="H10" s="1"/>
  <c r="H16" s="1"/>
  <c r="H19" s="1"/>
  <c r="H25" s="1"/>
  <c r="L6"/>
  <c r="K6"/>
  <c r="J6"/>
  <c r="I6"/>
  <c r="H47" i="9"/>
  <c r="H46"/>
  <c r="H50"/>
  <c r="H45"/>
  <c r="H49"/>
  <c r="H43"/>
  <c r="H44"/>
  <c r="H48"/>
  <c r="I8"/>
  <c r="J34" i="8"/>
  <c r="I16"/>
  <c r="I9" i="1" s="1"/>
  <c r="K44" i="8"/>
  <c r="K41" s="1"/>
  <c r="K20" s="1"/>
  <c r="K23" s="1"/>
  <c r="J41"/>
  <c r="J20" s="1"/>
  <c r="J23" s="1"/>
  <c r="H6"/>
  <c r="E44" i="7"/>
  <c r="D5"/>
  <c r="E5"/>
  <c r="G5"/>
  <c r="H47" i="8" l="1"/>
  <c r="H48" s="1"/>
  <c r="H27" i="1" s="1"/>
  <c r="H36" i="3" s="1"/>
  <c r="H5"/>
  <c r="H24" s="1"/>
  <c r="H17" i="9"/>
  <c r="H12"/>
  <c r="I17" i="8"/>
  <c r="I6" s="1"/>
  <c r="K13" i="1"/>
  <c r="J13"/>
  <c r="I10"/>
  <c r="I16" s="1"/>
  <c r="I19" s="1"/>
  <c r="I25" s="1"/>
  <c r="K33" i="8"/>
  <c r="L33" s="1"/>
  <c r="L15" s="1"/>
  <c r="I46" i="9"/>
  <c r="I50"/>
  <c r="I45"/>
  <c r="I49"/>
  <c r="I44"/>
  <c r="I48"/>
  <c r="I43"/>
  <c r="I47"/>
  <c r="J8"/>
  <c r="K34" i="8"/>
  <c r="J16"/>
  <c r="J17" s="1"/>
  <c r="L44"/>
  <c r="L41" s="1"/>
  <c r="L20" s="1"/>
  <c r="L23" s="1"/>
  <c r="D20" i="5"/>
  <c r="E20"/>
  <c r="G20"/>
  <c r="C20"/>
  <c r="D17"/>
  <c r="E17"/>
  <c r="F17"/>
  <c r="G17"/>
  <c r="C17"/>
  <c r="D14"/>
  <c r="E14"/>
  <c r="F14"/>
  <c r="G14"/>
  <c r="D15"/>
  <c r="E15"/>
  <c r="F15"/>
  <c r="G15"/>
  <c r="D16"/>
  <c r="E16"/>
  <c r="F16"/>
  <c r="G16"/>
  <c r="C15"/>
  <c r="C16"/>
  <c r="C14"/>
  <c r="D10"/>
  <c r="E10"/>
  <c r="G10"/>
  <c r="C10"/>
  <c r="D6"/>
  <c r="E6"/>
  <c r="F6"/>
  <c r="G6"/>
  <c r="D7"/>
  <c r="E7"/>
  <c r="F7"/>
  <c r="G7"/>
  <c r="D8"/>
  <c r="E8"/>
  <c r="F8"/>
  <c r="G8"/>
  <c r="D9"/>
  <c r="E9"/>
  <c r="F9"/>
  <c r="F10" s="1"/>
  <c r="F20" s="1"/>
  <c r="G9"/>
  <c r="C7"/>
  <c r="C8"/>
  <c r="C9"/>
  <c r="C6"/>
  <c r="I12" i="9" l="1"/>
  <c r="H54" i="8"/>
  <c r="I47"/>
  <c r="I48" s="1"/>
  <c r="I27" i="1" s="1"/>
  <c r="I36" i="3" s="1"/>
  <c r="I5"/>
  <c r="I24" s="1"/>
  <c r="I54" i="8"/>
  <c r="L8" i="1"/>
  <c r="K15" i="8"/>
  <c r="L13" i="1"/>
  <c r="J6" i="8"/>
  <c r="J9" i="1"/>
  <c r="J10" s="1"/>
  <c r="J16" s="1"/>
  <c r="J19" s="1"/>
  <c r="J25" s="1"/>
  <c r="J45" i="9"/>
  <c r="J49"/>
  <c r="J44"/>
  <c r="J48"/>
  <c r="J43"/>
  <c r="J47"/>
  <c r="J46"/>
  <c r="J50"/>
  <c r="K8"/>
  <c r="L34" i="8"/>
  <c r="L16" s="1"/>
  <c r="L17" s="1"/>
  <c r="K16"/>
  <c r="C63" i="4"/>
  <c r="D60"/>
  <c r="E60"/>
  <c r="F60"/>
  <c r="G60"/>
  <c r="C60"/>
  <c r="D58"/>
  <c r="E58"/>
  <c r="F58"/>
  <c r="G58"/>
  <c r="C58"/>
  <c r="D56"/>
  <c r="E56"/>
  <c r="F56"/>
  <c r="G56"/>
  <c r="C56"/>
  <c r="C36"/>
  <c r="C34"/>
  <c r="E12"/>
  <c r="E13" s="1"/>
  <c r="F12"/>
  <c r="F13" s="1"/>
  <c r="G12"/>
  <c r="G13" s="1"/>
  <c r="D4"/>
  <c r="E4"/>
  <c r="F4"/>
  <c r="G4"/>
  <c r="E24"/>
  <c r="E45" s="1"/>
  <c r="F24"/>
  <c r="F45" s="1"/>
  <c r="G24"/>
  <c r="G45" s="1"/>
  <c r="D24"/>
  <c r="D45" s="1"/>
  <c r="E20"/>
  <c r="F20"/>
  <c r="F21" s="1"/>
  <c r="G20"/>
  <c r="D20"/>
  <c r="D21" s="1"/>
  <c r="H21" s="1"/>
  <c r="E16"/>
  <c r="E17" s="1"/>
  <c r="F16"/>
  <c r="F17" s="1"/>
  <c r="G16"/>
  <c r="G17" s="1"/>
  <c r="D16"/>
  <c r="D17" s="1"/>
  <c r="H17" s="1"/>
  <c r="D12"/>
  <c r="D13" s="1"/>
  <c r="C8"/>
  <c r="C6"/>
  <c r="C4"/>
  <c r="G21"/>
  <c r="E21"/>
  <c r="J47" i="8" l="1"/>
  <c r="J48" s="1"/>
  <c r="J27" i="1" s="1"/>
  <c r="J36" i="3" s="1"/>
  <c r="J5"/>
  <c r="J24" s="1"/>
  <c r="J12" i="9"/>
  <c r="J17"/>
  <c r="K8" i="1"/>
  <c r="K17" i="8"/>
  <c r="K6" s="1"/>
  <c r="K9" i="1"/>
  <c r="L6" i="8"/>
  <c r="L9" i="1"/>
  <c r="L10" s="1"/>
  <c r="L16" s="1"/>
  <c r="L19" s="1"/>
  <c r="L25" s="1"/>
  <c r="H20" i="4"/>
  <c r="H56" i="2" s="1"/>
  <c r="I21" i="4"/>
  <c r="H16"/>
  <c r="H24" i="2" s="1"/>
  <c r="I17" i="4"/>
  <c r="K44" i="9"/>
  <c r="K48"/>
  <c r="D166" a="1"/>
  <c r="K43"/>
  <c r="K47"/>
  <c r="K46"/>
  <c r="K50"/>
  <c r="K45"/>
  <c r="K49"/>
  <c r="L8"/>
  <c r="C38" i="4"/>
  <c r="G28"/>
  <c r="G31" s="1"/>
  <c r="F28"/>
  <c r="F31" s="1"/>
  <c r="E28"/>
  <c r="E31" s="1"/>
  <c r="D28"/>
  <c r="D31" s="1"/>
  <c r="H28" i="3" l="1"/>
  <c r="J54" i="8"/>
  <c r="L47"/>
  <c r="L48" s="1"/>
  <c r="L27" i="1" s="1"/>
  <c r="L36" i="3" s="1"/>
  <c r="L5"/>
  <c r="L24" s="1"/>
  <c r="H61" i="2"/>
  <c r="H63" s="1"/>
  <c r="H31" i="3"/>
  <c r="D168" i="9"/>
  <c r="L168" s="1"/>
  <c r="D166"/>
  <c r="L166" s="1"/>
  <c r="D169"/>
  <c r="L169" s="1"/>
  <c r="D170"/>
  <c r="L170" s="1"/>
  <c r="D167"/>
  <c r="I167" s="1"/>
  <c r="K17"/>
  <c r="K12"/>
  <c r="D151" a="1"/>
  <c r="D154" s="1"/>
  <c r="J168"/>
  <c r="K169"/>
  <c r="K10" i="1"/>
  <c r="K16" s="1"/>
  <c r="K19" s="1"/>
  <c r="K25" s="1"/>
  <c r="I16" i="4"/>
  <c r="I24" i="2" s="1"/>
  <c r="I28" i="3" s="1"/>
  <c r="J17" i="4"/>
  <c r="J21"/>
  <c r="I20"/>
  <c r="I56" i="2" s="1"/>
  <c r="L47" i="9"/>
  <c r="D91" s="1" a="1"/>
  <c r="L46"/>
  <c r="D76" s="1" a="1"/>
  <c r="L50"/>
  <c r="D136" s="1" a="1"/>
  <c r="L45"/>
  <c r="D61" s="1" a="1"/>
  <c r="L49"/>
  <c r="D121" s="1" a="1"/>
  <c r="L44"/>
  <c r="L48"/>
  <c r="D106" s="1" a="1"/>
  <c r="L43"/>
  <c r="D64" i="3"/>
  <c r="E64"/>
  <c r="C64"/>
  <c r="D55"/>
  <c r="E55"/>
  <c r="F55"/>
  <c r="G55"/>
  <c r="C55"/>
  <c r="D45"/>
  <c r="E45"/>
  <c r="F45"/>
  <c r="G45"/>
  <c r="C45"/>
  <c r="C5"/>
  <c r="C24" s="1"/>
  <c r="C34" s="1"/>
  <c r="C37" s="1"/>
  <c r="C57" s="1"/>
  <c r="C67" i="2"/>
  <c r="C65"/>
  <c r="D63"/>
  <c r="E63"/>
  <c r="F63"/>
  <c r="G63"/>
  <c r="C63"/>
  <c r="D61"/>
  <c r="E61"/>
  <c r="F61"/>
  <c r="G61"/>
  <c r="C61"/>
  <c r="D51"/>
  <c r="E51"/>
  <c r="F51"/>
  <c r="G51"/>
  <c r="C51"/>
  <c r="D42"/>
  <c r="F42"/>
  <c r="C42"/>
  <c r="D40"/>
  <c r="E40"/>
  <c r="E42" s="1"/>
  <c r="F40"/>
  <c r="G40"/>
  <c r="G42" s="1"/>
  <c r="C40"/>
  <c r="D34"/>
  <c r="E34"/>
  <c r="F34"/>
  <c r="G34"/>
  <c r="C34"/>
  <c r="D32"/>
  <c r="E32"/>
  <c r="F32"/>
  <c r="G32"/>
  <c r="C32"/>
  <c r="D18"/>
  <c r="E18"/>
  <c r="F18"/>
  <c r="G18"/>
  <c r="C18"/>
  <c r="C29" i="1"/>
  <c r="C25"/>
  <c r="G19"/>
  <c r="G25" s="1"/>
  <c r="C19"/>
  <c r="D16"/>
  <c r="D19" s="1"/>
  <c r="E16"/>
  <c r="E19" s="1"/>
  <c r="F16"/>
  <c r="F19" s="1"/>
  <c r="G16"/>
  <c r="C16"/>
  <c r="D10"/>
  <c r="E10"/>
  <c r="F10"/>
  <c r="G10"/>
  <c r="C10"/>
  <c r="L54" i="8" l="1"/>
  <c r="F53" i="4"/>
  <c r="E63"/>
  <c r="F46"/>
  <c r="E65" i="2"/>
  <c r="E67" s="1"/>
  <c r="G63" i="4"/>
  <c r="G65" i="2"/>
  <c r="G67" s="1"/>
  <c r="K47" i="8"/>
  <c r="K48" s="1"/>
  <c r="K27" i="1" s="1"/>
  <c r="K36" i="3" s="1"/>
  <c r="K5"/>
  <c r="K24" s="1"/>
  <c r="D63" i="4"/>
  <c r="E53"/>
  <c r="E46"/>
  <c r="D53"/>
  <c r="D46"/>
  <c r="F63"/>
  <c r="G53"/>
  <c r="G46"/>
  <c r="I61" i="2"/>
  <c r="I63" s="1"/>
  <c r="I31" i="3"/>
  <c r="D65" i="2"/>
  <c r="D67" s="1"/>
  <c r="F65"/>
  <c r="F67" s="1"/>
  <c r="D108" i="9"/>
  <c r="D107"/>
  <c r="D110"/>
  <c r="L110" s="1"/>
  <c r="D109"/>
  <c r="L109" s="1"/>
  <c r="D106"/>
  <c r="L106" s="1"/>
  <c r="D137"/>
  <c r="D139"/>
  <c r="D140"/>
  <c r="L140" s="1"/>
  <c r="D138"/>
  <c r="L138" s="1"/>
  <c r="D136"/>
  <c r="J136" s="1"/>
  <c r="D65"/>
  <c r="L65" s="1"/>
  <c r="D63"/>
  <c r="D62"/>
  <c r="L62" s="1"/>
  <c r="D61"/>
  <c r="J61" s="1"/>
  <c r="D64"/>
  <c r="D125"/>
  <c r="L125" s="1"/>
  <c r="D121"/>
  <c r="H121" s="1"/>
  <c r="H126" s="1"/>
  <c r="D124"/>
  <c r="D122"/>
  <c r="L122" s="1"/>
  <c r="D123"/>
  <c r="L123" s="1"/>
  <c r="D91"/>
  <c r="H91" s="1"/>
  <c r="H96" s="1"/>
  <c r="D95"/>
  <c r="L95" s="1"/>
  <c r="D92"/>
  <c r="J92" s="1"/>
  <c r="D94"/>
  <c r="L94" s="1"/>
  <c r="D93"/>
  <c r="K93" s="1"/>
  <c r="D77"/>
  <c r="L77" s="1"/>
  <c r="D76"/>
  <c r="I76" s="1"/>
  <c r="D79"/>
  <c r="L79" s="1"/>
  <c r="D78"/>
  <c r="L78" s="1"/>
  <c r="D80"/>
  <c r="L80" s="1"/>
  <c r="L12"/>
  <c r="K109"/>
  <c r="H166"/>
  <c r="H171" s="1"/>
  <c r="K121"/>
  <c r="J167"/>
  <c r="J106"/>
  <c r="H136"/>
  <c r="H141" s="1"/>
  <c r="K166"/>
  <c r="J166"/>
  <c r="I166"/>
  <c r="I171" s="1"/>
  <c r="L107"/>
  <c r="K79"/>
  <c r="I107"/>
  <c r="D152"/>
  <c r="L152" s="1"/>
  <c r="D155"/>
  <c r="L155" s="1"/>
  <c r="D151"/>
  <c r="H151" s="1"/>
  <c r="H156" s="1"/>
  <c r="H177" s="1"/>
  <c r="D153"/>
  <c r="L153" s="1"/>
  <c r="K61"/>
  <c r="K167"/>
  <c r="J122"/>
  <c r="K168"/>
  <c r="I61"/>
  <c r="L167"/>
  <c r="L171" s="1"/>
  <c r="K154"/>
  <c r="L154"/>
  <c r="F34" i="4"/>
  <c r="F6"/>
  <c r="F52" s="1"/>
  <c r="F49"/>
  <c r="F25" i="1"/>
  <c r="G47" i="8"/>
  <c r="G49"/>
  <c r="G5" i="3"/>
  <c r="G34" s="1"/>
  <c r="G37" s="1"/>
  <c r="G57" s="1"/>
  <c r="G29" i="1"/>
  <c r="D49" i="4"/>
  <c r="D34"/>
  <c r="D6"/>
  <c r="D52" s="1"/>
  <c r="D25" i="1"/>
  <c r="D36" i="4" s="1"/>
  <c r="E6"/>
  <c r="E52" s="1"/>
  <c r="E49"/>
  <c r="E34"/>
  <c r="G36"/>
  <c r="G49"/>
  <c r="G34"/>
  <c r="G6"/>
  <c r="G52" s="1"/>
  <c r="E25" i="1"/>
  <c r="E36" i="4" s="1"/>
  <c r="J20"/>
  <c r="J56" i="2" s="1"/>
  <c r="K21" i="4"/>
  <c r="K17"/>
  <c r="J16"/>
  <c r="J24" i="2" s="1"/>
  <c r="J28" i="3" s="1"/>
  <c r="C13" i="7"/>
  <c r="G64" i="3" l="1"/>
  <c r="J171" i="9"/>
  <c r="L92"/>
  <c r="I136"/>
  <c r="I106"/>
  <c r="I121"/>
  <c r="I122"/>
  <c r="J91"/>
  <c r="K54" i="8"/>
  <c r="G50"/>
  <c r="J31" i="3"/>
  <c r="J61" i="2"/>
  <c r="J63" s="1"/>
  <c r="J93" i="9"/>
  <c r="J96" s="1"/>
  <c r="K62"/>
  <c r="K94"/>
  <c r="H61"/>
  <c r="H66" s="1"/>
  <c r="L61"/>
  <c r="J77"/>
  <c r="L136"/>
  <c r="J78"/>
  <c r="K78"/>
  <c r="K122"/>
  <c r="L93"/>
  <c r="K136"/>
  <c r="I91"/>
  <c r="K91"/>
  <c r="L91"/>
  <c r="J121"/>
  <c r="L121"/>
  <c r="I62"/>
  <c r="I66" s="1"/>
  <c r="J62"/>
  <c r="K138"/>
  <c r="J138"/>
  <c r="H106"/>
  <c r="H111" s="1"/>
  <c r="K106"/>
  <c r="K108"/>
  <c r="J108"/>
  <c r="L108"/>
  <c r="L111" s="1"/>
  <c r="K77"/>
  <c r="I77"/>
  <c r="I81" s="1"/>
  <c r="K124"/>
  <c r="L124"/>
  <c r="K137"/>
  <c r="J137"/>
  <c r="L137"/>
  <c r="I137"/>
  <c r="I141" s="1"/>
  <c r="J107"/>
  <c r="K107"/>
  <c r="H76"/>
  <c r="H81" s="1"/>
  <c r="H175" s="1"/>
  <c r="H13" s="1"/>
  <c r="H14" s="1"/>
  <c r="L76"/>
  <c r="J76"/>
  <c r="K76"/>
  <c r="I92"/>
  <c r="K92"/>
  <c r="L64"/>
  <c r="K64"/>
  <c r="K139"/>
  <c r="L139"/>
  <c r="K123"/>
  <c r="J123"/>
  <c r="K63"/>
  <c r="L63"/>
  <c r="J63"/>
  <c r="L96"/>
  <c r="L81"/>
  <c r="I111"/>
  <c r="K171"/>
  <c r="K153"/>
  <c r="I152"/>
  <c r="J153"/>
  <c r="K151"/>
  <c r="L151"/>
  <c r="L156" s="1"/>
  <c r="L177" s="1"/>
  <c r="J152"/>
  <c r="I151"/>
  <c r="K152"/>
  <c r="J151"/>
  <c r="H18"/>
  <c r="H19" s="1"/>
  <c r="G38" i="4"/>
  <c r="G54" i="8"/>
  <c r="G55" s="1"/>
  <c r="G41" i="4"/>
  <c r="G8"/>
  <c r="G44" s="1"/>
  <c r="F49" i="8"/>
  <c r="F47"/>
  <c r="F50" s="1"/>
  <c r="F29" i="1"/>
  <c r="F5" i="3"/>
  <c r="F34" s="1"/>
  <c r="F37" s="1"/>
  <c r="F57" s="1"/>
  <c r="F61" s="1"/>
  <c r="D47" i="8"/>
  <c r="D49"/>
  <c r="D5" i="3"/>
  <c r="D24" s="1"/>
  <c r="D34" s="1"/>
  <c r="D37" s="1"/>
  <c r="D57" s="1"/>
  <c r="D29" i="1"/>
  <c r="E47" i="8"/>
  <c r="E49"/>
  <c r="E5" i="3"/>
  <c r="E34" s="1"/>
  <c r="E37" s="1"/>
  <c r="E57" s="1"/>
  <c r="E29" i="1"/>
  <c r="E38" i="4"/>
  <c r="D38"/>
  <c r="F36"/>
  <c r="F38" s="1"/>
  <c r="L21"/>
  <c r="L20" s="1"/>
  <c r="K20"/>
  <c r="L17"/>
  <c r="L16" s="1"/>
  <c r="K16"/>
  <c r="K24" i="2" s="1"/>
  <c r="K56"/>
  <c r="J81" i="9" l="1"/>
  <c r="I16"/>
  <c r="H10" i="2"/>
  <c r="L24"/>
  <c r="L28" i="3" s="1"/>
  <c r="K81" i="9"/>
  <c r="K28" i="3"/>
  <c r="I11" i="9"/>
  <c r="H6" i="2"/>
  <c r="L141" i="9"/>
  <c r="I126"/>
  <c r="L56" i="2"/>
  <c r="K31" i="3"/>
  <c r="K61" i="2"/>
  <c r="K63" s="1"/>
  <c r="E50" i="8"/>
  <c r="D50"/>
  <c r="K96" i="9"/>
  <c r="L66"/>
  <c r="K126"/>
  <c r="J126"/>
  <c r="K141"/>
  <c r="H180"/>
  <c r="K66"/>
  <c r="J111"/>
  <c r="L126"/>
  <c r="L175" s="1"/>
  <c r="I96"/>
  <c r="I175" s="1"/>
  <c r="I13" s="1"/>
  <c r="K111"/>
  <c r="J66"/>
  <c r="J141"/>
  <c r="I156"/>
  <c r="I177" s="1"/>
  <c r="I18" s="1"/>
  <c r="K156"/>
  <c r="K177" s="1"/>
  <c r="K18" s="1"/>
  <c r="J156"/>
  <c r="J177" s="1"/>
  <c r="J18" s="1"/>
  <c r="L18"/>
  <c r="E54" i="8"/>
  <c r="E55" s="1"/>
  <c r="E8" i="4"/>
  <c r="E44" s="1"/>
  <c r="E41"/>
  <c r="D54" i="8"/>
  <c r="D55" s="1"/>
  <c r="H55" s="1"/>
  <c r="D41" i="4"/>
  <c r="D8"/>
  <c r="D44" s="1"/>
  <c r="F54" i="8"/>
  <c r="F55" s="1"/>
  <c r="F8" i="4"/>
  <c r="F44" s="1"/>
  <c r="F41"/>
  <c r="I19" i="9" l="1"/>
  <c r="I10" i="2" s="1"/>
  <c r="I14" i="9"/>
  <c r="I6" i="2" s="1"/>
  <c r="H18"/>
  <c r="H50" i="8"/>
  <c r="I55"/>
  <c r="H53"/>
  <c r="L31" i="3"/>
  <c r="L61" i="2"/>
  <c r="L63" s="1"/>
  <c r="K175" i="9"/>
  <c r="K13" s="1"/>
  <c r="J175"/>
  <c r="J13" s="1"/>
  <c r="L13"/>
  <c r="L180"/>
  <c r="I180"/>
  <c r="J11" l="1"/>
  <c r="J14" s="1"/>
  <c r="J16"/>
  <c r="J19" s="1"/>
  <c r="K180"/>
  <c r="I18" i="2"/>
  <c r="I50" i="8"/>
  <c r="J50" s="1"/>
  <c r="K50" s="1"/>
  <c r="L50" s="1"/>
  <c r="J55"/>
  <c r="I53"/>
  <c r="H51" i="3"/>
  <c r="H58" i="8"/>
  <c r="H52" i="3" s="1"/>
  <c r="J180" i="9"/>
  <c r="J6" i="2" l="1"/>
  <c r="K11" i="9"/>
  <c r="K14" s="1"/>
  <c r="J10" i="2"/>
  <c r="K16" i="9"/>
  <c r="K19" s="1"/>
  <c r="H55" i="3"/>
  <c r="K55" i="8"/>
  <c r="J53"/>
  <c r="H39" i="2"/>
  <c r="I51" i="3"/>
  <c r="I58" i="8"/>
  <c r="I52" i="3" s="1"/>
  <c r="K6" i="2" l="1"/>
  <c r="L11" i="9"/>
  <c r="L14" s="1"/>
  <c r="L6" i="2" s="1"/>
  <c r="J18"/>
  <c r="K10"/>
  <c r="L16" i="9"/>
  <c r="L19" s="1"/>
  <c r="L10" i="2" s="1"/>
  <c r="L18" s="1"/>
  <c r="I55" i="3"/>
  <c r="I39" i="2"/>
  <c r="H40"/>
  <c r="H42" s="1"/>
  <c r="L55" i="8"/>
  <c r="L53" s="1"/>
  <c r="K53"/>
  <c r="J51" i="3"/>
  <c r="J58" i="8"/>
  <c r="J52" i="3" s="1"/>
  <c r="H65" i="2" l="1"/>
  <c r="K18"/>
  <c r="J55" i="3"/>
  <c r="L51"/>
  <c r="L58" i="8"/>
  <c r="L52" i="3" s="1"/>
  <c r="K51"/>
  <c r="K58" i="8"/>
  <c r="K52" i="3" s="1"/>
  <c r="I40" i="2"/>
  <c r="I42" s="1"/>
  <c r="I65" s="1"/>
  <c r="J39"/>
  <c r="K55" i="3" l="1"/>
  <c r="L55"/>
  <c r="K39" i="2"/>
  <c r="J40"/>
  <c r="J42" s="1"/>
  <c r="J65" s="1"/>
  <c r="L39" l="1"/>
  <c r="L40" s="1"/>
  <c r="L42" s="1"/>
  <c r="L65" s="1"/>
  <c r="K40"/>
  <c r="K42" s="1"/>
  <c r="K65" s="1"/>
  <c r="H13" i="4" l="1"/>
  <c r="H21" i="2"/>
  <c r="H27" i="3"/>
  <c r="H34" s="1"/>
  <c r="H37" s="1"/>
  <c r="H57" s="1"/>
  <c r="H61" s="1"/>
  <c r="H64" l="1"/>
  <c r="H25" i="2" s="1"/>
  <c r="H32" s="1"/>
  <c r="H34" s="1"/>
  <c r="H67" s="1"/>
  <c r="I59" i="3"/>
  <c r="H6" i="5"/>
  <c r="H10" s="1"/>
  <c r="H20" s="1"/>
  <c r="E10" i="11" s="1"/>
  <c r="E11" s="1"/>
  <c r="E55" s="1"/>
  <c r="I21" i="2"/>
  <c r="I27" i="3" s="1"/>
  <c r="I34" l="1"/>
  <c r="I37" s="1"/>
  <c r="I57" s="1"/>
  <c r="I61" s="1"/>
  <c r="I6" i="5"/>
  <c r="I10" s="1"/>
  <c r="I20" s="1"/>
  <c r="F10" i="11" s="1"/>
  <c r="F11" s="1"/>
  <c r="F55" s="1"/>
  <c r="J27" i="3"/>
  <c r="J21" i="2"/>
  <c r="J59" i="3" l="1"/>
  <c r="J61" s="1"/>
  <c r="I64"/>
  <c r="I25" i="2" s="1"/>
  <c r="I32" s="1"/>
  <c r="I34" s="1"/>
  <c r="I67" s="1"/>
  <c r="J6" i="5"/>
  <c r="J10" s="1"/>
  <c r="J20" s="1"/>
  <c r="G10" i="11" s="1"/>
  <c r="G11" s="1"/>
  <c r="G55" s="1"/>
  <c r="J34" i="3"/>
  <c r="J37" s="1"/>
  <c r="J57" s="1"/>
  <c r="K27"/>
  <c r="K21" i="2"/>
  <c r="L27" i="3" l="1"/>
  <c r="L21" i="2"/>
  <c r="K34" i="3"/>
  <c r="K37" s="1"/>
  <c r="K57" s="1"/>
  <c r="K6" i="5"/>
  <c r="K10" s="1"/>
  <c r="K20" s="1"/>
  <c r="H10" i="11" s="1"/>
  <c r="H11" s="1"/>
  <c r="H55" s="1"/>
  <c r="K59" i="3"/>
  <c r="K61" s="1"/>
  <c r="J64"/>
  <c r="J25" i="2" s="1"/>
  <c r="J32" s="1"/>
  <c r="J34" s="1"/>
  <c r="J67" s="1"/>
  <c r="L59" i="3" l="1"/>
  <c r="L61" s="1"/>
  <c r="L64" s="1"/>
  <c r="L25" i="2" s="1"/>
  <c r="L32" s="1"/>
  <c r="L34" s="1"/>
  <c r="L67" s="1"/>
  <c r="K64" i="3"/>
  <c r="K25" i="2" s="1"/>
  <c r="K32" s="1"/>
  <c r="K34" s="1"/>
  <c r="K67" s="1"/>
  <c r="L34" i="3"/>
  <c r="L37" s="1"/>
  <c r="L57" s="1"/>
  <c r="L6" i="5"/>
  <c r="L10" s="1"/>
  <c r="L20" s="1"/>
  <c r="I10" i="11" s="1"/>
  <c r="I11" s="1"/>
  <c r="I55" l="1"/>
  <c r="C56" s="1"/>
  <c r="C65" s="1"/>
  <c r="C67" s="1"/>
  <c r="C70" s="1"/>
  <c r="C72" s="1"/>
  <c r="D76" s="1"/>
  <c r="I13"/>
  <c r="I60" s="1"/>
  <c r="C61" s="1"/>
  <c r="C66" s="1"/>
</calcChain>
</file>

<file path=xl/comments1.xml><?xml version="1.0" encoding="utf-8"?>
<comments xmlns="http://schemas.openxmlformats.org/spreadsheetml/2006/main">
  <authors>
    <author>arham lodha</author>
  </authors>
  <commentList>
    <comment ref="H6" authorId="0">
      <text>
        <r>
          <rPr>
            <b/>
            <sz val="9"/>
            <color indexed="81"/>
            <rFont val="Tahoma"/>
            <family val="2"/>
          </rPr>
          <t xml:space="preserve">Effective capex = adding 10 to this number , for all the estimated years
</t>
        </r>
      </text>
    </comment>
  </commentList>
</comments>
</file>

<file path=xl/sharedStrings.xml><?xml version="1.0" encoding="utf-8"?>
<sst xmlns="http://schemas.openxmlformats.org/spreadsheetml/2006/main" count="784" uniqueCount="332">
  <si>
    <t>Dabur Model</t>
  </si>
  <si>
    <t>Historicals</t>
  </si>
  <si>
    <t>Forecasts</t>
  </si>
  <si>
    <t>(All Data is in INR Cr. , Except Per Share Information)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</si>
  <si>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</si>
  <si>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</si>
  <si>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</si>
  <si>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</si>
  <si>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</si>
  <si>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</si>
  <si>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</si>
  <si>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</si>
  <si>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</si>
  <si>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</si>
  <si>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Revenue from operations</t>
  </si>
  <si>
    <t>Excise Duty</t>
  </si>
  <si>
    <t>Cost of Materials Consumed</t>
  </si>
  <si>
    <t>Purchase of stock-in-trade</t>
  </si>
  <si>
    <t>Change in Inventory</t>
  </si>
  <si>
    <t>Other COGS</t>
  </si>
  <si>
    <t>Gross Profit</t>
  </si>
  <si>
    <t>Employee Benefit Expense</t>
  </si>
  <si>
    <t>Advertisement and Publicity</t>
  </si>
  <si>
    <t>Others</t>
  </si>
  <si>
    <t>EBITDA</t>
  </si>
  <si>
    <t>Depreciation and amortization expense</t>
  </si>
  <si>
    <t>EBIT</t>
  </si>
  <si>
    <t>LOSS/PROFIT from joint ventures</t>
  </si>
  <si>
    <t>Exceptional items</t>
  </si>
  <si>
    <t>Other income</t>
  </si>
  <si>
    <t>Finance costs</t>
  </si>
  <si>
    <t>EBT</t>
  </si>
  <si>
    <t>Tax expense</t>
  </si>
  <si>
    <t>Non Controlling interest</t>
  </si>
  <si>
    <t>PAT</t>
  </si>
  <si>
    <t>ASSETS</t>
  </si>
  <si>
    <t>Non-Current Assets</t>
  </si>
  <si>
    <t>a)  Property, plant and equipment(net)</t>
  </si>
  <si>
    <t>b)  Capital work-in-progress</t>
  </si>
  <si>
    <t>c)  Investment property</t>
  </si>
  <si>
    <t>d)  Goodwill</t>
  </si>
  <si>
    <t>e)  Other intangible assets</t>
  </si>
  <si>
    <t>f)   Financial assets</t>
  </si>
  <si>
    <t>(i)    Investments</t>
  </si>
  <si>
    <t>(ii)    Loans</t>
  </si>
  <si>
    <t>(iii)   Others</t>
  </si>
  <si>
    <t>g) Deferred tax assets</t>
  </si>
  <si>
    <t>h)  Non-current tax assets (net)</t>
  </si>
  <si>
    <t>i)  Other non-current assets</t>
  </si>
  <si>
    <t>Total Non Current Assets</t>
  </si>
  <si>
    <t>Current Assets</t>
  </si>
  <si>
    <t>a)  Inventories</t>
  </si>
  <si>
    <t>b)  Financial assets</t>
  </si>
  <si>
    <t>(ii)    Trade receivables</t>
  </si>
  <si>
    <t>(iii)   Cash and cash equivalents</t>
  </si>
  <si>
    <t>(iv)   Bank balances other than (iii) above</t>
  </si>
  <si>
    <t>(v)    Loans</t>
  </si>
  <si>
    <t>(vi)   Others</t>
  </si>
  <si>
    <t>c)  Current tax assets (net)</t>
  </si>
  <si>
    <t>d)  Other current assets</t>
  </si>
  <si>
    <t>e)  Asset held for sale</t>
  </si>
  <si>
    <t>Total Current Assets</t>
  </si>
  <si>
    <t>Total Assets</t>
  </si>
  <si>
    <t>EQUITY AND LIABILITIES</t>
  </si>
  <si>
    <t>Equity</t>
  </si>
  <si>
    <t>a)  Equity share capital</t>
  </si>
  <si>
    <t>b)  Other equity ( Reserves and Surplus included)</t>
  </si>
  <si>
    <t>Equity attributable to shareholders of the Holding Company</t>
  </si>
  <si>
    <t>c)  Non-controlling interest</t>
  </si>
  <si>
    <t>Total Equity</t>
  </si>
  <si>
    <t>Liabilities</t>
  </si>
  <si>
    <t>Non-Current Liabilities</t>
  </si>
  <si>
    <t>a)  Financial liabilities</t>
  </si>
  <si>
    <t>(i)    Borrowings</t>
  </si>
  <si>
    <t>(ii)    Other financial liabilities</t>
  </si>
  <si>
    <t>b)  Provisions</t>
  </si>
  <si>
    <t>c)  Deferred tax liabilities (net)</t>
  </si>
  <si>
    <t>Total Non-Current Liabilities</t>
  </si>
  <si>
    <t>Current Liabilities</t>
  </si>
  <si>
    <t>(ii)    Trade payables</t>
  </si>
  <si>
    <t>(iii)   Other financial liabilities</t>
  </si>
  <si>
    <t>b)  Other current liabilities</t>
  </si>
  <si>
    <t>c)  Provisions</t>
  </si>
  <si>
    <t>d)  Current tax liabilities (net)</t>
  </si>
  <si>
    <t>Total Current Liabilities</t>
  </si>
  <si>
    <t>Total Liabilities</t>
  </si>
  <si>
    <t>Total Equity And Liabilities</t>
  </si>
  <si>
    <t>A. CASH FLOW FROM OPERATING ACTIVITIES</t>
  </si>
  <si>
    <t>Profit before tax</t>
  </si>
  <si>
    <t>Adjustments for:</t>
  </si>
  <si>
    <t>(Gain)/ loss on disposal / impairment of property, plant and equipment (net)</t>
  </si>
  <si>
    <t>Share based payment expense</t>
  </si>
  <si>
    <t>Provision for disputed liability</t>
  </si>
  <si>
    <t>Allowance for expected credit loss</t>
  </si>
  <si>
    <t>Provisions for employee benefits</t>
  </si>
  <si>
    <t>Interest expense</t>
  </si>
  <si>
    <t>Unrealised foreign exchange (gain)/ loss (net)</t>
  </si>
  <si>
    <t>Interest income</t>
  </si>
  <si>
    <t>Share of profit of joint venture</t>
  </si>
  <si>
    <t>(Gain)/ loss on fair valuation of financial instruments (net)</t>
  </si>
  <si>
    <t>Net gain on sale of financial assets measured at FVTPL</t>
  </si>
  <si>
    <t>Gain on sale of financial assets measured at amortised cost</t>
  </si>
  <si>
    <t>Net gain on sale of financial assets measured at FVOCI</t>
  </si>
  <si>
    <t>Effect of exchange rates on translation of operating cashflows</t>
  </si>
  <si>
    <t>Operating profit before working capital changes and other adjustments</t>
  </si>
  <si>
    <t>Working capital changes and other adjustments:</t>
  </si>
  <si>
    <t>Inventories</t>
  </si>
  <si>
    <t>Trade receivables</t>
  </si>
  <si>
    <t>Current and non-current financial assets</t>
  </si>
  <si>
    <t>Other current and non-current assets</t>
  </si>
  <si>
    <t>Trade payables</t>
  </si>
  <si>
    <t>Other current and non-current financial liabilities</t>
  </si>
  <si>
    <t>Other current and non-current liabilities and provisions</t>
  </si>
  <si>
    <t>Cash flow from operating activities post working capital changes</t>
  </si>
  <si>
    <t>Direct taxes paid (net of refund)</t>
  </si>
  <si>
    <t>Net cash flow from operating activities (A)</t>
  </si>
  <si>
    <t>B. CASH FLOWS FROM INVESTING ACTIVITIES</t>
  </si>
  <si>
    <t>Acquisition  of  property,  plant  and  equipment,  capital  work-in-progress, investment, properties and intangible assets</t>
  </si>
  <si>
    <t>Proceeds from disposal of property, plant and equipment, capital work-in-progress, investment properties and intangible assets</t>
  </si>
  <si>
    <t>Purchases of investments/ bank deposits</t>
  </si>
  <si>
    <t>Proceeds from sale of investments</t>
  </si>
  <si>
    <t>Interest received</t>
  </si>
  <si>
    <t>Net cash flow from / (used in) investing activities (B)</t>
  </si>
  <si>
    <t>C. CASH FLOWS FROM FINANCING ACTIVITIES</t>
  </si>
  <si>
    <t>Proceeds from issue of equity share capital</t>
  </si>
  <si>
    <t>Repayments of non-current borrowing (including current maturities)</t>
  </si>
  <si>
    <t>Proceeds from current borrowings (net)</t>
  </si>
  <si>
    <t>Dividend paid</t>
  </si>
  <si>
    <t>Dividend distribution tax paid</t>
  </si>
  <si>
    <t>Finance costs paid</t>
  </si>
  <si>
    <t>Payment of lease liabilities</t>
  </si>
  <si>
    <t>Net cash used in financing activities (C)</t>
  </si>
  <si>
    <t>Increase / Decrease in cash and cash equivalents (A+B+C)</t>
  </si>
  <si>
    <t>Cash and cash equivalents at the beginning of the year</t>
  </si>
  <si>
    <t>Net unrealised foreign exchange (gain)/loss</t>
  </si>
  <si>
    <t>Cash and cash equivalents at the end of the year</t>
  </si>
  <si>
    <t>Balance with banks in cash credit accouns</t>
  </si>
  <si>
    <t>Balance with banks over draft accounts</t>
  </si>
  <si>
    <t>Cash and Cash eq in balance sheet</t>
  </si>
  <si>
    <t>Check</t>
  </si>
  <si>
    <t>Gross Profit Margin</t>
  </si>
  <si>
    <t>Operating Profit Margin</t>
  </si>
  <si>
    <t>Net Profit Margin</t>
  </si>
  <si>
    <t xml:space="preserve">Number of Days In a Year </t>
  </si>
  <si>
    <t>Average Inventory Turnover Ratio</t>
  </si>
  <si>
    <t>Days Inventory Outstanding</t>
  </si>
  <si>
    <t>Average Debtors Turnover Ratio</t>
  </si>
  <si>
    <t>Days Debtor Outstanding</t>
  </si>
  <si>
    <t>Average Creditors Turnover Ratio</t>
  </si>
  <si>
    <t>Days Creditors Outstanding</t>
  </si>
  <si>
    <t>Average Asset Turnover Ratio</t>
  </si>
  <si>
    <t>Operating Cycle</t>
  </si>
  <si>
    <t>Net Operating Cycle</t>
  </si>
  <si>
    <t>Degree Of Operating Leverage</t>
  </si>
  <si>
    <t>Degree Of Financial Leverage</t>
  </si>
  <si>
    <t>Degree of Combined Leverage</t>
  </si>
  <si>
    <t>Return On Average Equity</t>
  </si>
  <si>
    <t>DUPONT</t>
  </si>
  <si>
    <t>Return On Average Capital Employeed</t>
  </si>
  <si>
    <t>Efficiency</t>
  </si>
  <si>
    <t>Current Ratio</t>
  </si>
  <si>
    <t>Quick Ratio</t>
  </si>
  <si>
    <t>Cash Ratio</t>
  </si>
  <si>
    <t>Debt to Equity</t>
  </si>
  <si>
    <t>Equity Multiplier</t>
  </si>
  <si>
    <t>Current Operating Assets</t>
  </si>
  <si>
    <t>Current Operating Liabilities</t>
  </si>
  <si>
    <t>Change in Inventories</t>
  </si>
  <si>
    <t>Change in Trade receivables</t>
  </si>
  <si>
    <t>Change in Current and non-current financial assets</t>
  </si>
  <si>
    <t>Change in Other current and non-current assets</t>
  </si>
  <si>
    <t>Change in Trade payables</t>
  </si>
  <si>
    <t>Change in Other current and non-current financial liabilities</t>
  </si>
  <si>
    <t>Change in Other current and non-current liabilities and provisions</t>
  </si>
  <si>
    <t>Total Change in Current Operating Assets</t>
  </si>
  <si>
    <t>Total Change in Current Operating Liabilities</t>
  </si>
  <si>
    <t>YoY Change (%)</t>
  </si>
  <si>
    <t>Health Care</t>
  </si>
  <si>
    <t>Home and Personal Care</t>
  </si>
  <si>
    <t>Foods</t>
  </si>
  <si>
    <t>Total Domestic Business Revenue</t>
  </si>
  <si>
    <t>Americas</t>
  </si>
  <si>
    <t>Africa</t>
  </si>
  <si>
    <t>Europe</t>
  </si>
  <si>
    <t>Middle East</t>
  </si>
  <si>
    <t>Asia</t>
  </si>
  <si>
    <t>Total International Business Revenue</t>
  </si>
  <si>
    <t xml:space="preserve">A)     Domestic Business </t>
  </si>
  <si>
    <t>B)     International Business</t>
  </si>
  <si>
    <t>C)     Others</t>
  </si>
  <si>
    <t>Sources of Revenue</t>
  </si>
  <si>
    <t>Revenue From Operations</t>
  </si>
  <si>
    <t>Raw Materials Consumed</t>
  </si>
  <si>
    <t>Packaging Materials Consumed</t>
  </si>
  <si>
    <t>Total COGS</t>
  </si>
  <si>
    <t>Total SG&amp;A Expense</t>
  </si>
  <si>
    <t>(% of Revenue)</t>
  </si>
  <si>
    <t>Total Expenses</t>
  </si>
  <si>
    <t>Number of Employees</t>
  </si>
  <si>
    <t>Expense per Employee</t>
  </si>
  <si>
    <t>PreTax Income</t>
  </si>
  <si>
    <t>PostTax Income</t>
  </si>
  <si>
    <t>Tax Expense (% of PreTax Income)</t>
  </si>
  <si>
    <t>Dividends Paid</t>
  </si>
  <si>
    <t>Profit After Tax</t>
  </si>
  <si>
    <t>Dividend Payout Ratio(%)</t>
  </si>
  <si>
    <t>Dividend Distribution Tax Paid</t>
  </si>
  <si>
    <t>Dividend Distribution Tax Paid(% of Dividend)</t>
  </si>
  <si>
    <t>Interest Expense</t>
  </si>
  <si>
    <t>Average Outstanding Debt</t>
  </si>
  <si>
    <t>Interest Expense/ Average Outstanding Debt</t>
  </si>
  <si>
    <t>Capital Expenditure</t>
  </si>
  <si>
    <t>Capital Expenditure (% of Revenue From Operations)</t>
  </si>
  <si>
    <t>Beginning Net PP&amp;E</t>
  </si>
  <si>
    <t>Capital Expenditures</t>
  </si>
  <si>
    <t>(Depreciation Expense)</t>
  </si>
  <si>
    <t>% Increase in Number of Employees</t>
  </si>
  <si>
    <t>-</t>
  </si>
  <si>
    <t xml:space="preserve">Leasehold Land </t>
  </si>
  <si>
    <t>Freehold Land</t>
  </si>
  <si>
    <t>Buildings</t>
  </si>
  <si>
    <t>Leased Buildings</t>
  </si>
  <si>
    <t xml:space="preserve">Plant and Equipment </t>
  </si>
  <si>
    <t>Furniture and Fixtures</t>
  </si>
  <si>
    <t xml:space="preserve">Vehicles </t>
  </si>
  <si>
    <t>Office Equipments</t>
  </si>
  <si>
    <t>Brands and Trademarks</t>
  </si>
  <si>
    <t>Computer Software</t>
  </si>
  <si>
    <t>Useful Life (Years)</t>
  </si>
  <si>
    <t>Total Capex BreakUp</t>
  </si>
  <si>
    <t>Beginning Net Other Intangibles</t>
  </si>
  <si>
    <t>(Amortization Expense)</t>
  </si>
  <si>
    <t>Ending Net Other Intangibles</t>
  </si>
  <si>
    <t>Useful Life</t>
  </si>
  <si>
    <t>Depreciation Expense (existing)</t>
  </si>
  <si>
    <t>unlimited</t>
  </si>
  <si>
    <t>Gross Block</t>
  </si>
  <si>
    <t>FY 2021</t>
  </si>
  <si>
    <t>FY 2022</t>
  </si>
  <si>
    <t>FY 2023</t>
  </si>
  <si>
    <t>FY 2024</t>
  </si>
  <si>
    <t>FY 2025</t>
  </si>
  <si>
    <t>Capex</t>
  </si>
  <si>
    <t>Total Depriciation ( Buildings )</t>
  </si>
  <si>
    <t>Total Depriciation ( Leased Buildings )</t>
  </si>
  <si>
    <t>Total Depriciation ( Plant and Equipment )</t>
  </si>
  <si>
    <t>Total Depriciation ( Furniture and Fixtures )</t>
  </si>
  <si>
    <t>Vehicles</t>
  </si>
  <si>
    <t>Total Depriciation ( Vehicles )</t>
  </si>
  <si>
    <t>Total Depriciation ( Office Equipments )</t>
  </si>
  <si>
    <t>Amortisation Expense (existing)</t>
  </si>
  <si>
    <t>Total Amortisation ( Computer Software )</t>
  </si>
  <si>
    <t>Total Amortisation ( Brands and Trademarks )</t>
  </si>
  <si>
    <t>Total Amortisation Expense</t>
  </si>
  <si>
    <t>Total Depriciation Expense</t>
  </si>
  <si>
    <t/>
  </si>
  <si>
    <t>Ending Net PPE</t>
  </si>
  <si>
    <t>Gross PPE &amp; Other Intangibles BreakUp (FY2020)</t>
  </si>
  <si>
    <t>(% of Gross PPE &amp; Other Intangibles)</t>
  </si>
  <si>
    <t>Gross PPE &amp; Other Intangibles</t>
  </si>
  <si>
    <t>Total Depriciation and Amortisation Expense</t>
  </si>
  <si>
    <t>Change in Net Working Capital</t>
  </si>
  <si>
    <t>Tax Expense</t>
  </si>
  <si>
    <t>Free Cash Flow To The Firm</t>
  </si>
  <si>
    <t>EBIT ( 1 - T )</t>
  </si>
  <si>
    <t>Add : Depriciation and Amortisation</t>
  </si>
  <si>
    <t>Less : Capital Expenditure</t>
  </si>
  <si>
    <t>Add : Changes in Working Capital</t>
  </si>
  <si>
    <t>FCFF</t>
  </si>
  <si>
    <t>Terminal Value</t>
  </si>
  <si>
    <t>WACC Inputs</t>
  </si>
  <si>
    <t>Cost of Equity &amp; Cost of Debt</t>
  </si>
  <si>
    <t>Beta</t>
  </si>
  <si>
    <t>Equity Risk Premium</t>
  </si>
  <si>
    <t>Cost of equity</t>
  </si>
  <si>
    <t>Terminal Growth Rate</t>
  </si>
  <si>
    <t>Market Value of Equity</t>
  </si>
  <si>
    <t>Current Stock Price</t>
  </si>
  <si>
    <t>Current shares outstanding</t>
  </si>
  <si>
    <t>Calculating Book value of Debt</t>
  </si>
  <si>
    <t>Calculating Debt to Equity ratio</t>
  </si>
  <si>
    <t>Proporiton of Equity in the Capital Strucuture</t>
  </si>
  <si>
    <t>Proporiton of Debt in the Capital Strucuture</t>
  </si>
  <si>
    <t>Debt to equity ratio</t>
  </si>
  <si>
    <t>WACC Calculations</t>
  </si>
  <si>
    <t>Risk Free rate</t>
  </si>
  <si>
    <t>Pre-tax cost of debt</t>
  </si>
  <si>
    <t>Tax rate</t>
  </si>
  <si>
    <t>After tax cost of debt</t>
  </si>
  <si>
    <t>WACC</t>
  </si>
  <si>
    <t>Country's Default Spread</t>
  </si>
  <si>
    <t>Date</t>
  </si>
  <si>
    <t>Sensex</t>
  </si>
  <si>
    <t>Nestle India</t>
  </si>
  <si>
    <t>Marico</t>
  </si>
  <si>
    <t>Emami</t>
  </si>
  <si>
    <t>Britannia Industries</t>
  </si>
  <si>
    <t>Hindustan Unilever</t>
  </si>
  <si>
    <t>Godrej Consumer</t>
  </si>
  <si>
    <t>Glaxo Consumer Healthcare</t>
  </si>
  <si>
    <t>Closing Price</t>
  </si>
  <si>
    <t>Returns ( % )</t>
  </si>
  <si>
    <t>Beta &amp; Debt to Equity</t>
  </si>
  <si>
    <t>Beta ( Last 5 Years )</t>
  </si>
  <si>
    <t>Beta ( Last 4 Years )</t>
  </si>
  <si>
    <t>Beta ( Last 3 Years )</t>
  </si>
  <si>
    <t>Beta ( Last 2 Years )</t>
  </si>
  <si>
    <t>Beta ( Last 1 Years )</t>
  </si>
  <si>
    <t>Industry's Average Beta</t>
  </si>
  <si>
    <t>Industry's Average Debt to Equity</t>
  </si>
  <si>
    <t xml:space="preserve"> Unlevered Asset Beta</t>
  </si>
  <si>
    <t>Equiy Value</t>
  </si>
  <si>
    <t>Total Book Value of Debt</t>
  </si>
  <si>
    <t>Other Equity</t>
  </si>
  <si>
    <t>Beta of the Company</t>
  </si>
  <si>
    <t>Cash Flows</t>
  </si>
  <si>
    <t>NPV of explicit period</t>
  </si>
  <si>
    <t>Terminal value @ perpetual growth</t>
  </si>
  <si>
    <t>Terminal value</t>
  </si>
  <si>
    <t>NPV of terminal value</t>
  </si>
  <si>
    <t xml:space="preserve">Valuation </t>
  </si>
  <si>
    <t>Enterprise Value</t>
  </si>
  <si>
    <t>+ Cash</t>
  </si>
  <si>
    <t>- Debt</t>
  </si>
  <si>
    <t>Equity value</t>
  </si>
  <si>
    <t>Growth</t>
  </si>
  <si>
    <t>Free cash flow to firm of explicit period (FY2021 to FY2025)</t>
  </si>
  <si>
    <t>Sensitivity Analysis</t>
  </si>
  <si>
    <t>Intrinsic Value</t>
  </si>
  <si>
    <t>Risk Free Rate ( Default Free )</t>
  </si>
  <si>
    <t>10 Yr Indian Government Bond YTM</t>
  </si>
  <si>
    <t>SG&amp;A - Operating Expenses</t>
  </si>
</sst>
</file>

<file path=xl/styles.xml><?xml version="1.0" encoding="utf-8"?>
<styleSheet xmlns="http://schemas.openxmlformats.org/spreadsheetml/2006/main">
  <numFmts count="2">
    <numFmt numFmtId="164" formatCode="#,##0.00;\(#,##0.00\);\-"/>
    <numFmt numFmtId="165" formatCode="[$-409]d\-mmm\-yy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 tint="-0.14996795556505021"/>
      </top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medium">
        <color theme="6" tint="-0.499984740745262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6" tint="-0.499984740745262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thin">
        <color indexed="64"/>
      </right>
      <top/>
      <bottom style="thin">
        <color theme="1" tint="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 tint="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1" tint="0.1499679555650502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medium">
        <color theme="6" tint="-0.499984740745262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medium">
        <color theme="6" tint="-0.24994659260841701"/>
      </right>
      <top style="thin">
        <color theme="0" tint="-0.24994659260841701"/>
      </top>
      <bottom style="medium">
        <color theme="6" tint="-0.499984740745262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/>
      <bottom/>
      <diagonal/>
    </border>
    <border>
      <left style="medium">
        <color theme="6" tint="-0.24994659260841701"/>
      </left>
      <right style="medium">
        <color theme="6" tint="-0.24994659260841701"/>
      </right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499984740745262"/>
      </bottom>
      <diagonal/>
    </border>
    <border>
      <left style="medium">
        <color theme="6" tint="-0.24994659260841701"/>
      </left>
      <right/>
      <top style="thin">
        <color theme="0" tint="-0.24994659260841701"/>
      </top>
      <bottom style="medium">
        <color theme="6" tint="-0.24994659260841701"/>
      </bottom>
      <diagonal/>
    </border>
    <border>
      <left/>
      <right/>
      <top style="thin">
        <color theme="0" tint="-0.24994659260841701"/>
      </top>
      <bottom style="medium">
        <color theme="6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6" tint="-0.499984740745262"/>
      </top>
      <bottom style="double">
        <color theme="6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24994659260841701"/>
      </top>
      <bottom style="double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0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0" tint="-0.24994659260841701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/>
      <bottom style="thin">
        <color theme="0" tint="-0.24994659260841701"/>
      </bottom>
      <diagonal/>
    </border>
    <border>
      <left style="thin">
        <color theme="6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6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 tint="-0.499984740745262"/>
      </left>
      <right/>
      <top style="thin">
        <color theme="0" tint="-0.24994659260841701"/>
      </top>
      <bottom style="thin">
        <color theme="6" tint="-0.499984740745262"/>
      </bottom>
      <diagonal/>
    </border>
    <border>
      <left/>
      <right/>
      <top style="thin">
        <color theme="0" tint="-0.24994659260841701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0" tint="-0.24994659260841701"/>
      </top>
      <bottom style="thin">
        <color theme="6" tint="-0.499984740745262"/>
      </bottom>
      <diagonal/>
    </border>
    <border>
      <left/>
      <right style="thin">
        <color theme="6" tint="-0.499984740745262"/>
      </right>
      <top/>
      <bottom/>
      <diagonal/>
    </border>
    <border>
      <left style="medium">
        <color theme="6" tint="-0.499984740745262"/>
      </left>
      <right/>
      <top style="medium">
        <color theme="6" tint="-0.499984740745262"/>
      </top>
      <bottom style="thin">
        <color theme="0" tint="-0.24994659260841701"/>
      </bottom>
      <diagonal/>
    </border>
    <border>
      <left/>
      <right/>
      <top style="medium">
        <color theme="6" tint="-0.499984740745262"/>
      </top>
      <bottom style="thin">
        <color theme="0" tint="-0.24994659260841701"/>
      </bottom>
      <diagonal/>
    </border>
    <border>
      <left/>
      <right style="thin">
        <color theme="6" tint="-0.499984740745262"/>
      </right>
      <top style="medium">
        <color theme="6" tint="-0.499984740745262"/>
      </top>
      <bottom style="thin">
        <color theme="0" tint="-0.24994659260841701"/>
      </bottom>
      <diagonal/>
    </border>
    <border>
      <left style="medium">
        <color theme="6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6" tint="-0.499984740745262"/>
      </left>
      <right/>
      <top style="thin">
        <color theme="0" tint="-0.24994659260841701"/>
      </top>
      <bottom style="thin">
        <color theme="6" tint="-0.499984740745262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47">
    <xf numFmtId="0" fontId="0" fillId="0" borderId="0" xfId="0"/>
    <xf numFmtId="0" fontId="3" fillId="3" borderId="1" xfId="0" applyFont="1" applyFill="1" applyBorder="1"/>
    <xf numFmtId="0" fontId="0" fillId="3" borderId="2" xfId="0" applyFont="1" applyFill="1" applyBorder="1"/>
    <xf numFmtId="164" fontId="5" fillId="4" borderId="7" xfId="0" applyNumberFormat="1" applyFont="1" applyFill="1" applyBorder="1" applyAlignment="1">
      <alignment vertical="center" wrapText="1"/>
    </xf>
    <xf numFmtId="164" fontId="6" fillId="4" borderId="7" xfId="0" applyNumberFormat="1" applyFont="1" applyFill="1" applyBorder="1" applyAlignment="1">
      <alignment vertical="center" wrapText="1"/>
    </xf>
    <xf numFmtId="2" fontId="2" fillId="0" borderId="8" xfId="0" applyNumberFormat="1" applyFont="1" applyBorder="1" applyAlignment="1">
      <alignment vertical="center" wrapText="1"/>
    </xf>
    <xf numFmtId="2" fontId="2" fillId="2" borderId="8" xfId="0" applyNumberFormat="1" applyFont="1" applyFill="1" applyBorder="1" applyAlignment="1">
      <alignment horizontal="right"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2" borderId="4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2" fontId="2" fillId="2" borderId="0" xfId="0" applyNumberFormat="1" applyFont="1" applyFill="1" applyBorder="1" applyAlignment="1">
      <alignment horizontal="right" vertical="center" wrapText="1"/>
    </xf>
    <xf numFmtId="2" fontId="2" fillId="0" borderId="10" xfId="0" applyNumberFormat="1" applyFont="1" applyBorder="1" applyAlignment="1">
      <alignment vertical="center" wrapText="1"/>
    </xf>
    <xf numFmtId="2" fontId="2" fillId="2" borderId="10" xfId="0" applyNumberFormat="1" applyFont="1" applyFill="1" applyBorder="1" applyAlignment="1">
      <alignment horizontal="right" vertical="center" wrapText="1"/>
    </xf>
    <xf numFmtId="164" fontId="5" fillId="4" borderId="11" xfId="0" applyNumberFormat="1" applyFont="1" applyFill="1" applyBorder="1" applyAlignment="1">
      <alignment vertical="center" wrapText="1"/>
    </xf>
    <xf numFmtId="164" fontId="6" fillId="4" borderId="11" xfId="0" applyNumberFormat="1" applyFont="1" applyFill="1" applyBorder="1" applyAlignment="1">
      <alignment vertical="center" wrapText="1"/>
    </xf>
    <xf numFmtId="2" fontId="2" fillId="2" borderId="13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0" fontId="0" fillId="3" borderId="15" xfId="0" applyFont="1" applyFill="1" applyBorder="1"/>
    <xf numFmtId="0" fontId="0" fillId="3" borderId="16" xfId="0" applyFont="1" applyFill="1" applyBorder="1"/>
    <xf numFmtId="0" fontId="0" fillId="0" borderId="0" xfId="0"/>
    <xf numFmtId="0" fontId="3" fillId="3" borderId="1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5" fillId="4" borderId="7" xfId="0" applyNumberFormat="1" applyFont="1" applyFill="1" applyBorder="1" applyAlignment="1">
      <alignment vertical="center" wrapText="1"/>
    </xf>
    <xf numFmtId="164" fontId="6" fillId="4" borderId="7" xfId="0" applyNumberFormat="1" applyFont="1" applyFill="1" applyBorder="1" applyAlignment="1">
      <alignment vertical="center" wrapText="1"/>
    </xf>
    <xf numFmtId="2" fontId="2" fillId="2" borderId="4" xfId="0" applyNumberFormat="1" applyFont="1" applyFill="1" applyBorder="1" applyAlignment="1">
      <alignment horizontal="right" vertical="center" wrapText="1"/>
    </xf>
    <xf numFmtId="164" fontId="5" fillId="4" borderId="9" xfId="0" applyNumberFormat="1" applyFont="1" applyFill="1" applyBorder="1" applyAlignment="1">
      <alignment vertical="center" wrapText="1"/>
    </xf>
    <xf numFmtId="164" fontId="5" fillId="4" borderId="11" xfId="0" applyNumberFormat="1" applyFont="1" applyFill="1" applyBorder="1" applyAlignment="1">
      <alignment vertical="center" wrapText="1"/>
    </xf>
    <xf numFmtId="164" fontId="6" fillId="4" borderId="11" xfId="0" applyNumberFormat="1" applyFont="1" applyFill="1" applyBorder="1" applyAlignment="1">
      <alignment vertical="center" wrapText="1"/>
    </xf>
    <xf numFmtId="0" fontId="0" fillId="2" borderId="0" xfId="0" applyFont="1" applyFill="1" applyBorder="1"/>
    <xf numFmtId="2" fontId="2" fillId="2" borderId="4" xfId="0" applyNumberFormat="1" applyFont="1" applyFill="1" applyBorder="1" applyAlignment="1">
      <alignment horizontal="left" vertical="center" wrapText="1"/>
    </xf>
    <xf numFmtId="0" fontId="0" fillId="2" borderId="14" xfId="0" applyFont="1" applyFill="1" applyBorder="1"/>
    <xf numFmtId="0" fontId="0" fillId="0" borderId="0" xfId="0"/>
    <xf numFmtId="2" fontId="2" fillId="2" borderId="0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5" fillId="4" borderId="7" xfId="0" applyNumberFormat="1" applyFont="1" applyFill="1" applyBorder="1" applyAlignment="1">
      <alignment vertical="center" wrapText="1"/>
    </xf>
    <xf numFmtId="164" fontId="6" fillId="4" borderId="7" xfId="0" applyNumberFormat="1" applyFont="1" applyFill="1" applyBorder="1" applyAlignment="1">
      <alignment vertical="center" wrapText="1"/>
    </xf>
    <xf numFmtId="2" fontId="2" fillId="2" borderId="4" xfId="0" applyNumberFormat="1" applyFont="1" applyFill="1" applyBorder="1" applyAlignment="1">
      <alignment horizontal="right" vertical="center" wrapText="1"/>
    </xf>
    <xf numFmtId="164" fontId="5" fillId="4" borderId="9" xfId="0" applyNumberFormat="1" applyFont="1" applyFill="1" applyBorder="1" applyAlignment="1">
      <alignment vertical="center" wrapText="1"/>
    </xf>
    <xf numFmtId="164" fontId="5" fillId="4" borderId="11" xfId="0" applyNumberFormat="1" applyFont="1" applyFill="1" applyBorder="1" applyAlignment="1">
      <alignment vertical="center" wrapText="1"/>
    </xf>
    <xf numFmtId="164" fontId="6" fillId="4" borderId="11" xfId="0" applyNumberFormat="1" applyFont="1" applyFill="1" applyBorder="1" applyAlignment="1">
      <alignment vertical="center" wrapText="1"/>
    </xf>
    <xf numFmtId="0" fontId="0" fillId="2" borderId="0" xfId="0" applyFont="1" applyFill="1" applyBorder="1"/>
    <xf numFmtId="2" fontId="2" fillId="2" borderId="4" xfId="0" applyNumberFormat="1" applyFont="1" applyFill="1" applyBorder="1" applyAlignment="1">
      <alignment horizontal="left" vertical="center" wrapText="1"/>
    </xf>
    <xf numFmtId="0" fontId="0" fillId="2" borderId="14" xfId="0" applyFont="1" applyFill="1" applyBorder="1"/>
    <xf numFmtId="164" fontId="6" fillId="4" borderId="9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2" fontId="2" fillId="2" borderId="8" xfId="0" applyNumberFormat="1" applyFont="1" applyFill="1" applyBorder="1" applyAlignment="1">
      <alignment horizontal="left" vertical="center" wrapText="1"/>
    </xf>
    <xf numFmtId="2" fontId="2" fillId="2" borderId="10" xfId="0" applyNumberFormat="1" applyFont="1" applyFill="1" applyBorder="1" applyAlignment="1">
      <alignment horizontal="left" vertical="center" wrapText="1"/>
    </xf>
    <xf numFmtId="2" fontId="2" fillId="2" borderId="18" xfId="0" applyNumberFormat="1" applyFont="1" applyFill="1" applyBorder="1" applyAlignment="1">
      <alignment horizontal="left" vertical="center" wrapText="1"/>
    </xf>
    <xf numFmtId="2" fontId="2" fillId="2" borderId="18" xfId="0" applyNumberFormat="1" applyFont="1" applyFill="1" applyBorder="1" applyAlignment="1">
      <alignment horizontal="right" vertical="center" wrapText="1"/>
    </xf>
    <xf numFmtId="2" fontId="5" fillId="2" borderId="4" xfId="0" applyNumberFormat="1" applyFont="1" applyFill="1" applyBorder="1" applyAlignment="1">
      <alignment horizontal="left" vertical="center" wrapText="1"/>
    </xf>
    <xf numFmtId="2" fontId="5" fillId="2" borderId="4" xfId="0" applyNumberFormat="1" applyFont="1" applyFill="1" applyBorder="1" applyAlignment="1">
      <alignment horizontal="right" vertical="center" wrapText="1"/>
    </xf>
    <xf numFmtId="2" fontId="7" fillId="2" borderId="4" xfId="0" applyNumberFormat="1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right"/>
    </xf>
    <xf numFmtId="0" fontId="1" fillId="3" borderId="17" xfId="0" applyFont="1" applyFill="1" applyBorder="1" applyAlignment="1">
      <alignment horizontal="right"/>
    </xf>
    <xf numFmtId="164" fontId="6" fillId="4" borderId="11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/>
    </xf>
    <xf numFmtId="0" fontId="0" fillId="0" borderId="0" xfId="0" applyAlignment="1">
      <alignment horizontal="right"/>
    </xf>
    <xf numFmtId="10" fontId="2" fillId="2" borderId="8" xfId="0" applyNumberFormat="1" applyFont="1" applyFill="1" applyBorder="1" applyAlignment="1">
      <alignment horizontal="right" vertical="center" wrapText="1"/>
    </xf>
    <xf numFmtId="10" fontId="6" fillId="2" borderId="4" xfId="0" applyNumberFormat="1" applyFont="1" applyFill="1" applyBorder="1" applyAlignment="1">
      <alignment vertical="center" wrapText="1"/>
    </xf>
    <xf numFmtId="2" fontId="6" fillId="2" borderId="4" xfId="0" applyNumberFormat="1" applyFont="1" applyFill="1" applyBorder="1" applyAlignment="1">
      <alignment horizontal="right" vertical="center" wrapText="1"/>
    </xf>
    <xf numFmtId="0" fontId="0" fillId="3" borderId="2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10" fontId="5" fillId="2" borderId="4" xfId="0" applyNumberFormat="1" applyFont="1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horizontal="left" vertical="center" wrapText="1"/>
    </xf>
    <xf numFmtId="2" fontId="8" fillId="2" borderId="4" xfId="0" applyNumberFormat="1" applyFont="1" applyFill="1" applyBorder="1" applyAlignment="1">
      <alignment horizontal="right" vertical="center" wrapText="1"/>
    </xf>
    <xf numFmtId="164" fontId="8" fillId="4" borderId="7" xfId="0" applyNumberFormat="1" applyFont="1" applyFill="1" applyBorder="1" applyAlignment="1">
      <alignment vertical="center" wrapText="1"/>
    </xf>
    <xf numFmtId="2" fontId="9" fillId="2" borderId="4" xfId="0" applyNumberFormat="1" applyFont="1" applyFill="1" applyBorder="1" applyAlignment="1">
      <alignment horizontal="right" vertical="center" wrapText="1"/>
    </xf>
    <xf numFmtId="0" fontId="10" fillId="0" borderId="0" xfId="0" applyFont="1"/>
    <xf numFmtId="10" fontId="8" fillId="2" borderId="4" xfId="0" applyNumberFormat="1" applyFont="1" applyFill="1" applyBorder="1" applyAlignment="1">
      <alignment vertical="center" wrapText="1"/>
    </xf>
    <xf numFmtId="164" fontId="5" fillId="4" borderId="20" xfId="0" applyNumberFormat="1" applyFont="1" applyFill="1" applyBorder="1" applyAlignment="1">
      <alignment vertical="center" wrapText="1"/>
    </xf>
    <xf numFmtId="2" fontId="8" fillId="2" borderId="4" xfId="0" applyNumberFormat="1" applyFont="1" applyFill="1" applyBorder="1" applyAlignment="1">
      <alignment horizontal="left" vertical="center" wrapText="1"/>
    </xf>
    <xf numFmtId="164" fontId="8" fillId="4" borderId="9" xfId="0" applyNumberFormat="1" applyFont="1" applyFill="1" applyBorder="1" applyAlignment="1">
      <alignment vertical="center" wrapText="1"/>
    </xf>
    <xf numFmtId="2" fontId="8" fillId="2" borderId="8" xfId="0" applyNumberFormat="1" applyFont="1" applyFill="1" applyBorder="1" applyAlignment="1">
      <alignment horizontal="left" vertical="center" wrapText="1"/>
    </xf>
    <xf numFmtId="2" fontId="8" fillId="2" borderId="10" xfId="0" applyNumberFormat="1" applyFont="1" applyFill="1" applyBorder="1" applyAlignment="1">
      <alignment horizontal="left" vertical="center" wrapText="1"/>
    </xf>
    <xf numFmtId="2" fontId="8" fillId="2" borderId="18" xfId="0" applyNumberFormat="1" applyFont="1" applyFill="1" applyBorder="1" applyAlignment="1">
      <alignment horizontal="left" vertical="center" wrapText="1"/>
    </xf>
    <xf numFmtId="2" fontId="9" fillId="2" borderId="4" xfId="0" applyNumberFormat="1" applyFont="1" applyFill="1" applyBorder="1" applyAlignment="1">
      <alignment horizontal="left" vertical="center" wrapText="1"/>
    </xf>
    <xf numFmtId="10" fontId="8" fillId="2" borderId="4" xfId="0" applyNumberFormat="1" applyFont="1" applyFill="1" applyBorder="1" applyAlignment="1">
      <alignment horizontal="right" vertical="center" wrapText="1"/>
    </xf>
    <xf numFmtId="2" fontId="2" fillId="2" borderId="21" xfId="0" applyNumberFormat="1" applyFont="1" applyFill="1" applyBorder="1" applyAlignment="1">
      <alignment horizontal="left" vertical="center" wrapText="1"/>
    </xf>
    <xf numFmtId="2" fontId="2" fillId="2" borderId="19" xfId="0" applyNumberFormat="1" applyFont="1" applyFill="1" applyBorder="1" applyAlignment="1">
      <alignment horizontal="left" vertical="center" wrapText="1"/>
    </xf>
    <xf numFmtId="2" fontId="2" fillId="2" borderId="23" xfId="0" applyNumberFormat="1" applyFont="1" applyFill="1" applyBorder="1" applyAlignment="1">
      <alignment horizontal="left" vertical="center" wrapText="1"/>
    </xf>
    <xf numFmtId="0" fontId="0" fillId="0" borderId="23" xfId="0" applyBorder="1"/>
    <xf numFmtId="10" fontId="2" fillId="2" borderId="23" xfId="0" applyNumberFormat="1" applyFont="1" applyFill="1" applyBorder="1" applyAlignment="1">
      <alignment horizontal="left" vertical="center" wrapText="1"/>
    </xf>
    <xf numFmtId="1" fontId="2" fillId="2" borderId="23" xfId="0" applyNumberFormat="1" applyFont="1" applyFill="1" applyBorder="1" applyAlignment="1">
      <alignment horizontal="left" vertical="center" wrapText="1"/>
    </xf>
    <xf numFmtId="2" fontId="2" fillId="2" borderId="24" xfId="0" applyNumberFormat="1" applyFont="1" applyFill="1" applyBorder="1" applyAlignment="1">
      <alignment horizontal="left" vertical="center" wrapText="1"/>
    </xf>
    <xf numFmtId="10" fontId="2" fillId="2" borderId="24" xfId="0" applyNumberFormat="1" applyFont="1" applyFill="1" applyBorder="1" applyAlignment="1">
      <alignment horizontal="left" vertical="center" wrapText="1"/>
    </xf>
    <xf numFmtId="1" fontId="2" fillId="2" borderId="24" xfId="0" applyNumberFormat="1" applyFont="1" applyFill="1" applyBorder="1" applyAlignment="1">
      <alignment horizontal="left" vertical="center" wrapText="1"/>
    </xf>
    <xf numFmtId="2" fontId="2" fillId="2" borderId="22" xfId="0" applyNumberFormat="1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2" fillId="2" borderId="4" xfId="0" quotePrefix="1" applyNumberFormat="1" applyFont="1" applyFill="1" applyBorder="1" applyAlignment="1">
      <alignment horizontal="left" vertical="center" wrapText="1"/>
    </xf>
    <xf numFmtId="2" fontId="2" fillId="2" borderId="25" xfId="0" applyNumberFormat="1" applyFont="1" applyFill="1" applyBorder="1" applyAlignment="1">
      <alignment horizontal="right" vertical="center" wrapText="1"/>
    </xf>
    <xf numFmtId="1" fontId="2" fillId="2" borderId="8" xfId="0" applyNumberFormat="1" applyFont="1" applyFill="1" applyBorder="1" applyAlignment="1">
      <alignment horizontal="right" vertical="center" wrapText="1"/>
    </xf>
    <xf numFmtId="1" fontId="2" fillId="2" borderId="10" xfId="0" applyNumberFormat="1" applyFont="1" applyFill="1" applyBorder="1" applyAlignment="1">
      <alignment horizontal="left" vertical="center" wrapText="1"/>
    </xf>
    <xf numFmtId="2" fontId="5" fillId="2" borderId="10" xfId="0" applyNumberFormat="1" applyFont="1" applyFill="1" applyBorder="1" applyAlignment="1">
      <alignment horizontal="right" vertical="center" wrapText="1"/>
    </xf>
    <xf numFmtId="2" fontId="5" fillId="4" borderId="26" xfId="0" applyNumberFormat="1" applyFont="1" applyFill="1" applyBorder="1" applyAlignment="1">
      <alignment vertical="center" wrapText="1"/>
    </xf>
    <xf numFmtId="2" fontId="2" fillId="2" borderId="27" xfId="0" applyNumberFormat="1" applyFont="1" applyFill="1" applyBorder="1" applyAlignment="1">
      <alignment horizontal="left" vertical="center" wrapText="1"/>
    </xf>
    <xf numFmtId="2" fontId="5" fillId="2" borderId="28" xfId="0" applyNumberFormat="1" applyFont="1" applyFill="1" applyBorder="1" applyAlignment="1">
      <alignment horizontal="right" vertical="center" wrapText="1"/>
    </xf>
    <xf numFmtId="0" fontId="0" fillId="0" borderId="29" xfId="0" applyBorder="1"/>
    <xf numFmtId="0" fontId="0" fillId="0" borderId="29" xfId="0" applyBorder="1" applyAlignment="1">
      <alignment horizontal="right"/>
    </xf>
    <xf numFmtId="2" fontId="6" fillId="2" borderId="30" xfId="0" applyNumberFormat="1" applyFont="1" applyFill="1" applyBorder="1" applyAlignment="1">
      <alignment horizontal="right" vertical="center" wrapText="1"/>
    </xf>
    <xf numFmtId="164" fontId="8" fillId="4" borderId="11" xfId="0" applyNumberFormat="1" applyFont="1" applyFill="1" applyBorder="1" applyAlignment="1">
      <alignment vertical="center" wrapText="1"/>
    </xf>
    <xf numFmtId="0" fontId="12" fillId="0" borderId="0" xfId="0" applyFont="1"/>
    <xf numFmtId="164" fontId="5" fillId="4" borderId="31" xfId="0" applyNumberFormat="1" applyFont="1" applyFill="1" applyBorder="1" applyAlignment="1">
      <alignment vertical="center" wrapText="1"/>
    </xf>
    <xf numFmtId="0" fontId="0" fillId="0" borderId="0" xfId="0" applyBorder="1"/>
    <xf numFmtId="165" fontId="10" fillId="3" borderId="0" xfId="0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/>
    </xf>
    <xf numFmtId="165" fontId="1" fillId="0" borderId="0" xfId="0" applyNumberFormat="1" applyFont="1" applyBorder="1"/>
    <xf numFmtId="0" fontId="10" fillId="3" borderId="35" xfId="0" applyFont="1" applyFill="1" applyBorder="1" applyAlignment="1">
      <alignment horizontal="right" vertical="center" wrapText="1"/>
    </xf>
    <xf numFmtId="0" fontId="10" fillId="3" borderId="36" xfId="0" applyFont="1" applyFill="1" applyBorder="1" applyAlignment="1">
      <alignment horizontal="right" vertical="center" wrapText="1"/>
    </xf>
    <xf numFmtId="0" fontId="10" fillId="3" borderId="37" xfId="0" applyFont="1" applyFill="1" applyBorder="1" applyAlignment="1">
      <alignment horizontal="right" vertical="center" wrapText="1"/>
    </xf>
    <xf numFmtId="10" fontId="2" fillId="2" borderId="4" xfId="1" applyNumberFormat="1" applyFont="1" applyFill="1" applyBorder="1" applyAlignment="1">
      <alignment horizontal="right" vertical="center" wrapText="1"/>
    </xf>
    <xf numFmtId="10" fontId="5" fillId="2" borderId="4" xfId="0" applyNumberFormat="1" applyFont="1" applyFill="1" applyBorder="1" applyAlignment="1">
      <alignment horizontal="right" vertical="center" wrapText="1"/>
    </xf>
    <xf numFmtId="164" fontId="6" fillId="4" borderId="31" xfId="0" applyNumberFormat="1" applyFont="1" applyFill="1" applyBorder="1" applyAlignment="1">
      <alignment vertical="center" wrapText="1"/>
    </xf>
    <xf numFmtId="164" fontId="5" fillId="4" borderId="38" xfId="0" applyNumberFormat="1" applyFont="1" applyFill="1" applyBorder="1" applyAlignment="1">
      <alignment vertical="center" wrapText="1"/>
    </xf>
    <xf numFmtId="2" fontId="2" fillId="2" borderId="40" xfId="0" applyNumberFormat="1" applyFont="1" applyFill="1" applyBorder="1" applyAlignment="1">
      <alignment horizontal="right" vertical="center" wrapText="1"/>
    </xf>
    <xf numFmtId="2" fontId="2" fillId="2" borderId="41" xfId="0" applyNumberFormat="1" applyFont="1" applyFill="1" applyBorder="1" applyAlignment="1">
      <alignment horizontal="right" vertical="center" wrapText="1"/>
    </xf>
    <xf numFmtId="10" fontId="2" fillId="2" borderId="48" xfId="0" applyNumberFormat="1" applyFont="1" applyFill="1" applyBorder="1" applyAlignment="1">
      <alignment horizontal="right" vertical="center" wrapText="1"/>
    </xf>
    <xf numFmtId="2" fontId="2" fillId="2" borderId="49" xfId="0" applyNumberFormat="1" applyFont="1" applyFill="1" applyBorder="1" applyAlignment="1">
      <alignment horizontal="right" vertical="center" wrapText="1"/>
    </xf>
    <xf numFmtId="10" fontId="2" fillId="2" borderId="50" xfId="0" applyNumberFormat="1" applyFont="1" applyFill="1" applyBorder="1" applyAlignment="1">
      <alignment horizontal="right" vertical="center" wrapText="1"/>
    </xf>
    <xf numFmtId="2" fontId="2" fillId="2" borderId="51" xfId="0" applyNumberFormat="1" applyFont="1" applyFill="1" applyBorder="1" applyAlignment="1">
      <alignment horizontal="right" vertical="center" wrapText="1"/>
    </xf>
    <xf numFmtId="2" fontId="2" fillId="2" borderId="52" xfId="0" applyNumberFormat="1" applyFont="1" applyFill="1" applyBorder="1" applyAlignment="1">
      <alignment horizontal="right" vertical="center" wrapText="1"/>
    </xf>
    <xf numFmtId="10" fontId="2" fillId="2" borderId="0" xfId="0" applyNumberFormat="1" applyFont="1" applyFill="1" applyBorder="1" applyAlignment="1">
      <alignment horizontal="right" vertical="center" wrapText="1"/>
    </xf>
    <xf numFmtId="10" fontId="2" fillId="2" borderId="53" xfId="0" applyNumberFormat="1" applyFont="1" applyFill="1" applyBorder="1" applyAlignment="1">
      <alignment horizontal="right" vertical="center" wrapText="1"/>
    </xf>
    <xf numFmtId="2" fontId="2" fillId="2" borderId="54" xfId="0" applyNumberFormat="1" applyFont="1" applyFill="1" applyBorder="1" applyAlignment="1">
      <alignment horizontal="right" vertical="center" wrapText="1"/>
    </xf>
    <xf numFmtId="2" fontId="2" fillId="2" borderId="55" xfId="0" applyNumberFormat="1" applyFont="1" applyFill="1" applyBorder="1" applyAlignment="1">
      <alignment horizontal="right" vertical="center" wrapText="1"/>
    </xf>
    <xf numFmtId="2" fontId="2" fillId="2" borderId="56" xfId="0" applyNumberFormat="1" applyFont="1" applyFill="1" applyBorder="1" applyAlignment="1">
      <alignment horizontal="right" vertical="center" wrapText="1"/>
    </xf>
    <xf numFmtId="2" fontId="2" fillId="2" borderId="57" xfId="0" applyNumberFormat="1" applyFont="1" applyFill="1" applyBorder="1" applyAlignment="1">
      <alignment horizontal="right" vertical="center" wrapText="1"/>
    </xf>
    <xf numFmtId="2" fontId="2" fillId="2" borderId="58" xfId="0" applyNumberFormat="1" applyFont="1" applyFill="1" applyBorder="1" applyAlignment="1">
      <alignment horizontal="right" vertical="center" wrapText="1"/>
    </xf>
    <xf numFmtId="2" fontId="14" fillId="2" borderId="47" xfId="0" applyNumberFormat="1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2" fontId="2" fillId="2" borderId="42" xfId="0" applyNumberFormat="1" applyFont="1" applyFill="1" applyBorder="1" applyAlignment="1">
      <alignment horizontal="center" vertical="center" textRotation="90" wrapText="1"/>
    </xf>
    <xf numFmtId="0" fontId="0" fillId="0" borderId="43" xfId="0" applyBorder="1"/>
    <xf numFmtId="0" fontId="0" fillId="0" borderId="44" xfId="0" applyBorder="1"/>
    <xf numFmtId="2" fontId="2" fillId="2" borderId="45" xfId="0" applyNumberFormat="1" applyFont="1" applyFill="1" applyBorder="1" applyAlignment="1">
      <alignment horizontal="center" vertical="center" wrapText="1"/>
    </xf>
    <xf numFmtId="2" fontId="2" fillId="2" borderId="39" xfId="0" applyNumberFormat="1" applyFont="1" applyFill="1" applyBorder="1" applyAlignment="1">
      <alignment horizontal="center" vertical="center" wrapText="1"/>
    </xf>
    <xf numFmtId="2" fontId="2" fillId="2" borderId="4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pane xSplit="2" ySplit="2" topLeftCell="C3" activePane="bottomRight" state="frozen"/>
      <selection activeCell="H71" sqref="H71"/>
      <selection pane="topRight" activeCell="H71" sqref="H71"/>
      <selection pane="bottomLeft" activeCell="H71" sqref="H71"/>
      <selection pane="bottomRight" activeCell="C6" sqref="C6"/>
    </sheetView>
  </sheetViews>
  <sheetFormatPr defaultColWidth="25.7109375" defaultRowHeight="12.75" customHeight="1"/>
  <cols>
    <col min="1" max="1" width="1.28515625" style="17" customWidth="1"/>
    <col min="2" max="2" width="50.7109375" customWidth="1"/>
  </cols>
  <sheetData>
    <row r="1" spans="1:13" ht="36" customHeight="1">
      <c r="A1" s="1" t="s">
        <v>0</v>
      </c>
      <c r="B1" s="2"/>
      <c r="C1" s="135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7"/>
    </row>
    <row r="2" spans="1:13" ht="15" customHeight="1">
      <c r="A2" s="18"/>
      <c r="B2" s="19"/>
      <c r="C2" s="58" t="s">
        <v>4</v>
      </c>
      <c r="D2" s="58" t="s">
        <v>5</v>
      </c>
      <c r="E2" s="58" t="s">
        <v>6</v>
      </c>
      <c r="F2" s="58" t="s">
        <v>7</v>
      </c>
      <c r="G2" s="58" t="s">
        <v>8</v>
      </c>
      <c r="H2" s="58" t="s">
        <v>9</v>
      </c>
      <c r="I2" s="58" t="s">
        <v>10</v>
      </c>
      <c r="J2" s="58" t="s">
        <v>11</v>
      </c>
      <c r="K2" s="58" t="s">
        <v>12</v>
      </c>
      <c r="L2" s="59" t="s">
        <v>13</v>
      </c>
    </row>
    <row r="3" spans="1:13" ht="12.75" customHeight="1" thickBot="1">
      <c r="A3" s="16">
        <v>0</v>
      </c>
      <c r="B3" s="16"/>
      <c r="C3" s="17"/>
      <c r="D3" s="17"/>
      <c r="E3" s="17"/>
      <c r="F3" s="17"/>
      <c r="G3" s="17"/>
      <c r="H3" s="17"/>
      <c r="I3" s="17"/>
      <c r="J3" s="17"/>
      <c r="K3" s="17"/>
      <c r="L3" s="15"/>
      <c r="M3" s="103"/>
    </row>
    <row r="4" spans="1:13" ht="14.25" customHeight="1" thickBot="1">
      <c r="A4" s="16"/>
      <c r="B4" s="43" t="s">
        <v>14</v>
      </c>
      <c r="C4" s="4">
        <v>7868.77</v>
      </c>
      <c r="D4" s="4">
        <v>7701.44</v>
      </c>
      <c r="E4" s="4">
        <v>7748.34</v>
      </c>
      <c r="F4" s="4">
        <v>8533.0499999999993</v>
      </c>
      <c r="G4" s="4">
        <v>8703.59</v>
      </c>
      <c r="H4" s="71">
        <f>'Revenue Projections'!H4</f>
        <v>8877.4946649616995</v>
      </c>
      <c r="I4" s="71">
        <f>'Revenue Projections'!I4</f>
        <v>9493.5925901599931</v>
      </c>
      <c r="J4" s="71">
        <f>'Revenue Projections'!J4</f>
        <v>10125.884775297494</v>
      </c>
      <c r="K4" s="71">
        <f>'Revenue Projections'!K4</f>
        <v>10836.527620818391</v>
      </c>
      <c r="L4" s="71">
        <f>'Revenue Projections'!L4</f>
        <v>11585.54621247405</v>
      </c>
      <c r="M4" s="103"/>
    </row>
    <row r="5" spans="1:13" ht="14.25" customHeight="1">
      <c r="A5" s="16"/>
      <c r="B5" s="5" t="s">
        <v>15</v>
      </c>
      <c r="C5" s="6">
        <v>89.11</v>
      </c>
      <c r="D5" s="6">
        <v>87.85</v>
      </c>
      <c r="E5" s="6">
        <v>26.49</v>
      </c>
      <c r="F5" s="6">
        <v>18.059999999999999</v>
      </c>
      <c r="G5" s="6">
        <v>18.95</v>
      </c>
      <c r="H5" s="56">
        <f>G5</f>
        <v>18.95</v>
      </c>
      <c r="I5" s="56">
        <f t="shared" ref="I5:L5" si="0">H5</f>
        <v>18.95</v>
      </c>
      <c r="J5" s="56">
        <f t="shared" si="0"/>
        <v>18.95</v>
      </c>
      <c r="K5" s="56">
        <f t="shared" si="0"/>
        <v>18.95</v>
      </c>
      <c r="L5" s="56">
        <f t="shared" si="0"/>
        <v>18.95</v>
      </c>
      <c r="M5" s="103"/>
    </row>
    <row r="6" spans="1:13" ht="14.25" customHeight="1">
      <c r="A6" s="16"/>
      <c r="B6" s="7" t="s">
        <v>16</v>
      </c>
      <c r="C6" s="8">
        <v>2858.77</v>
      </c>
      <c r="D6" s="8">
        <v>3024.76</v>
      </c>
      <c r="E6" s="8">
        <v>3220.05</v>
      </c>
      <c r="F6" s="8">
        <v>3475.35</v>
      </c>
      <c r="G6" s="8">
        <v>3731.71</v>
      </c>
      <c r="H6" s="56">
        <f>'Cost Sheet'!H11</f>
        <v>3843.5797575590291</v>
      </c>
      <c r="I6" s="56">
        <f>'Cost Sheet'!I11</f>
        <v>4157.7920671229049</v>
      </c>
      <c r="J6" s="56">
        <f>'Cost Sheet'!J11</f>
        <v>4485.3387282308886</v>
      </c>
      <c r="K6" s="56">
        <f>'Cost Sheet'!K11</f>
        <v>4854.3060935650446</v>
      </c>
      <c r="L6" s="56">
        <f>'Cost Sheet'!L11</f>
        <v>5247.7624774296664</v>
      </c>
      <c r="M6" s="103"/>
    </row>
    <row r="7" spans="1:13" ht="14.25" customHeight="1">
      <c r="A7" s="16"/>
      <c r="B7" s="7" t="s">
        <v>17</v>
      </c>
      <c r="C7" s="8">
        <v>972.21</v>
      </c>
      <c r="D7" s="8">
        <v>753.63</v>
      </c>
      <c r="E7" s="8">
        <v>665.8</v>
      </c>
      <c r="F7" s="8">
        <v>802.98</v>
      </c>
      <c r="G7" s="8">
        <v>674.62</v>
      </c>
      <c r="H7" s="56">
        <f>'Cost Sheet'!H14</f>
        <v>621.42462654731901</v>
      </c>
      <c r="I7" s="56">
        <f>'Cost Sheet'!I14</f>
        <v>664.55148131119961</v>
      </c>
      <c r="J7" s="56">
        <f>'Cost Sheet'!J14</f>
        <v>708.81193427082462</v>
      </c>
      <c r="K7" s="56">
        <f>'Cost Sheet'!K14</f>
        <v>758.55693345728741</v>
      </c>
      <c r="L7" s="56">
        <f>'Cost Sheet'!L14</f>
        <v>810.98823487318361</v>
      </c>
      <c r="M7" s="103"/>
    </row>
    <row r="8" spans="1:13" ht="14.25" customHeight="1">
      <c r="A8" s="16"/>
      <c r="B8" s="7" t="s">
        <v>18</v>
      </c>
      <c r="C8" s="8">
        <v>-70.53</v>
      </c>
      <c r="D8" s="8">
        <v>-23.02</v>
      </c>
      <c r="E8" s="8">
        <v>-65.930000000000007</v>
      </c>
      <c r="F8" s="8">
        <v>12.64</v>
      </c>
      <c r="G8" s="8">
        <v>-65.040000000000006</v>
      </c>
      <c r="H8" s="56">
        <f>'Cost Sheet'!H15</f>
        <v>-66.33955103688352</v>
      </c>
      <c r="I8" s="56">
        <f>'Cost Sheet'!I15</f>
        <v>-45.046985224036234</v>
      </c>
      <c r="J8" s="56">
        <f>'Cost Sheet'!J15</f>
        <v>-48.047204208647472</v>
      </c>
      <c r="K8" s="56">
        <f>'Cost Sheet'!K15</f>
        <v>-51.419196155608347</v>
      </c>
      <c r="L8" s="56">
        <f>'Cost Sheet'!L15</f>
        <v>-54.973280566794593</v>
      </c>
      <c r="M8" s="103"/>
    </row>
    <row r="9" spans="1:13" ht="14.25" customHeight="1" thickBot="1">
      <c r="A9" s="16"/>
      <c r="B9" s="9" t="s">
        <v>19</v>
      </c>
      <c r="C9" s="10">
        <v>259.98</v>
      </c>
      <c r="D9" s="10">
        <v>257.05</v>
      </c>
      <c r="E9" s="10">
        <v>281.12</v>
      </c>
      <c r="F9" s="10">
        <v>318.26</v>
      </c>
      <c r="G9" s="10">
        <v>348.52</v>
      </c>
      <c r="H9" s="70">
        <f>'Cost Sheet'!H16</f>
        <v>359.92245470293966</v>
      </c>
      <c r="I9" s="70">
        <f>'Cost Sheet'!I16</f>
        <v>389.64786106128059</v>
      </c>
      <c r="J9" s="70">
        <f>'Cost Sheet'!J16</f>
        <v>420.66212747772238</v>
      </c>
      <c r="K9" s="70">
        <f>'Cost Sheet'!K16</f>
        <v>455.6028022089946</v>
      </c>
      <c r="L9" s="70">
        <f>'Cost Sheet'!L16</f>
        <v>492.88674861408032</v>
      </c>
      <c r="M9" s="103"/>
    </row>
    <row r="10" spans="1:13" ht="14.25" customHeight="1">
      <c r="A10" s="16"/>
      <c r="B10" s="3" t="s">
        <v>20</v>
      </c>
      <c r="C10" s="4">
        <f>C4-SUM(C5:C9)</f>
        <v>3759.2300000000005</v>
      </c>
      <c r="D10" s="41">
        <f t="shared" ref="D10:L10" si="1">D4-SUM(D5:D9)</f>
        <v>3601.1699999999992</v>
      </c>
      <c r="E10" s="41">
        <f t="shared" si="1"/>
        <v>3620.8099999999995</v>
      </c>
      <c r="F10" s="41">
        <f t="shared" si="1"/>
        <v>3905.7599999999993</v>
      </c>
      <c r="G10" s="41">
        <f t="shared" si="1"/>
        <v>3994.83</v>
      </c>
      <c r="H10" s="71">
        <f t="shared" si="1"/>
        <v>4099.9573771892956</v>
      </c>
      <c r="I10" s="71">
        <f t="shared" si="1"/>
        <v>4307.6981658886443</v>
      </c>
      <c r="J10" s="71">
        <f t="shared" si="1"/>
        <v>4540.1691895267068</v>
      </c>
      <c r="K10" s="71">
        <f t="shared" si="1"/>
        <v>4800.5309877426726</v>
      </c>
      <c r="L10" s="71">
        <f t="shared" si="1"/>
        <v>5069.9320321239138</v>
      </c>
      <c r="M10" s="103"/>
    </row>
    <row r="11" spans="1:13" ht="14.25" customHeight="1">
      <c r="A11" s="16"/>
      <c r="B11" s="5"/>
      <c r="C11" s="6"/>
      <c r="D11" s="6"/>
      <c r="E11" s="6"/>
      <c r="F11" s="6"/>
      <c r="G11" s="6"/>
      <c r="H11" s="56"/>
      <c r="I11" s="56"/>
      <c r="J11" s="56"/>
      <c r="K11" s="56"/>
      <c r="L11" s="56"/>
      <c r="M11" s="103"/>
    </row>
    <row r="12" spans="1:13" ht="14.25" customHeight="1" thickBot="1">
      <c r="A12" s="16"/>
      <c r="B12" s="43" t="s">
        <v>331</v>
      </c>
      <c r="C12" s="8"/>
      <c r="D12" s="8"/>
      <c r="E12" s="8"/>
      <c r="F12" s="8"/>
      <c r="G12" s="8"/>
      <c r="H12" s="56"/>
      <c r="I12" s="56"/>
      <c r="J12" s="56"/>
      <c r="K12" s="56"/>
      <c r="L12" s="56"/>
      <c r="M12" s="103"/>
    </row>
    <row r="13" spans="1:13" ht="14.25" customHeight="1">
      <c r="A13" s="16"/>
      <c r="B13" s="7" t="s">
        <v>21</v>
      </c>
      <c r="C13" s="8">
        <v>794.82</v>
      </c>
      <c r="D13" s="8">
        <v>789.61</v>
      </c>
      <c r="E13" s="8">
        <v>792.79</v>
      </c>
      <c r="F13" s="8">
        <v>937.91</v>
      </c>
      <c r="G13" s="8">
        <v>947.74</v>
      </c>
      <c r="H13" s="70">
        <f>'Cost Sheet'!H20</f>
        <v>945.21490210162358</v>
      </c>
      <c r="I13" s="70">
        <f>'Cost Sheet'!I20</f>
        <v>991.64175493659548</v>
      </c>
      <c r="J13" s="70">
        <f>'Cost Sheet'!J20</f>
        <v>1004.3153563272856</v>
      </c>
      <c r="K13" s="70">
        <f>'Cost Sheet'!K20</f>
        <v>1023.9141328323084</v>
      </c>
      <c r="L13" s="70">
        <f>'Cost Sheet'!L20</f>
        <v>1061.7881743215889</v>
      </c>
      <c r="M13" s="103"/>
    </row>
    <row r="14" spans="1:13" ht="14.25" customHeight="1">
      <c r="A14" s="16"/>
      <c r="B14" s="7" t="s">
        <v>22</v>
      </c>
      <c r="C14" s="8">
        <v>771.63</v>
      </c>
      <c r="D14" s="8">
        <v>646.14</v>
      </c>
      <c r="E14" s="8">
        <v>606.71</v>
      </c>
      <c r="F14" s="8">
        <v>608.33000000000004</v>
      </c>
      <c r="G14" s="8">
        <v>649.98</v>
      </c>
      <c r="H14" s="70">
        <f>'Cost Sheet'!H21</f>
        <v>577.03715322251048</v>
      </c>
      <c r="I14" s="70">
        <f>'Cost Sheet'!I21</f>
        <v>617.08351836039958</v>
      </c>
      <c r="J14" s="70">
        <f>'Cost Sheet'!J21</f>
        <v>658.1825103943371</v>
      </c>
      <c r="K14" s="70">
        <f>'Cost Sheet'!K21</f>
        <v>677.28297630114946</v>
      </c>
      <c r="L14" s="70">
        <f>'Cost Sheet'!L21</f>
        <v>724.09663827962811</v>
      </c>
      <c r="M14" s="103"/>
    </row>
    <row r="15" spans="1:13" ht="14.25" customHeight="1" thickBot="1">
      <c r="A15" s="16"/>
      <c r="B15" s="7" t="s">
        <v>23</v>
      </c>
      <c r="C15" s="8">
        <v>675.22</v>
      </c>
      <c r="D15" s="8">
        <v>656.48</v>
      </c>
      <c r="E15" s="8">
        <v>603.87</v>
      </c>
      <c r="F15" s="8">
        <v>619.96</v>
      </c>
      <c r="G15" s="8">
        <v>604.76</v>
      </c>
      <c r="H15" s="70">
        <f>'Cost Sheet'!H22</f>
        <v>577.03715322251048</v>
      </c>
      <c r="I15" s="70">
        <f>'Cost Sheet'!I22</f>
        <v>617.08351836039958</v>
      </c>
      <c r="J15" s="70">
        <f>'Cost Sheet'!J22</f>
        <v>658.1825103943371</v>
      </c>
      <c r="K15" s="70">
        <f>'Cost Sheet'!K22</f>
        <v>704.37429535319541</v>
      </c>
      <c r="L15" s="70">
        <f>'Cost Sheet'!L22</f>
        <v>753.06050381081332</v>
      </c>
      <c r="M15" s="103"/>
    </row>
    <row r="16" spans="1:13" ht="14.25" customHeight="1">
      <c r="A16" s="16"/>
      <c r="B16" s="3" t="s">
        <v>24</v>
      </c>
      <c r="C16" s="4">
        <f>C10-SUM(C13:C15)</f>
        <v>1517.5600000000004</v>
      </c>
      <c r="D16" s="41">
        <f t="shared" ref="D16:L16" si="2">D10-SUM(D13:D15)</f>
        <v>1508.9399999999991</v>
      </c>
      <c r="E16" s="41">
        <f t="shared" si="2"/>
        <v>1617.4399999999996</v>
      </c>
      <c r="F16" s="41">
        <f t="shared" si="2"/>
        <v>1739.5599999999995</v>
      </c>
      <c r="G16" s="41">
        <f t="shared" si="2"/>
        <v>1792.35</v>
      </c>
      <c r="H16" s="71">
        <f t="shared" si="2"/>
        <v>2000.6681686426509</v>
      </c>
      <c r="I16" s="71">
        <f t="shared" si="2"/>
        <v>2081.8893742312498</v>
      </c>
      <c r="J16" s="71">
        <f t="shared" si="2"/>
        <v>2219.488812410747</v>
      </c>
      <c r="K16" s="71">
        <f t="shared" si="2"/>
        <v>2394.9595832560194</v>
      </c>
      <c r="L16" s="71">
        <f t="shared" si="2"/>
        <v>2530.9867157118833</v>
      </c>
      <c r="M16" s="103"/>
    </row>
    <row r="17" spans="1:13" ht="14.25" customHeight="1">
      <c r="A17" s="16"/>
      <c r="B17" s="7"/>
      <c r="C17" s="8"/>
      <c r="D17" s="8"/>
      <c r="E17" s="8"/>
      <c r="F17" s="8"/>
      <c r="G17" s="8"/>
      <c r="H17" s="70"/>
      <c r="I17" s="70"/>
      <c r="J17" s="70"/>
      <c r="K17" s="70"/>
      <c r="L17" s="70"/>
      <c r="M17" s="103"/>
    </row>
    <row r="18" spans="1:13" ht="14.25" customHeight="1" thickBot="1">
      <c r="A18" s="16"/>
      <c r="B18" s="7" t="s">
        <v>25</v>
      </c>
      <c r="C18" s="8">
        <v>133.19</v>
      </c>
      <c r="D18" s="8">
        <v>142.86000000000001</v>
      </c>
      <c r="E18" s="8">
        <v>162.18</v>
      </c>
      <c r="F18" s="8">
        <v>176.9</v>
      </c>
      <c r="G18" s="8">
        <v>220.45</v>
      </c>
      <c r="H18" s="70">
        <f>'Depriciation Schedule'!H180</f>
        <v>196.29376540697336</v>
      </c>
      <c r="I18" s="70">
        <f>'Depriciation Schedule'!I180</f>
        <v>217.60833758959694</v>
      </c>
      <c r="J18" s="70">
        <f>'Depriciation Schedule'!J180</f>
        <v>240.24259976564846</v>
      </c>
      <c r="K18" s="70">
        <f>'Depriciation Schedule'!K180</f>
        <v>264.36008168437502</v>
      </c>
      <c r="L18" s="70">
        <f>'Depriciation Schedule'!L180</f>
        <v>290.04087936681691</v>
      </c>
      <c r="M18" s="103"/>
    </row>
    <row r="19" spans="1:13" ht="14.25" customHeight="1">
      <c r="A19" s="16"/>
      <c r="B19" s="3" t="s">
        <v>26</v>
      </c>
      <c r="C19" s="4">
        <f>C16-C18</f>
        <v>1384.3700000000003</v>
      </c>
      <c r="D19" s="41">
        <f t="shared" ref="D19:L19" si="3">D16-D18</f>
        <v>1366.079999999999</v>
      </c>
      <c r="E19" s="41">
        <f t="shared" si="3"/>
        <v>1455.2599999999995</v>
      </c>
      <c r="F19" s="41">
        <f t="shared" si="3"/>
        <v>1562.6599999999994</v>
      </c>
      <c r="G19" s="41">
        <f t="shared" si="3"/>
        <v>1571.8999999999999</v>
      </c>
      <c r="H19" s="71">
        <f t="shared" si="3"/>
        <v>1804.3744032356776</v>
      </c>
      <c r="I19" s="71">
        <f t="shared" si="3"/>
        <v>1864.2810366416529</v>
      </c>
      <c r="J19" s="71">
        <f t="shared" si="3"/>
        <v>1979.2462126450985</v>
      </c>
      <c r="K19" s="71">
        <f t="shared" si="3"/>
        <v>2130.5995015716444</v>
      </c>
      <c r="L19" s="71">
        <f t="shared" si="3"/>
        <v>2240.9458363450663</v>
      </c>
      <c r="M19" s="103"/>
    </row>
    <row r="20" spans="1:13" ht="14.25" customHeight="1">
      <c r="A20" s="16"/>
      <c r="B20" s="7"/>
      <c r="C20" s="8"/>
      <c r="D20" s="8"/>
      <c r="E20" s="8"/>
      <c r="F20" s="8"/>
      <c r="G20" s="8"/>
      <c r="H20" s="70"/>
      <c r="I20" s="70"/>
      <c r="J20" s="70"/>
      <c r="K20" s="70"/>
      <c r="L20" s="70"/>
      <c r="M20" s="103"/>
    </row>
    <row r="21" spans="1:13" ht="14.25" customHeight="1">
      <c r="A21" s="16"/>
      <c r="B21" s="7" t="s">
        <v>27</v>
      </c>
      <c r="C21" s="8">
        <v>-0.01</v>
      </c>
      <c r="D21" s="8">
        <v>0.25</v>
      </c>
      <c r="E21" s="8">
        <v>0.24</v>
      </c>
      <c r="F21" s="8">
        <v>0.96</v>
      </c>
      <c r="G21" s="8">
        <v>-0.01</v>
      </c>
      <c r="H21" s="70" t="s">
        <v>217</v>
      </c>
      <c r="I21" s="70" t="s">
        <v>217</v>
      </c>
      <c r="J21" s="70" t="s">
        <v>217</v>
      </c>
      <c r="K21" s="70" t="s">
        <v>217</v>
      </c>
      <c r="L21" s="70" t="s">
        <v>217</v>
      </c>
      <c r="M21" s="103"/>
    </row>
    <row r="22" spans="1:13" ht="14.25" customHeight="1">
      <c r="A22" s="16"/>
      <c r="B22" s="7" t="s">
        <v>28</v>
      </c>
      <c r="C22" s="8">
        <v>0</v>
      </c>
      <c r="D22" s="8">
        <v>0</v>
      </c>
      <c r="E22" s="8">
        <v>-14.51</v>
      </c>
      <c r="F22" s="8">
        <v>-75.34</v>
      </c>
      <c r="G22" s="8">
        <v>-100</v>
      </c>
      <c r="H22" s="70" t="s">
        <v>217</v>
      </c>
      <c r="I22" s="70" t="s">
        <v>217</v>
      </c>
      <c r="J22" s="70" t="s">
        <v>217</v>
      </c>
      <c r="K22" s="70" t="s">
        <v>217</v>
      </c>
      <c r="L22" s="70" t="s">
        <v>217</v>
      </c>
      <c r="M22" s="103"/>
    </row>
    <row r="23" spans="1:13" ht="14.25" customHeight="1">
      <c r="A23" s="16"/>
      <c r="B23" s="7" t="s">
        <v>29</v>
      </c>
      <c r="C23" s="42">
        <v>217.19</v>
      </c>
      <c r="D23" s="42">
        <v>298.35000000000002</v>
      </c>
      <c r="E23" s="42">
        <v>305.18</v>
      </c>
      <c r="F23" s="42">
        <v>296.17</v>
      </c>
      <c r="G23" s="42">
        <v>305.29000000000002</v>
      </c>
      <c r="H23" s="56" t="s">
        <v>217</v>
      </c>
      <c r="I23" s="56" t="s">
        <v>217</v>
      </c>
      <c r="J23" s="56" t="s">
        <v>217</v>
      </c>
      <c r="K23" s="56" t="s">
        <v>217</v>
      </c>
      <c r="L23" s="56" t="s">
        <v>217</v>
      </c>
      <c r="M23" s="103"/>
    </row>
    <row r="24" spans="1:13" ht="14.25" customHeight="1" thickBot="1">
      <c r="A24" s="16"/>
      <c r="B24" s="7" t="s">
        <v>30</v>
      </c>
      <c r="C24" s="8">
        <v>48.48</v>
      </c>
      <c r="D24" s="8">
        <v>54.03</v>
      </c>
      <c r="E24" s="8">
        <v>53.05</v>
      </c>
      <c r="F24" s="8">
        <v>59.58</v>
      </c>
      <c r="G24" s="8">
        <v>49.54</v>
      </c>
      <c r="H24" s="56">
        <f>G24</f>
        <v>49.54</v>
      </c>
      <c r="I24" s="56">
        <f t="shared" ref="I24:L24" si="4">H24</f>
        <v>49.54</v>
      </c>
      <c r="J24" s="56">
        <f t="shared" si="4"/>
        <v>49.54</v>
      </c>
      <c r="K24" s="56">
        <f t="shared" si="4"/>
        <v>49.54</v>
      </c>
      <c r="L24" s="56">
        <f t="shared" si="4"/>
        <v>49.54</v>
      </c>
      <c r="M24" s="103"/>
    </row>
    <row r="25" spans="1:13" ht="14.25" customHeight="1">
      <c r="A25" s="16"/>
      <c r="B25" s="3" t="s">
        <v>31</v>
      </c>
      <c r="C25" s="4">
        <f>C19+C21+C22+C23-C24</f>
        <v>1553.0700000000004</v>
      </c>
      <c r="D25" s="41">
        <f t="shared" ref="D25:G25" si="5">D19+D21+D22+D23-D24</f>
        <v>1610.649999999999</v>
      </c>
      <c r="E25" s="41">
        <f t="shared" si="5"/>
        <v>1693.1199999999997</v>
      </c>
      <c r="F25" s="41">
        <f t="shared" si="5"/>
        <v>1724.8699999999997</v>
      </c>
      <c r="G25" s="41">
        <f t="shared" si="5"/>
        <v>1727.6399999999999</v>
      </c>
      <c r="H25" s="71">
        <f>H19-SUM(H21:H24)</f>
        <v>1754.8344032356777</v>
      </c>
      <c r="I25" s="71">
        <f t="shared" ref="I25:L25" si="6">I19-SUM(I21:I24)</f>
        <v>1814.741036641653</v>
      </c>
      <c r="J25" s="71">
        <f t="shared" si="6"/>
        <v>1929.7062126450985</v>
      </c>
      <c r="K25" s="71">
        <f t="shared" si="6"/>
        <v>2081.0595015716444</v>
      </c>
      <c r="L25" s="71">
        <f t="shared" si="6"/>
        <v>2191.4058363450663</v>
      </c>
      <c r="M25" s="103"/>
    </row>
    <row r="26" spans="1:13" ht="14.25" customHeight="1">
      <c r="A26" s="16"/>
      <c r="B26" s="7"/>
      <c r="C26" s="8"/>
      <c r="D26" s="8"/>
      <c r="E26" s="8"/>
      <c r="F26" s="8"/>
      <c r="G26" s="8"/>
      <c r="H26" s="56"/>
      <c r="I26" s="56"/>
      <c r="J26" s="56"/>
      <c r="K26" s="56"/>
      <c r="L26" s="56"/>
      <c r="M26" s="103"/>
    </row>
    <row r="27" spans="1:13" ht="14.25" customHeight="1">
      <c r="A27" s="16"/>
      <c r="B27" s="7" t="s">
        <v>32</v>
      </c>
      <c r="C27" s="8">
        <v>299.89999999999998</v>
      </c>
      <c r="D27" s="8">
        <v>330.34</v>
      </c>
      <c r="E27" s="8">
        <v>335.34999999999997</v>
      </c>
      <c r="F27" s="8">
        <v>278.62</v>
      </c>
      <c r="G27" s="8">
        <v>279.72000000000003</v>
      </c>
      <c r="H27" s="56">
        <f>'Cost Sheet'!H48</f>
        <v>322.78591188956233</v>
      </c>
      <c r="I27" s="56">
        <f>'Cost Sheet'!I48</f>
        <v>333.80519510883738</v>
      </c>
      <c r="J27" s="56">
        <f>'Cost Sheet'!J48</f>
        <v>354.95199910549485</v>
      </c>
      <c r="K27" s="56">
        <f>'Cost Sheet'!K48</f>
        <v>382.79206725868244</v>
      </c>
      <c r="L27" s="56">
        <f>'Cost Sheet'!L48</f>
        <v>403.08927719930966</v>
      </c>
      <c r="M27" s="103"/>
    </row>
    <row r="28" spans="1:13" ht="14.25" customHeight="1" thickBot="1">
      <c r="A28" s="16"/>
      <c r="B28" s="11" t="s">
        <v>33</v>
      </c>
      <c r="C28" s="12">
        <v>-2.74</v>
      </c>
      <c r="D28" s="12">
        <v>-3.37</v>
      </c>
      <c r="E28" s="12">
        <v>-3.35</v>
      </c>
      <c r="F28" s="12">
        <v>-3.92</v>
      </c>
      <c r="G28" s="12">
        <v>-2.96</v>
      </c>
      <c r="H28" s="56" t="s">
        <v>217</v>
      </c>
      <c r="I28" s="56" t="s">
        <v>217</v>
      </c>
      <c r="J28" s="56" t="s">
        <v>217</v>
      </c>
      <c r="K28" s="56" t="s">
        <v>217</v>
      </c>
      <c r="L28" s="56" t="s">
        <v>217</v>
      </c>
      <c r="M28" s="103"/>
    </row>
    <row r="29" spans="1:13" ht="14.25" customHeight="1" thickBot="1">
      <c r="A29" s="16"/>
      <c r="B29" s="13" t="s">
        <v>34</v>
      </c>
      <c r="C29" s="14">
        <f>C25-C27+C28</f>
        <v>1250.4300000000005</v>
      </c>
      <c r="D29" s="45">
        <f t="shared" ref="D29:G29" si="7">D25-D27+D28</f>
        <v>1276.9399999999991</v>
      </c>
      <c r="E29" s="45">
        <f t="shared" si="7"/>
        <v>1354.4199999999998</v>
      </c>
      <c r="F29" s="45">
        <f t="shared" si="7"/>
        <v>1442.3299999999995</v>
      </c>
      <c r="G29" s="45">
        <f t="shared" si="7"/>
        <v>1444.9599999999998</v>
      </c>
      <c r="H29" s="45">
        <f>H25-H27</f>
        <v>1432.0484913461153</v>
      </c>
      <c r="I29" s="45">
        <f t="shared" ref="I29:L29" si="8">I25-I27</f>
        <v>1480.9358415328156</v>
      </c>
      <c r="J29" s="45">
        <f t="shared" si="8"/>
        <v>1574.7542135396036</v>
      </c>
      <c r="K29" s="45">
        <f t="shared" si="8"/>
        <v>1698.267434312962</v>
      </c>
      <c r="L29" s="45">
        <f t="shared" si="8"/>
        <v>1788.3165591457566</v>
      </c>
      <c r="M29" s="103"/>
    </row>
    <row r="30" spans="1:13" ht="14.25" customHeight="1">
      <c r="A30" s="16"/>
      <c r="H30" s="42"/>
      <c r="I30" s="42"/>
      <c r="J30" s="42"/>
      <c r="K30" s="42"/>
      <c r="L30" s="42"/>
    </row>
    <row r="31" spans="1:13" ht="14.25" customHeight="1">
      <c r="A31" s="16"/>
      <c r="H31" s="42"/>
      <c r="I31" s="42"/>
      <c r="J31" s="42"/>
      <c r="K31" s="42"/>
      <c r="L31" s="42"/>
    </row>
    <row r="32" spans="1:13" ht="14.25" customHeight="1">
      <c r="A32" s="16"/>
      <c r="H32" s="107"/>
      <c r="I32" s="107"/>
      <c r="J32" s="107"/>
      <c r="K32" s="107"/>
      <c r="L32" s="107"/>
    </row>
    <row r="33" spans="1:12" ht="14.25" customHeight="1">
      <c r="A33" s="16"/>
      <c r="H33" s="107"/>
      <c r="I33" s="107"/>
      <c r="J33" s="107"/>
      <c r="K33" s="107"/>
      <c r="L33" s="107"/>
    </row>
    <row r="34" spans="1:12" ht="14.25" customHeight="1">
      <c r="A34" s="16"/>
      <c r="H34" s="107"/>
      <c r="I34" s="107"/>
      <c r="J34" s="107"/>
      <c r="K34" s="107"/>
      <c r="L34" s="107"/>
    </row>
    <row r="35" spans="1:12" ht="14.25" customHeight="1">
      <c r="A35" s="16"/>
      <c r="H35" s="42"/>
      <c r="I35" s="42"/>
      <c r="J35" s="42"/>
      <c r="K35" s="42"/>
      <c r="L35" s="42"/>
    </row>
    <row r="36" spans="1:12" ht="14.25" customHeight="1">
      <c r="A36" s="16"/>
      <c r="H36" s="42"/>
      <c r="I36" s="42"/>
      <c r="J36" s="42"/>
      <c r="K36" s="42"/>
      <c r="L36" s="42"/>
    </row>
    <row r="37" spans="1:12" ht="14.25" customHeight="1">
      <c r="A37" s="16"/>
      <c r="H37" s="42"/>
      <c r="I37" s="42"/>
      <c r="J37" s="42"/>
      <c r="K37" s="42"/>
      <c r="L37" s="42"/>
    </row>
    <row r="38" spans="1:12" ht="14.25" customHeight="1">
      <c r="A38" s="16"/>
      <c r="H38" s="42"/>
      <c r="I38" s="42"/>
      <c r="J38" s="42"/>
      <c r="K38" s="42"/>
      <c r="L38" s="42"/>
    </row>
    <row r="39" spans="1:12" ht="14.25" customHeight="1">
      <c r="A39" s="16"/>
      <c r="H39" s="42"/>
      <c r="I39" s="42"/>
      <c r="J39" s="42"/>
      <c r="K39" s="42"/>
      <c r="L39" s="42"/>
    </row>
    <row r="40" spans="1:12" ht="14.25" customHeight="1">
      <c r="A40" s="16"/>
      <c r="H40" s="42"/>
      <c r="I40" s="42"/>
      <c r="J40" s="42"/>
      <c r="K40" s="42"/>
      <c r="L40" s="42"/>
    </row>
    <row r="41" spans="1:12" ht="14.25" customHeight="1">
      <c r="A41" s="16"/>
      <c r="H41" s="42"/>
      <c r="I41" s="42"/>
      <c r="J41" s="42"/>
      <c r="K41" s="42"/>
      <c r="L41" s="42"/>
    </row>
    <row r="42" spans="1:12" ht="14.25" customHeight="1">
      <c r="A42" s="16"/>
      <c r="H42" s="42"/>
      <c r="I42" s="42"/>
      <c r="J42" s="42"/>
      <c r="K42" s="42"/>
      <c r="L42" s="42"/>
    </row>
    <row r="43" spans="1:12" ht="14.25" customHeight="1">
      <c r="A43" s="16"/>
      <c r="H43" s="42"/>
      <c r="I43" s="42"/>
      <c r="J43" s="42"/>
      <c r="K43" s="42"/>
      <c r="L43" s="42"/>
    </row>
    <row r="44" spans="1:12" ht="14.25" customHeight="1">
      <c r="A44" s="16"/>
      <c r="H44" s="42"/>
      <c r="I44" s="42"/>
      <c r="J44" s="42"/>
      <c r="K44" s="42"/>
      <c r="L44" s="42"/>
    </row>
    <row r="45" spans="1:12" ht="14.25" customHeight="1">
      <c r="A45" s="16"/>
      <c r="H45" s="42"/>
      <c r="I45" s="42"/>
      <c r="J45" s="42"/>
      <c r="K45" s="42"/>
      <c r="L45" s="42"/>
    </row>
    <row r="46" spans="1:12" ht="14.25" customHeight="1">
      <c r="A46" s="16"/>
      <c r="H46" s="42"/>
      <c r="I46" s="42"/>
      <c r="J46" s="42"/>
      <c r="K46" s="42"/>
      <c r="L46" s="42"/>
    </row>
    <row r="47" spans="1:12" ht="14.25" customHeight="1">
      <c r="A47" s="16"/>
      <c r="H47" s="42"/>
      <c r="I47" s="42"/>
      <c r="J47" s="42"/>
      <c r="K47" s="42"/>
      <c r="L47" s="42"/>
    </row>
    <row r="48" spans="1:12" ht="14.25" customHeight="1">
      <c r="A48" s="16"/>
      <c r="H48" s="42"/>
      <c r="I48" s="42">
        <f t="shared" ref="I48:L48" si="9">H48</f>
        <v>0</v>
      </c>
      <c r="J48" s="42">
        <f t="shared" si="9"/>
        <v>0</v>
      </c>
      <c r="K48" s="42">
        <f t="shared" si="9"/>
        <v>0</v>
      </c>
      <c r="L48" s="42">
        <f t="shared" si="9"/>
        <v>0</v>
      </c>
    </row>
    <row r="49" spans="1:12" ht="14.25" customHeight="1">
      <c r="A49" s="16"/>
      <c r="H49" s="42"/>
      <c r="I49" s="42"/>
      <c r="J49" s="42"/>
      <c r="K49" s="42"/>
      <c r="L49" s="42"/>
    </row>
    <row r="50" spans="1:12" ht="14.25" customHeight="1">
      <c r="A50" s="16"/>
      <c r="H50" s="42"/>
      <c r="I50" s="42"/>
      <c r="J50" s="42"/>
      <c r="K50" s="42"/>
      <c r="L50" s="42"/>
    </row>
    <row r="51" spans="1:12" ht="14.25" customHeight="1">
      <c r="A51" s="16"/>
      <c r="H51" s="42"/>
      <c r="I51" s="42"/>
      <c r="J51" s="42"/>
      <c r="K51" s="42"/>
      <c r="L51" s="42"/>
    </row>
    <row r="52" spans="1:12" ht="14.25" customHeight="1">
      <c r="A52" s="16"/>
      <c r="H52" s="42"/>
      <c r="I52" s="42"/>
      <c r="J52" s="42"/>
      <c r="K52" s="42"/>
      <c r="L52" s="42"/>
    </row>
    <row r="53" spans="1:12" ht="14.25" customHeight="1">
      <c r="A53" s="16"/>
      <c r="H53" s="42"/>
      <c r="I53" s="42"/>
      <c r="J53" s="42"/>
      <c r="K53" s="42"/>
      <c r="L53" s="42"/>
    </row>
    <row r="54" spans="1:12" ht="14.25" customHeight="1">
      <c r="A54" s="16"/>
      <c r="H54" s="42"/>
      <c r="I54" s="42"/>
      <c r="J54" s="42"/>
      <c r="K54" s="42"/>
      <c r="L54" s="42"/>
    </row>
    <row r="55" spans="1:12" ht="14.25" customHeight="1">
      <c r="A55" s="16"/>
      <c r="H55" s="42"/>
      <c r="I55" s="42"/>
      <c r="J55" s="42"/>
      <c r="K55" s="42"/>
      <c r="L55" s="42"/>
    </row>
    <row r="56" spans="1:12" ht="14.25" customHeight="1">
      <c r="A56" s="16"/>
      <c r="H56" s="42"/>
      <c r="I56" s="42"/>
      <c r="J56" s="42"/>
      <c r="K56" s="42"/>
      <c r="L56" s="42"/>
    </row>
    <row r="57" spans="1:12" ht="14.25" customHeight="1">
      <c r="A57" s="16"/>
      <c r="H57" s="42"/>
      <c r="I57" s="42">
        <f t="shared" ref="I57:L57" si="10">H57</f>
        <v>0</v>
      </c>
      <c r="J57" s="42">
        <f t="shared" si="10"/>
        <v>0</v>
      </c>
      <c r="K57" s="42">
        <f t="shared" si="10"/>
        <v>0</v>
      </c>
      <c r="L57" s="42">
        <f t="shared" si="10"/>
        <v>0</v>
      </c>
    </row>
    <row r="58" spans="1:12" ht="12.75" customHeight="1">
      <c r="A58" s="16"/>
      <c r="H58" s="42"/>
      <c r="I58" s="42">
        <f t="shared" ref="I58:L58" si="11">H58</f>
        <v>0</v>
      </c>
      <c r="J58" s="42">
        <f t="shared" si="11"/>
        <v>0</v>
      </c>
      <c r="K58" s="42">
        <f t="shared" si="11"/>
        <v>0</v>
      </c>
      <c r="L58" s="42">
        <f t="shared" si="11"/>
        <v>0</v>
      </c>
    </row>
    <row r="59" spans="1:12" ht="12.75" customHeight="1">
      <c r="A59" s="16"/>
      <c r="H59" s="42"/>
      <c r="I59" s="42"/>
      <c r="J59" s="42"/>
      <c r="K59" s="42"/>
      <c r="L59" s="42"/>
    </row>
    <row r="60" spans="1:12" ht="12.75" customHeight="1">
      <c r="A60" s="16"/>
      <c r="H60" s="42"/>
      <c r="I60" s="42"/>
      <c r="J60" s="42"/>
      <c r="K60" s="42"/>
      <c r="L60" s="42"/>
    </row>
    <row r="61" spans="1:12" ht="12.75" customHeight="1">
      <c r="A61" s="16"/>
      <c r="H61" s="42"/>
      <c r="I61" s="42"/>
      <c r="J61" s="42"/>
      <c r="K61" s="42"/>
      <c r="L61" s="42"/>
    </row>
    <row r="62" spans="1:12" ht="12.75" customHeight="1">
      <c r="A62" s="16"/>
      <c r="H62" s="42"/>
      <c r="I62" s="42"/>
      <c r="J62" s="42"/>
      <c r="K62" s="42"/>
      <c r="L62" s="42"/>
    </row>
    <row r="63" spans="1:12" ht="12.75" customHeight="1">
      <c r="A63" s="16"/>
      <c r="H63" s="42"/>
      <c r="I63" s="42"/>
      <c r="J63" s="42"/>
      <c r="K63" s="42"/>
      <c r="L63" s="42"/>
    </row>
    <row r="64" spans="1:12" ht="12.75" customHeight="1">
      <c r="A64" s="16"/>
      <c r="H64" s="42"/>
      <c r="I64" s="42"/>
      <c r="J64" s="42"/>
      <c r="K64" s="42"/>
      <c r="L64" s="42"/>
    </row>
    <row r="65" spans="1:12" ht="12.75" customHeight="1">
      <c r="A65" s="16"/>
      <c r="H65" s="42"/>
      <c r="I65" s="42"/>
      <c r="J65" s="42"/>
      <c r="K65" s="42"/>
      <c r="L65" s="42"/>
    </row>
    <row r="66" spans="1:12" ht="12.75" customHeight="1">
      <c r="A66" s="16"/>
      <c r="H66" s="42"/>
      <c r="I66" s="42"/>
      <c r="J66" s="42"/>
      <c r="K66" s="42"/>
      <c r="L66" s="42"/>
    </row>
    <row r="67" spans="1:12" ht="12.75" customHeight="1">
      <c r="A67" s="16"/>
      <c r="H67" s="42"/>
      <c r="I67" s="42"/>
      <c r="J67" s="42"/>
      <c r="K67" s="42"/>
      <c r="L67" s="42"/>
    </row>
    <row r="68" spans="1:12" ht="12.75" customHeight="1">
      <c r="A68" s="16"/>
      <c r="H68" s="42"/>
      <c r="I68" s="42"/>
      <c r="J68" s="42"/>
      <c r="K68" s="42"/>
      <c r="L68" s="42"/>
    </row>
    <row r="69" spans="1:12" ht="12.75" customHeight="1">
      <c r="A69" s="16"/>
      <c r="H69" s="42"/>
      <c r="I69" s="42"/>
      <c r="J69" s="42"/>
      <c r="K69" s="42"/>
      <c r="L69" s="42"/>
    </row>
    <row r="70" spans="1:12" ht="12.75" customHeight="1">
      <c r="A70" s="16"/>
      <c r="H70" s="42"/>
      <c r="I70" s="42"/>
      <c r="J70" s="42"/>
      <c r="K70" s="42"/>
      <c r="L70" s="42"/>
    </row>
    <row r="71" spans="1:12" ht="12.75" customHeight="1">
      <c r="A71" s="16"/>
      <c r="H71" s="42"/>
      <c r="I71" s="42"/>
      <c r="J71" s="42"/>
      <c r="K71" s="42"/>
      <c r="L71" s="42"/>
    </row>
    <row r="72" spans="1:12" ht="12.75" customHeight="1">
      <c r="A72" s="16"/>
      <c r="H72" s="42"/>
      <c r="I72" s="42"/>
      <c r="J72" s="42"/>
      <c r="K72" s="42"/>
      <c r="L72" s="42"/>
    </row>
    <row r="73" spans="1:12" ht="12.75" customHeight="1">
      <c r="A73" s="16"/>
      <c r="H73" s="42"/>
      <c r="I73" s="42"/>
      <c r="J73" s="42"/>
      <c r="K73" s="42"/>
      <c r="L73" s="42"/>
    </row>
    <row r="74" spans="1:12" ht="12.75" customHeight="1">
      <c r="A74" s="16"/>
      <c r="H74" s="42"/>
      <c r="I74" s="42"/>
      <c r="J74" s="42"/>
      <c r="K74" s="42"/>
      <c r="L74" s="42"/>
    </row>
    <row r="75" spans="1:12" ht="12.75" customHeight="1">
      <c r="A75" s="16"/>
      <c r="H75" s="42"/>
      <c r="I75" s="42"/>
      <c r="J75" s="42"/>
      <c r="K75" s="42"/>
      <c r="L75" s="42"/>
    </row>
    <row r="76" spans="1:12" ht="12.75" customHeight="1">
      <c r="A76" s="16"/>
      <c r="H76" s="42"/>
      <c r="I76" s="42"/>
      <c r="J76" s="42"/>
      <c r="K76" s="42"/>
      <c r="L76" s="42"/>
    </row>
    <row r="77" spans="1:12" ht="12.75" customHeight="1">
      <c r="A77" s="16"/>
      <c r="H77" s="42"/>
      <c r="I77" s="42"/>
      <c r="J77" s="42"/>
      <c r="K77" s="42"/>
      <c r="L77" s="42"/>
    </row>
    <row r="78" spans="1:12" ht="12.75" customHeight="1">
      <c r="A78" s="16"/>
      <c r="H78" s="42"/>
      <c r="I78" s="42"/>
      <c r="J78" s="42"/>
      <c r="K78" s="42"/>
      <c r="L78" s="42"/>
    </row>
    <row r="79" spans="1:12" ht="12.75" customHeight="1">
      <c r="A79" s="16"/>
      <c r="H79" s="42"/>
      <c r="I79" s="42"/>
      <c r="J79" s="42"/>
      <c r="K79" s="42"/>
      <c r="L79" s="42"/>
    </row>
    <row r="80" spans="1:12" ht="12.75" customHeight="1">
      <c r="A80" s="16"/>
      <c r="H80" s="42"/>
      <c r="I80" s="42"/>
      <c r="J80" s="42"/>
      <c r="K80" s="42"/>
      <c r="L80" s="42"/>
    </row>
    <row r="81" spans="1:12" ht="12.75" customHeight="1">
      <c r="A81" s="16"/>
      <c r="H81" s="42"/>
      <c r="I81" s="42"/>
      <c r="J81" s="42"/>
      <c r="K81" s="42"/>
      <c r="L81" s="42"/>
    </row>
    <row r="82" spans="1:12" ht="12.75" customHeight="1">
      <c r="A82" s="16"/>
      <c r="H82" s="42"/>
      <c r="I82" s="42"/>
      <c r="J82" s="42"/>
      <c r="K82" s="42"/>
      <c r="L82" s="42"/>
    </row>
  </sheetData>
  <mergeCells count="2">
    <mergeCell ref="C1:G1"/>
    <mergeCell ref="H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2"/>
  <sheetViews>
    <sheetView workbookViewId="0">
      <pane xSplit="2" ySplit="2" topLeftCell="D18" activePane="bottomRight" state="frozen"/>
      <selection activeCell="H28" sqref="H28"/>
      <selection pane="topRight" activeCell="H28" sqref="H28"/>
      <selection pane="bottomLeft" activeCell="H28" sqref="H28"/>
      <selection pane="bottomRight" activeCell="G39" sqref="G39"/>
    </sheetView>
  </sheetViews>
  <sheetFormatPr defaultColWidth="25.7109375" defaultRowHeight="12.75" customHeight="1"/>
  <cols>
    <col min="1" max="1" width="1.28515625" customWidth="1"/>
    <col min="2" max="2" width="50.7109375" customWidth="1"/>
  </cols>
  <sheetData>
    <row r="1" spans="1:31" ht="36" customHeight="1">
      <c r="A1" s="21" t="s">
        <v>0</v>
      </c>
      <c r="B1" s="22"/>
      <c r="C1" s="135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</row>
    <row r="2" spans="1:31" ht="15" customHeight="1">
      <c r="A2" s="23"/>
      <c r="B2" s="24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  <c r="M2" s="62"/>
    </row>
    <row r="3" spans="1:31" ht="14.25" customHeight="1">
      <c r="A3" s="33"/>
      <c r="B3" s="31"/>
      <c r="C3" s="27"/>
      <c r="D3" s="27"/>
      <c r="E3" s="27"/>
      <c r="F3" s="27"/>
      <c r="G3" s="27"/>
      <c r="H3" s="27"/>
      <c r="I3" s="27"/>
      <c r="J3" s="27"/>
      <c r="K3" s="27"/>
      <c r="L3" s="27"/>
      <c r="M3" s="103"/>
    </row>
    <row r="4" spans="1:31" ht="14.25" customHeight="1" thickBot="1">
      <c r="A4" s="33"/>
      <c r="B4" s="28" t="s">
        <v>35</v>
      </c>
      <c r="C4" s="27"/>
      <c r="D4" s="27"/>
      <c r="E4" s="27"/>
      <c r="F4" s="27"/>
      <c r="G4" s="27"/>
      <c r="H4" s="70"/>
      <c r="I4" s="70"/>
      <c r="J4" s="70"/>
      <c r="K4" s="70"/>
      <c r="L4" s="70"/>
      <c r="M4" s="103"/>
    </row>
    <row r="5" spans="1:31" ht="14.25" customHeight="1" thickBot="1">
      <c r="A5" s="33"/>
      <c r="B5" s="28" t="s">
        <v>36</v>
      </c>
      <c r="C5" s="27"/>
      <c r="D5" s="27"/>
      <c r="E5" s="27"/>
      <c r="F5" s="27"/>
      <c r="G5" s="27"/>
      <c r="H5" s="70"/>
      <c r="I5" s="70"/>
      <c r="J5" s="70"/>
      <c r="K5" s="70"/>
      <c r="L5" s="70"/>
      <c r="M5" s="103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ht="14.25" customHeight="1">
      <c r="A6" s="33"/>
      <c r="B6" s="32" t="s">
        <v>37</v>
      </c>
      <c r="C6" s="27">
        <v>1238.77</v>
      </c>
      <c r="D6" s="27">
        <v>1479.02</v>
      </c>
      <c r="E6" s="27">
        <v>1552.1</v>
      </c>
      <c r="F6" s="27">
        <v>1547.97</v>
      </c>
      <c r="G6" s="27">
        <v>1820.98</v>
      </c>
      <c r="H6" s="70">
        <f>'Depriciation Schedule'!H14</f>
        <v>1974.7186653441686</v>
      </c>
      <c r="I6" s="70">
        <f>'Depriciation Schedule'!I14</f>
        <v>2133.5062628097708</v>
      </c>
      <c r="J6" s="70">
        <f>'Depriciation Schedule'!J14</f>
        <v>2296.7623386024216</v>
      </c>
      <c r="K6" s="70">
        <f>'Depriciation Schedule'!K14</f>
        <v>2466.0544234308049</v>
      </c>
      <c r="L6" s="70">
        <f>'Depriciation Schedule'!L14</f>
        <v>2641.4032115427144</v>
      </c>
      <c r="M6" s="103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ht="14.25" customHeight="1">
      <c r="A7" s="33"/>
      <c r="B7" s="32" t="s">
        <v>38</v>
      </c>
      <c r="C7" s="27">
        <v>44.8</v>
      </c>
      <c r="D7" s="27">
        <v>42.1</v>
      </c>
      <c r="E7" s="27">
        <v>41.51</v>
      </c>
      <c r="F7" s="27">
        <v>63.76</v>
      </c>
      <c r="G7" s="27">
        <v>146.57</v>
      </c>
      <c r="H7" s="70">
        <f>G7</f>
        <v>146.57</v>
      </c>
      <c r="I7" s="70">
        <f t="shared" ref="I7:L7" si="0">H7</f>
        <v>146.57</v>
      </c>
      <c r="J7" s="70">
        <f t="shared" si="0"/>
        <v>146.57</v>
      </c>
      <c r="K7" s="70">
        <f t="shared" si="0"/>
        <v>146.57</v>
      </c>
      <c r="L7" s="70">
        <f t="shared" si="0"/>
        <v>146.57</v>
      </c>
      <c r="M7" s="103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ht="14.25" customHeight="1">
      <c r="A8" s="33"/>
      <c r="B8" s="32" t="s">
        <v>39</v>
      </c>
      <c r="C8" s="27">
        <v>71.59</v>
      </c>
      <c r="D8" s="27">
        <v>54.99</v>
      </c>
      <c r="E8" s="27">
        <v>54.16</v>
      </c>
      <c r="F8" s="27">
        <v>52.1</v>
      </c>
      <c r="G8" s="27">
        <v>51.55</v>
      </c>
      <c r="H8" s="70">
        <f>G8</f>
        <v>51.55</v>
      </c>
      <c r="I8" s="70">
        <f t="shared" ref="I8:L8" si="1">H8</f>
        <v>51.55</v>
      </c>
      <c r="J8" s="70">
        <f t="shared" si="1"/>
        <v>51.55</v>
      </c>
      <c r="K8" s="70">
        <f t="shared" si="1"/>
        <v>51.55</v>
      </c>
      <c r="L8" s="70">
        <f t="shared" si="1"/>
        <v>51.55</v>
      </c>
      <c r="M8" s="103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31" ht="14.25" customHeight="1">
      <c r="A9" s="33"/>
      <c r="B9" s="32" t="s">
        <v>40</v>
      </c>
      <c r="C9" s="27">
        <v>621.4</v>
      </c>
      <c r="D9" s="27">
        <v>410.53</v>
      </c>
      <c r="E9" s="27">
        <v>411.54</v>
      </c>
      <c r="F9" s="27">
        <v>336.07</v>
      </c>
      <c r="G9" s="27">
        <v>335.97</v>
      </c>
      <c r="H9" s="70">
        <f>G9</f>
        <v>335.97</v>
      </c>
      <c r="I9" s="70">
        <f t="shared" ref="I9:L9" si="2">H9</f>
        <v>335.97</v>
      </c>
      <c r="J9" s="70">
        <f t="shared" si="2"/>
        <v>335.97</v>
      </c>
      <c r="K9" s="70">
        <f t="shared" si="2"/>
        <v>335.97</v>
      </c>
      <c r="L9" s="70">
        <f t="shared" si="2"/>
        <v>335.97</v>
      </c>
      <c r="M9" s="10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pans="1:31" ht="14.25" customHeight="1">
      <c r="A10" s="33"/>
      <c r="B10" s="32" t="s">
        <v>41</v>
      </c>
      <c r="C10" s="27">
        <v>18.12</v>
      </c>
      <c r="D10" s="27">
        <v>13.86</v>
      </c>
      <c r="E10" s="27">
        <v>10.31</v>
      </c>
      <c r="F10" s="27">
        <v>32.92</v>
      </c>
      <c r="G10" s="27">
        <v>44.18</v>
      </c>
      <c r="H10" s="70">
        <f>'Depriciation Schedule'!H19</f>
        <v>43.699580433440239</v>
      </c>
      <c r="I10" s="70">
        <f>'Depriciation Schedule'!I19</f>
        <v>40.420558315274192</v>
      </c>
      <c r="J10" s="70">
        <f>'Depriciation Schedule'!J19</f>
        <v>34.223105707406916</v>
      </c>
      <c r="K10" s="70">
        <f>'Depriciation Schedule'!K19</f>
        <v>25.053277599076672</v>
      </c>
      <c r="L10" s="70">
        <f>'Depriciation Schedule'!L19</f>
        <v>12.794883704107008</v>
      </c>
      <c r="M10" s="10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31" ht="14.25" customHeight="1">
      <c r="A11" s="33"/>
      <c r="B11" s="32" t="s">
        <v>42</v>
      </c>
      <c r="C11" s="27"/>
      <c r="D11" s="27"/>
      <c r="E11" s="27"/>
      <c r="F11" s="27"/>
      <c r="G11" s="27"/>
      <c r="H11" s="70"/>
      <c r="I11" s="70"/>
      <c r="J11" s="70"/>
      <c r="K11" s="70"/>
      <c r="L11" s="70"/>
      <c r="M11" s="10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1:31" ht="14.25" customHeight="1">
      <c r="A12" s="33"/>
      <c r="B12" s="32" t="s">
        <v>43</v>
      </c>
      <c r="C12" s="27">
        <v>1787.31</v>
      </c>
      <c r="D12" s="27">
        <v>2499.41</v>
      </c>
      <c r="E12" s="27">
        <v>3091.78</v>
      </c>
      <c r="F12" s="27">
        <v>2633.35</v>
      </c>
      <c r="G12" s="27">
        <v>1409.23</v>
      </c>
      <c r="H12" s="70">
        <f t="shared" ref="H12:H17" si="3">G12</f>
        <v>1409.23</v>
      </c>
      <c r="I12" s="70">
        <f t="shared" ref="I12:L12" si="4">H12</f>
        <v>1409.23</v>
      </c>
      <c r="J12" s="70">
        <f t="shared" si="4"/>
        <v>1409.23</v>
      </c>
      <c r="K12" s="70">
        <f t="shared" si="4"/>
        <v>1409.23</v>
      </c>
      <c r="L12" s="70">
        <f t="shared" si="4"/>
        <v>1409.23</v>
      </c>
      <c r="M12" s="103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pans="1:31" ht="14.25" customHeight="1">
      <c r="A13" s="33"/>
      <c r="B13" s="32" t="s">
        <v>44</v>
      </c>
      <c r="C13" s="27">
        <v>10.47</v>
      </c>
      <c r="D13" s="27">
        <v>20.5</v>
      </c>
      <c r="E13" s="27">
        <v>13.14</v>
      </c>
      <c r="F13" s="27">
        <v>17.559999999999999</v>
      </c>
      <c r="G13" s="27">
        <v>24.64</v>
      </c>
      <c r="H13" s="70">
        <f t="shared" si="3"/>
        <v>24.64</v>
      </c>
      <c r="I13" s="70">
        <f t="shared" ref="I13:L14" si="5">H13</f>
        <v>24.64</v>
      </c>
      <c r="J13" s="70">
        <f t="shared" si="5"/>
        <v>24.64</v>
      </c>
      <c r="K13" s="70">
        <f t="shared" si="5"/>
        <v>24.64</v>
      </c>
      <c r="L13" s="70">
        <f t="shared" si="5"/>
        <v>24.64</v>
      </c>
      <c r="M13" s="103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spans="1:31" ht="14.25" customHeight="1">
      <c r="A14" s="33"/>
      <c r="B14" s="32" t="s">
        <v>45</v>
      </c>
      <c r="C14" s="27">
        <v>0.1</v>
      </c>
      <c r="D14" s="27">
        <v>12.36</v>
      </c>
      <c r="E14" s="27">
        <v>4.1100000000000003</v>
      </c>
      <c r="F14" s="27">
        <v>77.66</v>
      </c>
      <c r="G14" s="27">
        <v>528.48</v>
      </c>
      <c r="H14" s="70">
        <f t="shared" si="3"/>
        <v>528.48</v>
      </c>
      <c r="I14" s="70">
        <f t="shared" si="5"/>
        <v>528.48</v>
      </c>
      <c r="J14" s="70">
        <f t="shared" si="5"/>
        <v>528.48</v>
      </c>
      <c r="K14" s="70">
        <f t="shared" si="5"/>
        <v>528.48</v>
      </c>
      <c r="L14" s="70">
        <f t="shared" si="5"/>
        <v>528.48</v>
      </c>
      <c r="M14" s="103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spans="1:31" ht="14.25" customHeight="1">
      <c r="A15" s="33"/>
      <c r="B15" s="32" t="s">
        <v>46</v>
      </c>
      <c r="C15" s="27">
        <v>0</v>
      </c>
      <c r="D15" s="27">
        <v>0</v>
      </c>
      <c r="E15" s="27">
        <v>0</v>
      </c>
      <c r="F15" s="27">
        <v>0</v>
      </c>
      <c r="G15" s="27">
        <v>22</v>
      </c>
      <c r="H15" s="70">
        <f t="shared" si="3"/>
        <v>22</v>
      </c>
      <c r="I15" s="70">
        <f t="shared" ref="I15:L15" si="6">H15</f>
        <v>22</v>
      </c>
      <c r="J15" s="70">
        <f t="shared" si="6"/>
        <v>22</v>
      </c>
      <c r="K15" s="70">
        <f t="shared" si="6"/>
        <v>22</v>
      </c>
      <c r="L15" s="70">
        <f t="shared" si="6"/>
        <v>22</v>
      </c>
      <c r="M15" s="10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spans="1:31" ht="14.25" customHeight="1">
      <c r="A16" s="33"/>
      <c r="B16" s="32" t="s">
        <v>47</v>
      </c>
      <c r="C16" s="27">
        <v>2.94</v>
      </c>
      <c r="D16" s="27">
        <v>3.28</v>
      </c>
      <c r="E16" s="27">
        <v>3.33</v>
      </c>
      <c r="F16" s="27">
        <v>0.89</v>
      </c>
      <c r="G16" s="27">
        <v>1.0900000000000001</v>
      </c>
      <c r="H16" s="70">
        <f t="shared" si="3"/>
        <v>1.0900000000000001</v>
      </c>
      <c r="I16" s="70">
        <f t="shared" ref="I16:L17" si="7">H16</f>
        <v>1.0900000000000001</v>
      </c>
      <c r="J16" s="70">
        <f t="shared" si="7"/>
        <v>1.0900000000000001</v>
      </c>
      <c r="K16" s="70">
        <f t="shared" si="7"/>
        <v>1.0900000000000001</v>
      </c>
      <c r="L16" s="70">
        <f t="shared" si="7"/>
        <v>1.0900000000000001</v>
      </c>
      <c r="M16" s="10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pans="1:31" ht="14.25" customHeight="1" thickBot="1">
      <c r="A17" s="33"/>
      <c r="B17" s="32" t="s">
        <v>48</v>
      </c>
      <c r="C17" s="27">
        <v>34.17</v>
      </c>
      <c r="D17" s="27">
        <v>78.52</v>
      </c>
      <c r="E17" s="27">
        <v>79.900000000000006</v>
      </c>
      <c r="F17" s="27">
        <v>88.13</v>
      </c>
      <c r="G17" s="27">
        <v>89.06</v>
      </c>
      <c r="H17" s="70">
        <f t="shared" si="3"/>
        <v>89.06</v>
      </c>
      <c r="I17" s="70">
        <f t="shared" si="7"/>
        <v>89.06</v>
      </c>
      <c r="J17" s="70">
        <f t="shared" si="7"/>
        <v>89.06</v>
      </c>
      <c r="K17" s="70">
        <f t="shared" si="7"/>
        <v>89.06</v>
      </c>
      <c r="L17" s="70">
        <f t="shared" si="7"/>
        <v>89.06</v>
      </c>
      <c r="M17" s="10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 ht="14.25" customHeight="1">
      <c r="A18" s="33"/>
      <c r="B18" s="25" t="s">
        <v>49</v>
      </c>
      <c r="C18" s="26">
        <f>SUM(C6:C10,C12:C17)</f>
        <v>3829.6699999999996</v>
      </c>
      <c r="D18" s="41">
        <f t="shared" ref="D18:L18" si="8">SUM(D6:D10,D12:D17)</f>
        <v>4614.57</v>
      </c>
      <c r="E18" s="41">
        <f t="shared" si="8"/>
        <v>5261.8799999999992</v>
      </c>
      <c r="F18" s="41">
        <f t="shared" si="8"/>
        <v>4850.4100000000008</v>
      </c>
      <c r="G18" s="41">
        <f t="shared" si="8"/>
        <v>4473.75</v>
      </c>
      <c r="H18" s="71">
        <f t="shared" si="8"/>
        <v>4627.0082457776089</v>
      </c>
      <c r="I18" s="71">
        <f t="shared" si="8"/>
        <v>4782.5168211250466</v>
      </c>
      <c r="J18" s="71">
        <f t="shared" si="8"/>
        <v>4939.5754443098294</v>
      </c>
      <c r="K18" s="71">
        <f t="shared" si="8"/>
        <v>5099.6977010298842</v>
      </c>
      <c r="L18" s="71">
        <f t="shared" si="8"/>
        <v>5262.7880952468231</v>
      </c>
      <c r="M18" s="103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pans="1:31" ht="14.25" customHeight="1">
      <c r="A19" s="33"/>
      <c r="B19" s="32"/>
      <c r="C19" s="27"/>
      <c r="D19" s="27"/>
      <c r="E19" s="27"/>
      <c r="F19" s="27"/>
      <c r="G19" s="27"/>
      <c r="H19" s="70"/>
      <c r="I19" s="70"/>
      <c r="J19" s="70"/>
      <c r="K19" s="70"/>
      <c r="L19" s="70"/>
      <c r="M19" s="103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ht="14.25" customHeight="1" thickBot="1">
      <c r="A20" s="33"/>
      <c r="B20" s="28" t="s">
        <v>50</v>
      </c>
      <c r="C20" s="27"/>
      <c r="D20" s="27"/>
      <c r="E20" s="27"/>
      <c r="F20" s="27"/>
      <c r="G20" s="27"/>
      <c r="H20" s="70"/>
      <c r="I20" s="70"/>
      <c r="J20" s="70"/>
      <c r="K20" s="70"/>
      <c r="L20" s="70"/>
      <c r="M20" s="10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ht="14.25" customHeight="1">
      <c r="A21" s="33"/>
      <c r="B21" s="32" t="s">
        <v>51</v>
      </c>
      <c r="C21" s="27">
        <v>1096.5</v>
      </c>
      <c r="D21" s="27">
        <v>1106.71</v>
      </c>
      <c r="E21" s="27">
        <v>1256.18</v>
      </c>
      <c r="F21" s="27">
        <v>1300.53</v>
      </c>
      <c r="G21" s="27">
        <v>1379.57</v>
      </c>
      <c r="H21" s="70">
        <f>(('Cost Sheet'!H17/'Ratio Analysis'!H12)*2)-G21</f>
        <v>1301.3242466323406</v>
      </c>
      <c r="I21" s="70">
        <f>(('Cost Sheet'!I17/'Ratio Analysis'!I12)*2)-H21</f>
        <v>1651.2154243798584</v>
      </c>
      <c r="J21" s="70">
        <f>(('Cost Sheet'!J17/'Ratio Analysis'!J12)*2)-I21</f>
        <v>1484.9905394346704</v>
      </c>
      <c r="K21" s="70">
        <f>(('Cost Sheet'!K17/'Ratio Analysis'!K12)*2)-J21</f>
        <v>1857.8131456073954</v>
      </c>
      <c r="L21" s="70">
        <f>(('Cost Sheet'!L17/'Ratio Analysis'!L12)*2)-K21</f>
        <v>1751.4447323649022</v>
      </c>
      <c r="M21" s="103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ht="14.25" customHeight="1">
      <c r="A22" s="33"/>
      <c r="B22" s="32" t="s">
        <v>52</v>
      </c>
      <c r="C22" s="27"/>
      <c r="D22" s="27"/>
      <c r="E22" s="27"/>
      <c r="F22" s="27"/>
      <c r="G22" s="27"/>
      <c r="H22" s="70"/>
      <c r="I22" s="70"/>
      <c r="J22" s="70"/>
      <c r="K22" s="70"/>
      <c r="L22" s="70"/>
      <c r="M22" s="103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ht="14.25" customHeight="1">
      <c r="A23" s="33"/>
      <c r="B23" s="32" t="s">
        <v>43</v>
      </c>
      <c r="C23" s="27">
        <v>736.54</v>
      </c>
      <c r="D23" s="27">
        <v>740.75</v>
      </c>
      <c r="E23" s="27">
        <v>713.39</v>
      </c>
      <c r="F23" s="27">
        <v>725.41</v>
      </c>
      <c r="G23" s="27">
        <v>1391.03</v>
      </c>
      <c r="H23" s="70">
        <f>G23</f>
        <v>1391.03</v>
      </c>
      <c r="I23" s="70">
        <f t="shared" ref="I23:L23" si="9">H23</f>
        <v>1391.03</v>
      </c>
      <c r="J23" s="70">
        <f t="shared" si="9"/>
        <v>1391.03</v>
      </c>
      <c r="K23" s="70">
        <f t="shared" si="9"/>
        <v>1391.03</v>
      </c>
      <c r="L23" s="70">
        <f t="shared" si="9"/>
        <v>1391.03</v>
      </c>
      <c r="M23" s="103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ht="14.25" customHeight="1">
      <c r="A24" s="33"/>
      <c r="B24" s="32" t="s">
        <v>53</v>
      </c>
      <c r="C24" s="27">
        <v>809.7</v>
      </c>
      <c r="D24" s="27">
        <v>650.41999999999996</v>
      </c>
      <c r="E24" s="27">
        <v>706.08</v>
      </c>
      <c r="F24" s="27">
        <v>833.56</v>
      </c>
      <c r="G24" s="27">
        <v>813.89</v>
      </c>
      <c r="H24" s="70">
        <f>(('Income Statement'!H4/'Ratio Analysis'!H16)*2)-G24</f>
        <v>815.96651009724076</v>
      </c>
      <c r="I24" s="70">
        <f>(('Income Statement'!I4/'Ratio Analysis'!I16)*2)-H24</f>
        <v>927.00200424654656</v>
      </c>
      <c r="J24" s="70">
        <f>(('Income Statement'!J4/'Ratio Analysis'!J16)*2)-I24</f>
        <v>932.05168650375469</v>
      </c>
      <c r="K24" s="70">
        <f>(('Income Statement'!K4/'Ratio Analysis'!K16)*2)-J24</f>
        <v>1057.4719072809812</v>
      </c>
      <c r="L24" s="70">
        <f>(('Income Statement'!L4/'Ratio Analysis'!L16)*2)-K24</f>
        <v>1069.5671538587676</v>
      </c>
      <c r="M24" s="103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ht="14.25" customHeight="1">
      <c r="A25" s="33"/>
      <c r="B25" s="32" t="s">
        <v>54</v>
      </c>
      <c r="C25" s="27">
        <v>131.72999999999999</v>
      </c>
      <c r="D25" s="27">
        <v>163.22</v>
      </c>
      <c r="E25" s="27">
        <v>153.80000000000001</v>
      </c>
      <c r="F25" s="27">
        <v>107.69</v>
      </c>
      <c r="G25" s="27">
        <v>163.94</v>
      </c>
      <c r="H25" s="70">
        <f>'Cashflow Statement'!H64</f>
        <v>1072.8476862193806</v>
      </c>
      <c r="I25" s="70">
        <f>'Cashflow Statement'!I64</f>
        <v>1558.7440222771877</v>
      </c>
      <c r="J25" s="70">
        <f>'Cashflow Statement'!J64</f>
        <v>2632.8555463327762</v>
      </c>
      <c r="K25" s="70">
        <f>'Cashflow Statement'!K64</f>
        <v>3245.4525941008005</v>
      </c>
      <c r="L25" s="70">
        <f>'Cashflow Statement'!L64</f>
        <v>4399.3478664829954</v>
      </c>
      <c r="M25" s="103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ht="14.25" customHeight="1">
      <c r="A26" s="33"/>
      <c r="B26" s="32" t="s">
        <v>55</v>
      </c>
      <c r="C26" s="27">
        <v>88.67</v>
      </c>
      <c r="D26" s="27">
        <v>141.59</v>
      </c>
      <c r="E26" s="27">
        <v>152.26</v>
      </c>
      <c r="F26" s="27">
        <v>220.47</v>
      </c>
      <c r="G26" s="27">
        <v>647.42999999999995</v>
      </c>
      <c r="H26" s="70">
        <f t="shared" ref="H26:H31" si="10">G26</f>
        <v>647.42999999999995</v>
      </c>
      <c r="I26" s="70">
        <f t="shared" ref="I26:L26" si="11">H26</f>
        <v>647.42999999999995</v>
      </c>
      <c r="J26" s="70">
        <f t="shared" si="11"/>
        <v>647.42999999999995</v>
      </c>
      <c r="K26" s="70">
        <f t="shared" si="11"/>
        <v>647.42999999999995</v>
      </c>
      <c r="L26" s="70">
        <f t="shared" si="11"/>
        <v>647.42999999999995</v>
      </c>
      <c r="M26" s="103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 ht="14.25" customHeight="1">
      <c r="A27" s="33"/>
      <c r="B27" s="32" t="s">
        <v>56</v>
      </c>
      <c r="C27" s="27">
        <v>72.25</v>
      </c>
      <c r="D27" s="27">
        <v>3.8</v>
      </c>
      <c r="E27" s="27">
        <v>34.880000000000003</v>
      </c>
      <c r="F27" s="27">
        <v>11.04</v>
      </c>
      <c r="G27" s="27">
        <v>13.07</v>
      </c>
      <c r="H27" s="70">
        <f t="shared" si="10"/>
        <v>13.07</v>
      </c>
      <c r="I27" s="70">
        <f t="shared" ref="I27:L27" si="12">H27</f>
        <v>13.07</v>
      </c>
      <c r="J27" s="70">
        <f t="shared" si="12"/>
        <v>13.07</v>
      </c>
      <c r="K27" s="70">
        <f t="shared" si="12"/>
        <v>13.07</v>
      </c>
      <c r="L27" s="70">
        <f t="shared" si="12"/>
        <v>13.07</v>
      </c>
      <c r="M27" s="103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ht="14.25" customHeight="1">
      <c r="A28" s="33"/>
      <c r="B28" s="32" t="s">
        <v>57</v>
      </c>
      <c r="C28" s="27">
        <v>24.29</v>
      </c>
      <c r="D28" s="27">
        <v>16.45</v>
      </c>
      <c r="E28" s="27">
        <v>28.27</v>
      </c>
      <c r="F28" s="27">
        <v>26.47</v>
      </c>
      <c r="G28" s="27">
        <v>2.62</v>
      </c>
      <c r="H28" s="70">
        <f t="shared" si="10"/>
        <v>2.62</v>
      </c>
      <c r="I28" s="70">
        <f t="shared" ref="I28:L28" si="13">H28</f>
        <v>2.62</v>
      </c>
      <c r="J28" s="70">
        <f t="shared" si="13"/>
        <v>2.62</v>
      </c>
      <c r="K28" s="70">
        <f t="shared" si="13"/>
        <v>2.62</v>
      </c>
      <c r="L28" s="70">
        <f t="shared" si="13"/>
        <v>2.62</v>
      </c>
      <c r="M28" s="103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ht="14.25" customHeight="1">
      <c r="A29" s="33"/>
      <c r="B29" s="32" t="s">
        <v>58</v>
      </c>
      <c r="C29" s="27">
        <v>3.06</v>
      </c>
      <c r="D29" s="27">
        <v>0</v>
      </c>
      <c r="E29" s="27">
        <v>1.96</v>
      </c>
      <c r="F29" s="27">
        <v>1.32</v>
      </c>
      <c r="G29" s="27">
        <v>0.88</v>
      </c>
      <c r="H29" s="70">
        <f t="shared" si="10"/>
        <v>0.88</v>
      </c>
      <c r="I29" s="70">
        <f t="shared" ref="I29:L30" si="14">H29</f>
        <v>0.88</v>
      </c>
      <c r="J29" s="70">
        <f t="shared" si="14"/>
        <v>0.88</v>
      </c>
      <c r="K29" s="70">
        <f t="shared" si="14"/>
        <v>0.88</v>
      </c>
      <c r="L29" s="70">
        <f t="shared" si="14"/>
        <v>0.88</v>
      </c>
      <c r="M29" s="103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ht="14.25" customHeight="1">
      <c r="A30" s="33"/>
      <c r="B30" s="32" t="s">
        <v>59</v>
      </c>
      <c r="C30" s="27">
        <v>328.07</v>
      </c>
      <c r="D30" s="27">
        <v>293.52999999999997</v>
      </c>
      <c r="E30" s="27">
        <v>391.01</v>
      </c>
      <c r="F30" s="27">
        <v>359.5</v>
      </c>
      <c r="G30" s="27">
        <v>467.56</v>
      </c>
      <c r="H30" s="70">
        <f t="shared" si="10"/>
        <v>467.56</v>
      </c>
      <c r="I30" s="70">
        <f t="shared" si="14"/>
        <v>467.56</v>
      </c>
      <c r="J30" s="70">
        <f t="shared" si="14"/>
        <v>467.56</v>
      </c>
      <c r="K30" s="70">
        <f t="shared" si="14"/>
        <v>467.56</v>
      </c>
      <c r="L30" s="70">
        <f t="shared" si="14"/>
        <v>467.56</v>
      </c>
      <c r="M30" s="103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ht="14.25" customHeight="1" thickBot="1">
      <c r="A31" s="33"/>
      <c r="B31" s="32" t="s">
        <v>60</v>
      </c>
      <c r="C31" s="27">
        <v>0</v>
      </c>
      <c r="D31" s="27">
        <v>0</v>
      </c>
      <c r="E31" s="27">
        <v>1.92</v>
      </c>
      <c r="F31" s="27">
        <v>0.24</v>
      </c>
      <c r="G31" s="27">
        <v>0.27</v>
      </c>
      <c r="H31" s="70">
        <f t="shared" si="10"/>
        <v>0.27</v>
      </c>
      <c r="I31" s="70">
        <f t="shared" ref="I31:L31" si="15">H31</f>
        <v>0.27</v>
      </c>
      <c r="J31" s="70">
        <f t="shared" si="15"/>
        <v>0.27</v>
      </c>
      <c r="K31" s="70">
        <f t="shared" si="15"/>
        <v>0.27</v>
      </c>
      <c r="L31" s="70">
        <f t="shared" si="15"/>
        <v>0.27</v>
      </c>
      <c r="M31" s="103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ht="14.25" customHeight="1">
      <c r="A32" s="33"/>
      <c r="B32" s="25" t="s">
        <v>61</v>
      </c>
      <c r="C32" s="26">
        <f>SUM(C21,C23:C31)</f>
        <v>3290.81</v>
      </c>
      <c r="D32" s="41">
        <f t="shared" ref="D32:G32" si="16">SUM(D21,D23:D31)</f>
        <v>3116.4700000000003</v>
      </c>
      <c r="E32" s="41">
        <f t="shared" si="16"/>
        <v>3439.75</v>
      </c>
      <c r="F32" s="41">
        <f t="shared" si="16"/>
        <v>3586.2299999999996</v>
      </c>
      <c r="G32" s="41">
        <f t="shared" si="16"/>
        <v>4880.26</v>
      </c>
      <c r="H32" s="71">
        <f t="shared" ref="H32:L32" si="17">SUM(H21,H23:H31)</f>
        <v>5712.9984429489623</v>
      </c>
      <c r="I32" s="71">
        <f t="shared" si="17"/>
        <v>6659.8214509035934</v>
      </c>
      <c r="J32" s="71">
        <f t="shared" si="17"/>
        <v>7572.7577722712022</v>
      </c>
      <c r="K32" s="71">
        <f t="shared" si="17"/>
        <v>8683.5976469891757</v>
      </c>
      <c r="L32" s="71">
        <f t="shared" si="17"/>
        <v>9743.2197527066655</v>
      </c>
      <c r="M32" s="103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ht="14.25" customHeight="1" thickBot="1">
      <c r="A33" s="33"/>
      <c r="B33" s="32"/>
      <c r="C33" s="27"/>
      <c r="D33" s="27"/>
      <c r="E33" s="27"/>
      <c r="F33" s="27"/>
      <c r="G33" s="27"/>
      <c r="H33" s="72"/>
      <c r="I33" s="72"/>
      <c r="J33" s="72"/>
      <c r="K33" s="72"/>
      <c r="L33" s="72"/>
      <c r="M33" s="103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ht="14.25" customHeight="1" thickBot="1">
      <c r="A34" s="33"/>
      <c r="B34" s="29" t="s">
        <v>62</v>
      </c>
      <c r="C34" s="60">
        <f>C32+C18</f>
        <v>7120.48</v>
      </c>
      <c r="D34" s="45">
        <f t="shared" ref="D34:G34" si="18">D32+D18</f>
        <v>7731.04</v>
      </c>
      <c r="E34" s="45">
        <f t="shared" si="18"/>
        <v>8701.6299999999992</v>
      </c>
      <c r="F34" s="45">
        <f t="shared" si="18"/>
        <v>8436.64</v>
      </c>
      <c r="G34" s="45">
        <f t="shared" si="18"/>
        <v>9354.01</v>
      </c>
      <c r="H34" s="106">
        <f t="shared" ref="H34:L34" si="19">H32+H18</f>
        <v>10340.006688726571</v>
      </c>
      <c r="I34" s="106">
        <f t="shared" si="19"/>
        <v>11442.338272028639</v>
      </c>
      <c r="J34" s="106">
        <f t="shared" si="19"/>
        <v>12512.333216581032</v>
      </c>
      <c r="K34" s="106">
        <f t="shared" si="19"/>
        <v>13783.295348019059</v>
      </c>
      <c r="L34" s="106">
        <f t="shared" si="19"/>
        <v>15006.00784795349</v>
      </c>
      <c r="M34" s="103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ht="14.25" customHeight="1">
      <c r="A35" s="33"/>
      <c r="B35" s="32"/>
      <c r="C35" s="27"/>
      <c r="D35" s="27"/>
      <c r="E35" s="27"/>
      <c r="F35" s="27"/>
      <c r="G35" s="27"/>
      <c r="H35" s="70"/>
      <c r="I35" s="70"/>
      <c r="J35" s="70"/>
      <c r="K35" s="70"/>
      <c r="L35" s="70"/>
      <c r="M35" s="103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ht="14.25" customHeight="1" thickBot="1">
      <c r="A36" s="33"/>
      <c r="B36" s="28" t="s">
        <v>63</v>
      </c>
      <c r="C36" s="27"/>
      <c r="D36" s="27"/>
      <c r="E36" s="27"/>
      <c r="F36" s="27"/>
      <c r="G36" s="27"/>
      <c r="H36" s="70"/>
      <c r="I36" s="70"/>
      <c r="J36" s="70"/>
      <c r="K36" s="70"/>
      <c r="L36" s="70"/>
      <c r="M36" s="103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ht="14.25" customHeight="1" thickBot="1">
      <c r="A37" s="33"/>
      <c r="B37" s="28" t="s">
        <v>64</v>
      </c>
      <c r="C37" s="27"/>
      <c r="D37" s="27"/>
      <c r="E37" s="27"/>
      <c r="F37" s="27"/>
      <c r="G37" s="27"/>
      <c r="H37" s="70"/>
      <c r="I37" s="70"/>
      <c r="J37" s="70"/>
      <c r="K37" s="70"/>
      <c r="L37" s="70"/>
      <c r="M37" s="103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ht="14.25" customHeight="1">
      <c r="A38" s="33"/>
      <c r="B38" s="32" t="s">
        <v>65</v>
      </c>
      <c r="C38" s="27">
        <v>175.91</v>
      </c>
      <c r="D38" s="27">
        <v>176.15</v>
      </c>
      <c r="E38" s="27">
        <v>176.15</v>
      </c>
      <c r="F38" s="27">
        <v>176.63</v>
      </c>
      <c r="G38" s="27">
        <v>176.71</v>
      </c>
      <c r="H38" s="70">
        <f>G38</f>
        <v>176.71</v>
      </c>
      <c r="I38" s="70">
        <f t="shared" ref="I38:L38" si="20">H38</f>
        <v>176.71</v>
      </c>
      <c r="J38" s="70">
        <f t="shared" si="20"/>
        <v>176.71</v>
      </c>
      <c r="K38" s="70">
        <f t="shared" si="20"/>
        <v>176.71</v>
      </c>
      <c r="L38" s="70">
        <f t="shared" si="20"/>
        <v>176.71</v>
      </c>
      <c r="M38" s="103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ht="14.25" customHeight="1" thickBot="1">
      <c r="A39" s="33"/>
      <c r="B39" s="32" t="s">
        <v>66</v>
      </c>
      <c r="C39" s="27">
        <v>3984.16</v>
      </c>
      <c r="D39" s="27">
        <v>4671.24</v>
      </c>
      <c r="E39" s="27">
        <v>5530.37</v>
      </c>
      <c r="F39" s="27">
        <v>5455.05</v>
      </c>
      <c r="G39" s="27">
        <v>6429.04</v>
      </c>
      <c r="H39" s="70">
        <f>G39+'Income Statement'!H29-'Cost Sheet'!H53-'Cost Sheet'!H58</f>
        <v>7326.906613500103</v>
      </c>
      <c r="I39" s="70">
        <f>H39+'Income Statement'!I29-'Cost Sheet'!I53-'Cost Sheet'!I58</f>
        <v>8255.4246468511246</v>
      </c>
      <c r="J39" s="70">
        <f>I39+'Income Statement'!J29-'Cost Sheet'!J53-'Cost Sheet'!J58</f>
        <v>9242.7649787952942</v>
      </c>
      <c r="K39" s="70">
        <f>J39+'Income Statement'!K29-'Cost Sheet'!K53-'Cost Sheet'!K58</f>
        <v>10307.54570324602</v>
      </c>
      <c r="L39" s="70">
        <f>K39+'Income Statement'!L29-'Cost Sheet'!L53-'Cost Sheet'!L58</f>
        <v>11428.785481458444</v>
      </c>
      <c r="M39" s="103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ht="14.25" customHeight="1">
      <c r="A40" s="33"/>
      <c r="B40" s="25" t="s">
        <v>67</v>
      </c>
      <c r="C40" s="26">
        <f>SUM(C38,C39)</f>
        <v>4160.07</v>
      </c>
      <c r="D40" s="41">
        <f t="shared" ref="D40:L40" si="21">SUM(D38,D39)</f>
        <v>4847.3899999999994</v>
      </c>
      <c r="E40" s="41">
        <f t="shared" si="21"/>
        <v>5706.5199999999995</v>
      </c>
      <c r="F40" s="41">
        <f t="shared" si="21"/>
        <v>5631.68</v>
      </c>
      <c r="G40" s="41">
        <f t="shared" si="21"/>
        <v>6605.75</v>
      </c>
      <c r="H40" s="71">
        <f t="shared" si="21"/>
        <v>7503.6166135001031</v>
      </c>
      <c r="I40" s="71">
        <f t="shared" si="21"/>
        <v>8432.1346468511238</v>
      </c>
      <c r="J40" s="71">
        <f t="shared" si="21"/>
        <v>9419.4749787952933</v>
      </c>
      <c r="K40" s="71">
        <f t="shared" si="21"/>
        <v>10484.255703246019</v>
      </c>
      <c r="L40" s="71">
        <f t="shared" si="21"/>
        <v>11605.495481458443</v>
      </c>
      <c r="M40" s="10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ht="14.25" customHeight="1" thickBot="1">
      <c r="A41" s="33"/>
      <c r="B41" s="32" t="s">
        <v>68</v>
      </c>
      <c r="C41" s="27">
        <v>21.68</v>
      </c>
      <c r="D41" s="27">
        <v>24.77</v>
      </c>
      <c r="E41" s="27">
        <v>26.53</v>
      </c>
      <c r="F41" s="27">
        <v>31.38</v>
      </c>
      <c r="G41" s="27">
        <v>36.46</v>
      </c>
      <c r="H41" s="70">
        <f>G41</f>
        <v>36.46</v>
      </c>
      <c r="I41" s="70">
        <f t="shared" ref="I41:L41" si="22">H41</f>
        <v>36.46</v>
      </c>
      <c r="J41" s="70">
        <f t="shared" si="22"/>
        <v>36.46</v>
      </c>
      <c r="K41" s="70">
        <f t="shared" si="22"/>
        <v>36.46</v>
      </c>
      <c r="L41" s="70">
        <f t="shared" si="22"/>
        <v>36.46</v>
      </c>
      <c r="M41" s="10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ht="14.25" customHeight="1" thickBot="1">
      <c r="A42" s="33"/>
      <c r="B42" s="29" t="s">
        <v>69</v>
      </c>
      <c r="C42" s="30">
        <f>C40+C41</f>
        <v>4181.75</v>
      </c>
      <c r="D42" s="45">
        <f t="shared" ref="D42:L42" si="23">D40+D41</f>
        <v>4872.16</v>
      </c>
      <c r="E42" s="45">
        <f t="shared" si="23"/>
        <v>5733.0499999999993</v>
      </c>
      <c r="F42" s="45">
        <f t="shared" si="23"/>
        <v>5663.06</v>
      </c>
      <c r="G42" s="45">
        <f t="shared" si="23"/>
        <v>6642.21</v>
      </c>
      <c r="H42" s="106">
        <f t="shared" si="23"/>
        <v>7540.0766135001031</v>
      </c>
      <c r="I42" s="106">
        <f t="shared" si="23"/>
        <v>8468.5946468511229</v>
      </c>
      <c r="J42" s="106">
        <f t="shared" si="23"/>
        <v>9455.9349787952924</v>
      </c>
      <c r="K42" s="106">
        <f t="shared" si="23"/>
        <v>10520.715703246018</v>
      </c>
      <c r="L42" s="106">
        <f t="shared" si="23"/>
        <v>11641.955481458443</v>
      </c>
      <c r="M42" s="10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ht="14.25" customHeight="1">
      <c r="A43" s="33"/>
      <c r="B43" s="32"/>
      <c r="C43" s="27"/>
      <c r="D43" s="27"/>
      <c r="E43" s="27"/>
      <c r="F43" s="27"/>
      <c r="G43" s="27"/>
      <c r="H43" s="70"/>
      <c r="I43" s="70"/>
      <c r="J43" s="70"/>
      <c r="K43" s="70"/>
      <c r="L43" s="70"/>
      <c r="M43" s="10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ht="14.25" customHeight="1" thickBot="1">
      <c r="A44" s="33"/>
      <c r="B44" s="28" t="s">
        <v>70</v>
      </c>
      <c r="C44" s="27"/>
      <c r="D44" s="27"/>
      <c r="E44" s="27"/>
      <c r="F44" s="27"/>
      <c r="G44" s="27"/>
      <c r="H44" s="70"/>
      <c r="I44" s="70"/>
      <c r="J44" s="70"/>
      <c r="K44" s="70"/>
      <c r="L44" s="70"/>
      <c r="M44" s="103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ht="14.25" customHeight="1" thickBot="1">
      <c r="A45" s="33"/>
      <c r="B45" s="28" t="s">
        <v>71</v>
      </c>
      <c r="C45" s="27"/>
      <c r="D45" s="27"/>
      <c r="E45" s="27"/>
      <c r="F45" s="27"/>
      <c r="G45" s="27"/>
      <c r="H45" s="70"/>
      <c r="I45" s="70"/>
      <c r="J45" s="70"/>
      <c r="K45" s="70"/>
      <c r="L45" s="70"/>
      <c r="M45" s="103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ht="14.25" customHeight="1">
      <c r="A46" s="33"/>
      <c r="B46" s="32" t="s">
        <v>72</v>
      </c>
      <c r="C46" s="27"/>
      <c r="D46" s="27"/>
      <c r="E46" s="27"/>
      <c r="F46" s="27"/>
      <c r="G46" s="27"/>
      <c r="H46" s="70"/>
      <c r="I46" s="70"/>
      <c r="J46" s="70"/>
      <c r="K46" s="70"/>
      <c r="L46" s="70"/>
      <c r="M46" s="103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ht="14.25" customHeight="1">
      <c r="A47" s="33"/>
      <c r="B47" s="32" t="s">
        <v>73</v>
      </c>
      <c r="C47" s="27">
        <v>341.45</v>
      </c>
      <c r="D47" s="27">
        <v>471.21</v>
      </c>
      <c r="E47" s="27">
        <v>364.34</v>
      </c>
      <c r="F47" s="27">
        <v>26.05</v>
      </c>
      <c r="G47" s="27">
        <v>162.88999999999999</v>
      </c>
      <c r="H47" s="70">
        <f>G47</f>
        <v>162.88999999999999</v>
      </c>
      <c r="I47" s="70">
        <f t="shared" ref="I47:L47" si="24">H47</f>
        <v>162.88999999999999</v>
      </c>
      <c r="J47" s="70">
        <f t="shared" si="24"/>
        <v>162.88999999999999</v>
      </c>
      <c r="K47" s="70">
        <f t="shared" si="24"/>
        <v>162.88999999999999</v>
      </c>
      <c r="L47" s="70">
        <f t="shared" si="24"/>
        <v>162.88999999999999</v>
      </c>
      <c r="M47" s="103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ht="14.25" customHeight="1">
      <c r="A48" s="33"/>
      <c r="B48" s="32" t="s">
        <v>74</v>
      </c>
      <c r="C48" s="27">
        <v>0</v>
      </c>
      <c r="D48" s="27">
        <v>3.71</v>
      </c>
      <c r="E48" s="27">
        <v>4.25</v>
      </c>
      <c r="F48" s="27">
        <v>4.5599999999999996</v>
      </c>
      <c r="G48" s="27">
        <v>4.66</v>
      </c>
      <c r="H48" s="70">
        <f>G48</f>
        <v>4.66</v>
      </c>
      <c r="I48" s="70">
        <f t="shared" ref="I48:L48" si="25">H48</f>
        <v>4.66</v>
      </c>
      <c r="J48" s="70">
        <f t="shared" si="25"/>
        <v>4.66</v>
      </c>
      <c r="K48" s="70">
        <f t="shared" si="25"/>
        <v>4.66</v>
      </c>
      <c r="L48" s="70">
        <f t="shared" si="25"/>
        <v>4.66</v>
      </c>
      <c r="M48" s="103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ht="14.25" customHeight="1">
      <c r="A49" s="33"/>
      <c r="B49" s="32" t="s">
        <v>75</v>
      </c>
      <c r="C49" s="27">
        <v>50.88</v>
      </c>
      <c r="D49" s="27">
        <v>53.4</v>
      </c>
      <c r="E49" s="27">
        <v>56.5</v>
      </c>
      <c r="F49" s="27">
        <v>59.52</v>
      </c>
      <c r="G49" s="27">
        <v>62.94</v>
      </c>
      <c r="H49" s="70">
        <f>G49</f>
        <v>62.94</v>
      </c>
      <c r="I49" s="70">
        <f t="shared" ref="I49:L49" si="26">H49</f>
        <v>62.94</v>
      </c>
      <c r="J49" s="70">
        <f t="shared" si="26"/>
        <v>62.94</v>
      </c>
      <c r="K49" s="70">
        <f t="shared" si="26"/>
        <v>62.94</v>
      </c>
      <c r="L49" s="70">
        <f t="shared" si="26"/>
        <v>62.94</v>
      </c>
      <c r="M49" s="103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ht="14.25" customHeight="1" thickBot="1">
      <c r="A50" s="33"/>
      <c r="B50" s="32" t="s">
        <v>76</v>
      </c>
      <c r="C50" s="27">
        <v>76.540000000000006</v>
      </c>
      <c r="D50" s="27">
        <v>108.04</v>
      </c>
      <c r="E50" s="27">
        <v>109.05</v>
      </c>
      <c r="F50" s="27">
        <v>23.14</v>
      </c>
      <c r="G50" s="27">
        <v>17.43</v>
      </c>
      <c r="H50" s="70">
        <f>G50</f>
        <v>17.43</v>
      </c>
      <c r="I50" s="70">
        <f t="shared" ref="I50:L50" si="27">H50</f>
        <v>17.43</v>
      </c>
      <c r="J50" s="70">
        <f t="shared" si="27"/>
        <v>17.43</v>
      </c>
      <c r="K50" s="70">
        <f t="shared" si="27"/>
        <v>17.43</v>
      </c>
      <c r="L50" s="70">
        <f t="shared" si="27"/>
        <v>17.43</v>
      </c>
      <c r="M50" s="103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ht="14.25" customHeight="1">
      <c r="A51" s="33"/>
      <c r="B51" s="25" t="s">
        <v>77</v>
      </c>
      <c r="C51" s="26">
        <f>SUM(C47:C50)</f>
        <v>468.87</v>
      </c>
      <c r="D51" s="41">
        <f t="shared" ref="D51:L51" si="28">SUM(D47:D50)</f>
        <v>636.3599999999999</v>
      </c>
      <c r="E51" s="41">
        <f t="shared" si="28"/>
        <v>534.14</v>
      </c>
      <c r="F51" s="41">
        <f t="shared" si="28"/>
        <v>113.27</v>
      </c>
      <c r="G51" s="41">
        <f t="shared" si="28"/>
        <v>247.92</v>
      </c>
      <c r="H51" s="71">
        <f t="shared" si="28"/>
        <v>247.92</v>
      </c>
      <c r="I51" s="71">
        <f t="shared" si="28"/>
        <v>247.92</v>
      </c>
      <c r="J51" s="71">
        <f t="shared" si="28"/>
        <v>247.92</v>
      </c>
      <c r="K51" s="71">
        <f t="shared" si="28"/>
        <v>247.92</v>
      </c>
      <c r="L51" s="71">
        <f t="shared" si="28"/>
        <v>247.92</v>
      </c>
      <c r="M51" s="103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ht="14.25" customHeight="1">
      <c r="A52" s="33"/>
      <c r="B52" s="32"/>
      <c r="C52" s="27"/>
      <c r="D52" s="27"/>
      <c r="E52" s="27"/>
      <c r="F52" s="27"/>
      <c r="G52" s="27"/>
      <c r="H52" s="70"/>
      <c r="I52" s="70"/>
      <c r="J52" s="70"/>
      <c r="K52" s="70"/>
      <c r="L52" s="70"/>
      <c r="M52" s="103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ht="14.25" customHeight="1" thickBot="1">
      <c r="A53" s="33"/>
      <c r="B53" s="28" t="s">
        <v>78</v>
      </c>
      <c r="C53" s="27"/>
      <c r="D53" s="27"/>
      <c r="E53" s="27"/>
      <c r="F53" s="27"/>
      <c r="G53" s="27"/>
      <c r="H53" s="70"/>
      <c r="I53" s="70"/>
      <c r="J53" s="70"/>
      <c r="K53" s="70"/>
      <c r="L53" s="70"/>
      <c r="M53" s="103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ht="14.25" customHeight="1">
      <c r="A54" s="33"/>
      <c r="B54" s="32" t="s">
        <v>72</v>
      </c>
      <c r="C54" s="27"/>
      <c r="D54" s="27"/>
      <c r="E54" s="27"/>
      <c r="F54" s="27"/>
      <c r="G54" s="27"/>
      <c r="H54" s="70"/>
      <c r="I54" s="70"/>
      <c r="J54" s="70"/>
      <c r="K54" s="70"/>
      <c r="L54" s="70"/>
      <c r="M54" s="103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ht="14.25" customHeight="1">
      <c r="A55" s="33"/>
      <c r="B55" s="32" t="s">
        <v>73</v>
      </c>
      <c r="C55" s="27">
        <v>449.74</v>
      </c>
      <c r="D55" s="27">
        <v>440.33</v>
      </c>
      <c r="E55" s="27">
        <v>464.49</v>
      </c>
      <c r="F55" s="27">
        <v>498.23</v>
      </c>
      <c r="G55" s="27">
        <v>304.24</v>
      </c>
      <c r="H55" s="70">
        <f>G55</f>
        <v>304.24</v>
      </c>
      <c r="I55" s="70">
        <f t="shared" ref="I55:L55" si="29">H55</f>
        <v>304.24</v>
      </c>
      <c r="J55" s="70">
        <f t="shared" si="29"/>
        <v>304.24</v>
      </c>
      <c r="K55" s="70">
        <f t="shared" si="29"/>
        <v>304.24</v>
      </c>
      <c r="L55" s="70">
        <f t="shared" si="29"/>
        <v>304.24</v>
      </c>
      <c r="M55" s="103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ht="14.25" customHeight="1">
      <c r="A56" s="33"/>
      <c r="B56" s="32" t="s">
        <v>79</v>
      </c>
      <c r="C56" s="27">
        <v>1330.18</v>
      </c>
      <c r="D56" s="27">
        <v>1302.67</v>
      </c>
      <c r="E56" s="27">
        <v>1410.32</v>
      </c>
      <c r="F56" s="27">
        <v>1455.43</v>
      </c>
      <c r="G56" s="27">
        <v>1482.15</v>
      </c>
      <c r="H56" s="70">
        <f>(('Cost Sheet'!H17/'Ratio Analysis'!H20)*2)-G56</f>
        <v>1570.2800752264698</v>
      </c>
      <c r="I56" s="70">
        <f>(('Cost Sheet'!I17/'Ratio Analysis'!I20)*2)-H56</f>
        <v>1744.0936251775138</v>
      </c>
      <c r="J56" s="70">
        <f>(('Cost Sheet'!J17/'Ratio Analysis'!J20)*2)-I56</f>
        <v>1826.7482377857364</v>
      </c>
      <c r="K56" s="70">
        <f>(('Cost Sheet'!K17/'Ratio Analysis'!K20)*2)-J56</f>
        <v>2032.929644773038</v>
      </c>
      <c r="L56" s="70">
        <f>(('Cost Sheet'!L17/'Ratio Analysis'!L20)*2)-K56</f>
        <v>2134.4023664950396</v>
      </c>
      <c r="M56" s="103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31" ht="14.25" customHeight="1">
      <c r="A57" s="33"/>
      <c r="B57" s="32" t="s">
        <v>80</v>
      </c>
      <c r="C57" s="27">
        <v>125.01</v>
      </c>
      <c r="D57" s="27">
        <v>173.72</v>
      </c>
      <c r="E57" s="27">
        <v>238.2</v>
      </c>
      <c r="F57" s="27">
        <v>327.62</v>
      </c>
      <c r="G57" s="27">
        <v>225.52</v>
      </c>
      <c r="H57" s="70">
        <f>G57</f>
        <v>225.52</v>
      </c>
      <c r="I57" s="70">
        <f t="shared" ref="I57:L57" si="30">H57</f>
        <v>225.52</v>
      </c>
      <c r="J57" s="70">
        <f t="shared" si="30"/>
        <v>225.52</v>
      </c>
      <c r="K57" s="70">
        <f t="shared" si="30"/>
        <v>225.52</v>
      </c>
      <c r="L57" s="70">
        <f t="shared" si="30"/>
        <v>225.52</v>
      </c>
      <c r="M57" s="103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1:31" ht="14.25" customHeight="1">
      <c r="A58" s="33"/>
      <c r="B58" s="32" t="s">
        <v>81</v>
      </c>
      <c r="C58" s="27">
        <v>231.73</v>
      </c>
      <c r="D58" s="27">
        <v>175.44</v>
      </c>
      <c r="E58" s="27">
        <v>173.03</v>
      </c>
      <c r="F58" s="27">
        <v>198.14</v>
      </c>
      <c r="G58" s="27">
        <v>239.78</v>
      </c>
      <c r="H58" s="70">
        <f>G58</f>
        <v>239.78</v>
      </c>
      <c r="I58" s="70">
        <f t="shared" ref="I58:L58" si="31">H58</f>
        <v>239.78</v>
      </c>
      <c r="J58" s="70">
        <f t="shared" si="31"/>
        <v>239.78</v>
      </c>
      <c r="K58" s="70">
        <f t="shared" si="31"/>
        <v>239.78</v>
      </c>
      <c r="L58" s="70">
        <f t="shared" si="31"/>
        <v>239.78</v>
      </c>
      <c r="M58" s="103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 spans="1:31" ht="14.25" customHeight="1">
      <c r="A59" s="33"/>
      <c r="B59" s="32" t="s">
        <v>82</v>
      </c>
      <c r="C59" s="27">
        <v>302.18</v>
      </c>
      <c r="D59" s="27">
        <v>91.89</v>
      </c>
      <c r="E59" s="27">
        <v>107.47</v>
      </c>
      <c r="F59" s="27">
        <v>130.24</v>
      </c>
      <c r="G59" s="27">
        <v>165.54</v>
      </c>
      <c r="H59" s="70">
        <f>G59</f>
        <v>165.54</v>
      </c>
      <c r="I59" s="70">
        <f t="shared" ref="I59:L59" si="32">H59</f>
        <v>165.54</v>
      </c>
      <c r="J59" s="70">
        <f t="shared" si="32"/>
        <v>165.54</v>
      </c>
      <c r="K59" s="70">
        <f t="shared" si="32"/>
        <v>165.54</v>
      </c>
      <c r="L59" s="70">
        <f t="shared" si="32"/>
        <v>165.54</v>
      </c>
      <c r="M59" s="103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ht="14.25" customHeight="1" thickBot="1">
      <c r="A60" s="33"/>
      <c r="B60" s="32" t="s">
        <v>83</v>
      </c>
      <c r="C60" s="27">
        <v>31.02</v>
      </c>
      <c r="D60" s="27">
        <v>38.47</v>
      </c>
      <c r="E60" s="27">
        <v>40.93</v>
      </c>
      <c r="F60" s="27">
        <v>50.65</v>
      </c>
      <c r="G60" s="27">
        <v>46.65</v>
      </c>
      <c r="H60" s="70">
        <f>G60</f>
        <v>46.65</v>
      </c>
      <c r="I60" s="70">
        <f t="shared" ref="I60:L60" si="33">H60</f>
        <v>46.65</v>
      </c>
      <c r="J60" s="70">
        <f t="shared" si="33"/>
        <v>46.65</v>
      </c>
      <c r="K60" s="70">
        <f t="shared" si="33"/>
        <v>46.65</v>
      </c>
      <c r="L60" s="70">
        <f t="shared" si="33"/>
        <v>46.65</v>
      </c>
      <c r="M60" s="103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 spans="1:31" ht="14.25" customHeight="1">
      <c r="A61" s="33"/>
      <c r="B61" s="25" t="s">
        <v>84</v>
      </c>
      <c r="C61" s="26">
        <f>SUM(C55:C60)</f>
        <v>2469.8599999999997</v>
      </c>
      <c r="D61" s="41">
        <f t="shared" ref="D61:L61" si="34">SUM(D55:D60)</f>
        <v>2222.5199999999995</v>
      </c>
      <c r="E61" s="41">
        <f t="shared" si="34"/>
        <v>2434.4399999999996</v>
      </c>
      <c r="F61" s="41">
        <f t="shared" si="34"/>
        <v>2660.31</v>
      </c>
      <c r="G61" s="41">
        <f t="shared" si="34"/>
        <v>2463.88</v>
      </c>
      <c r="H61" s="71">
        <f t="shared" si="34"/>
        <v>2552.0100752264702</v>
      </c>
      <c r="I61" s="71">
        <f t="shared" si="34"/>
        <v>2725.8236251775138</v>
      </c>
      <c r="J61" s="71">
        <f t="shared" si="34"/>
        <v>2808.4782377857368</v>
      </c>
      <c r="K61" s="71">
        <f t="shared" si="34"/>
        <v>3014.6596447730385</v>
      </c>
      <c r="L61" s="71">
        <f t="shared" si="34"/>
        <v>3116.1323664950401</v>
      </c>
      <c r="M61" s="103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ht="14.25" customHeight="1" thickBot="1">
      <c r="A62" s="33"/>
      <c r="B62" s="32"/>
      <c r="C62" s="27"/>
      <c r="D62" s="27"/>
      <c r="E62" s="27"/>
      <c r="F62" s="27"/>
      <c r="G62" s="27"/>
      <c r="H62" s="70"/>
      <c r="I62" s="70"/>
      <c r="J62" s="70"/>
      <c r="K62" s="70"/>
      <c r="L62" s="70"/>
      <c r="M62" s="103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 spans="1:31" ht="14.25" customHeight="1" thickBot="1">
      <c r="A63" s="33"/>
      <c r="B63" s="29" t="s">
        <v>85</v>
      </c>
      <c r="C63" s="30">
        <f>C61+C51</f>
        <v>2938.7299999999996</v>
      </c>
      <c r="D63" s="45">
        <f t="shared" ref="D63:L63" si="35">D61+D51</f>
        <v>2858.8799999999992</v>
      </c>
      <c r="E63" s="45">
        <f t="shared" si="35"/>
        <v>2968.5799999999995</v>
      </c>
      <c r="F63" s="45">
        <f t="shared" si="35"/>
        <v>2773.58</v>
      </c>
      <c r="G63" s="45">
        <f t="shared" si="35"/>
        <v>2711.8</v>
      </c>
      <c r="H63" s="106">
        <f t="shared" si="35"/>
        <v>2799.9300752264703</v>
      </c>
      <c r="I63" s="106">
        <f t="shared" si="35"/>
        <v>2973.7436251775139</v>
      </c>
      <c r="J63" s="106">
        <f t="shared" si="35"/>
        <v>3056.3982377857369</v>
      </c>
      <c r="K63" s="106">
        <f t="shared" si="35"/>
        <v>3262.5796447730386</v>
      </c>
      <c r="L63" s="106">
        <f t="shared" si="35"/>
        <v>3364.0523664950401</v>
      </c>
      <c r="M63" s="103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ht="14.25" customHeight="1" thickBot="1">
      <c r="A64" s="33"/>
      <c r="B64" s="32"/>
      <c r="C64" s="27"/>
      <c r="D64" s="27"/>
      <c r="E64" s="27"/>
      <c r="F64" s="27"/>
      <c r="G64" s="27"/>
      <c r="H64" s="70"/>
      <c r="I64" s="70"/>
      <c r="J64" s="70"/>
      <c r="K64" s="70"/>
      <c r="L64" s="70"/>
      <c r="M64" s="103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31" ht="14.25" customHeight="1" thickBot="1">
      <c r="A65" s="33"/>
      <c r="B65" s="29" t="s">
        <v>86</v>
      </c>
      <c r="C65" s="30">
        <f>C63+C42</f>
        <v>7120.48</v>
      </c>
      <c r="D65" s="45">
        <f t="shared" ref="D65:L65" si="36">D63+D42</f>
        <v>7731.0399999999991</v>
      </c>
      <c r="E65" s="45">
        <f t="shared" si="36"/>
        <v>8701.6299999999992</v>
      </c>
      <c r="F65" s="45">
        <f t="shared" si="36"/>
        <v>8436.64</v>
      </c>
      <c r="G65" s="45">
        <f t="shared" si="36"/>
        <v>9354.01</v>
      </c>
      <c r="H65" s="106">
        <f t="shared" si="36"/>
        <v>10340.006688726573</v>
      </c>
      <c r="I65" s="106">
        <f t="shared" si="36"/>
        <v>11442.338272028637</v>
      </c>
      <c r="J65" s="106">
        <f t="shared" si="36"/>
        <v>12512.33321658103</v>
      </c>
      <c r="K65" s="106">
        <f t="shared" si="36"/>
        <v>13783.295348019057</v>
      </c>
      <c r="L65" s="106">
        <f t="shared" si="36"/>
        <v>15006.007847953482</v>
      </c>
      <c r="M65" s="103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 spans="1:31" ht="14.25" customHeight="1" thickBot="1">
      <c r="A66" s="33"/>
      <c r="B66" s="32"/>
      <c r="C66" s="27"/>
      <c r="D66" s="27"/>
      <c r="E66" s="27"/>
      <c r="F66" s="27"/>
      <c r="G66" s="27"/>
      <c r="H66" s="70"/>
      <c r="I66" s="70"/>
      <c r="J66" s="70"/>
      <c r="K66" s="70"/>
      <c r="L66" s="70"/>
      <c r="M66" s="103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 spans="1:31" ht="14.25" customHeight="1" thickBot="1">
      <c r="A67" s="33"/>
      <c r="B67" s="44" t="s">
        <v>139</v>
      </c>
      <c r="C67" s="30">
        <f>C65-C34</f>
        <v>0</v>
      </c>
      <c r="D67" s="45">
        <f t="shared" ref="D67:L67" si="37">D65-D34</f>
        <v>0</v>
      </c>
      <c r="E67" s="45">
        <f t="shared" si="37"/>
        <v>0</v>
      </c>
      <c r="F67" s="45">
        <f t="shared" si="37"/>
        <v>0</v>
      </c>
      <c r="G67" s="45">
        <f t="shared" si="37"/>
        <v>0</v>
      </c>
      <c r="H67" s="106">
        <f t="shared" si="37"/>
        <v>0</v>
      </c>
      <c r="I67" s="106">
        <f t="shared" si="37"/>
        <v>0</v>
      </c>
      <c r="J67" s="106">
        <f t="shared" si="37"/>
        <v>0</v>
      </c>
      <c r="K67" s="106">
        <f t="shared" si="37"/>
        <v>0</v>
      </c>
      <c r="L67" s="106">
        <f t="shared" si="37"/>
        <v>0</v>
      </c>
      <c r="M67" s="103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spans="1:31" ht="14.25" customHeight="1">
      <c r="A68" s="20"/>
      <c r="B68" s="27"/>
      <c r="C68" s="20"/>
      <c r="D68" s="20"/>
      <c r="E68" s="34"/>
      <c r="F68" s="34"/>
      <c r="G68" s="34"/>
      <c r="H68" s="70"/>
      <c r="I68" s="70"/>
      <c r="J68" s="70"/>
      <c r="K68" s="70"/>
      <c r="L68" s="70"/>
      <c r="M68" s="103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 spans="1:31" ht="14.25" customHeight="1">
      <c r="H69" s="73"/>
      <c r="I69" s="73"/>
      <c r="J69" s="73"/>
      <c r="K69" s="73"/>
      <c r="L69" s="73"/>
      <c r="M69" s="73"/>
    </row>
    <row r="70" spans="1:31" ht="14.25" customHeight="1">
      <c r="H70" s="73"/>
      <c r="I70" s="73"/>
      <c r="J70" s="73"/>
      <c r="K70" s="73"/>
      <c r="L70" s="73"/>
      <c r="M70" s="73"/>
    </row>
    <row r="71" spans="1:31" ht="14.25" customHeight="1">
      <c r="H71" s="73"/>
      <c r="I71" s="73"/>
      <c r="J71" s="73"/>
      <c r="K71" s="73"/>
      <c r="L71" s="73"/>
      <c r="M71" s="73"/>
    </row>
    <row r="72" spans="1:31" ht="14.25" customHeight="1">
      <c r="H72" s="73"/>
      <c r="I72" s="73"/>
      <c r="J72" s="73"/>
      <c r="K72" s="73"/>
      <c r="L72" s="73"/>
      <c r="M72" s="73"/>
    </row>
    <row r="73" spans="1:31" ht="14.25" customHeight="1">
      <c r="H73" s="73"/>
      <c r="I73" s="73"/>
      <c r="J73" s="73"/>
      <c r="K73" s="73"/>
      <c r="L73" s="73"/>
      <c r="M73" s="73"/>
    </row>
    <row r="74" spans="1:31" ht="14.25" customHeight="1">
      <c r="H74" s="73"/>
      <c r="I74" s="73"/>
      <c r="J74" s="73"/>
      <c r="K74" s="73"/>
      <c r="L74" s="73"/>
      <c r="M74" s="73"/>
    </row>
    <row r="75" spans="1:31" ht="14.25" customHeight="1">
      <c r="H75" s="73"/>
      <c r="I75" s="73"/>
      <c r="J75" s="73"/>
      <c r="K75" s="73"/>
      <c r="L75" s="73"/>
      <c r="M75" s="73"/>
    </row>
    <row r="76" spans="1:31" ht="14.25" customHeight="1">
      <c r="H76" s="73"/>
      <c r="I76" s="73"/>
      <c r="J76" s="73"/>
      <c r="K76" s="73"/>
      <c r="L76" s="73"/>
      <c r="M76" s="73"/>
    </row>
    <row r="77" spans="1:31" ht="14.25" customHeight="1">
      <c r="H77" s="73"/>
      <c r="I77" s="73"/>
      <c r="J77" s="73"/>
      <c r="K77" s="73"/>
      <c r="L77" s="73"/>
      <c r="M77" s="73"/>
    </row>
    <row r="78" spans="1:31" ht="14.25" customHeight="1">
      <c r="H78" s="73"/>
      <c r="I78" s="73"/>
      <c r="J78" s="73"/>
      <c r="K78" s="73"/>
      <c r="L78" s="73"/>
      <c r="M78" s="73"/>
    </row>
    <row r="79" spans="1:31" ht="14.25" customHeight="1">
      <c r="H79" s="73"/>
      <c r="I79" s="73"/>
      <c r="J79" s="73"/>
      <c r="K79" s="73"/>
      <c r="L79" s="73"/>
      <c r="M79" s="73"/>
    </row>
    <row r="80" spans="1:31" ht="14.25" customHeight="1">
      <c r="H80" s="73"/>
      <c r="I80" s="73"/>
      <c r="J80" s="73"/>
      <c r="K80" s="73"/>
      <c r="L80" s="73"/>
      <c r="M80" s="73"/>
    </row>
    <row r="81" spans="8:13" ht="14.25" customHeight="1">
      <c r="H81" s="73"/>
      <c r="I81" s="73"/>
      <c r="J81" s="73"/>
      <c r="K81" s="73"/>
      <c r="L81" s="73"/>
      <c r="M81" s="73"/>
    </row>
    <row r="82" spans="8:13" ht="14.25" customHeight="1">
      <c r="H82" s="73"/>
      <c r="I82" s="73"/>
      <c r="J82" s="73"/>
      <c r="K82" s="73"/>
      <c r="L82" s="73"/>
      <c r="M82" s="73"/>
    </row>
  </sheetData>
  <mergeCells count="2">
    <mergeCell ref="C1:G1"/>
    <mergeCell ref="H1:L1"/>
  </mergeCells>
  <pageMargins left="0.7" right="0.7" top="0.75" bottom="0.75" header="0.3" footer="0.3"/>
  <pageSetup orientation="portrait" r:id="rId1"/>
  <ignoredErrors>
    <ignoredError sqref="H56:L5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defaultColWidth="25.7109375" defaultRowHeight="12.75" customHeight="1"/>
  <cols>
    <col min="1" max="1" width="1.28515625" customWidth="1"/>
    <col min="2" max="2" width="61" customWidth="1"/>
  </cols>
  <sheetData>
    <row r="1" spans="1:13" ht="36" customHeight="1">
      <c r="A1" s="36" t="s">
        <v>0</v>
      </c>
      <c r="B1" s="37"/>
      <c r="C1" s="135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</row>
    <row r="2" spans="1:13" ht="15" customHeight="1">
      <c r="A2" s="38"/>
      <c r="B2" s="39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</row>
    <row r="3" spans="1:13" ht="12.75" customHeight="1">
      <c r="A3" s="48"/>
      <c r="B3" s="46"/>
      <c r="C3" s="42"/>
      <c r="D3" s="42"/>
      <c r="E3" s="42"/>
      <c r="F3" s="42"/>
      <c r="G3" s="42"/>
      <c r="H3" s="42"/>
      <c r="I3" s="42"/>
      <c r="J3" s="42"/>
      <c r="K3" s="42"/>
      <c r="L3" s="42"/>
      <c r="M3" s="103"/>
    </row>
    <row r="4" spans="1:13" ht="14.25" customHeight="1" thickBot="1">
      <c r="A4" s="48"/>
      <c r="B4" s="43" t="s">
        <v>87</v>
      </c>
      <c r="C4" s="47"/>
      <c r="D4" s="47"/>
      <c r="E4" s="47"/>
      <c r="F4" s="47"/>
      <c r="G4" s="42"/>
      <c r="H4" s="42"/>
      <c r="I4" s="42"/>
      <c r="J4" s="42"/>
      <c r="K4" s="42"/>
      <c r="L4" s="42"/>
      <c r="M4" s="103"/>
    </row>
    <row r="5" spans="1:13" ht="14.25" customHeight="1" thickBot="1">
      <c r="A5" s="48"/>
      <c r="B5" s="47" t="s">
        <v>88</v>
      </c>
      <c r="C5" s="49">
        <f>'Income Statement'!C25</f>
        <v>1553.0700000000004</v>
      </c>
      <c r="D5" s="49">
        <f>'Income Statement'!D25</f>
        <v>1610.649999999999</v>
      </c>
      <c r="E5" s="49">
        <f>'Income Statement'!E25</f>
        <v>1693.1199999999997</v>
      </c>
      <c r="F5" s="49">
        <f>'Income Statement'!F25</f>
        <v>1724.8699999999997</v>
      </c>
      <c r="G5" s="49">
        <f>'Income Statement'!G25</f>
        <v>1727.6399999999999</v>
      </c>
      <c r="H5" s="77">
        <f>'Income Statement'!H25</f>
        <v>1754.8344032356777</v>
      </c>
      <c r="I5" s="77">
        <f>'Income Statement'!I25</f>
        <v>1814.741036641653</v>
      </c>
      <c r="J5" s="77">
        <f>'Income Statement'!J25</f>
        <v>1929.7062126450985</v>
      </c>
      <c r="K5" s="77">
        <f>'Income Statement'!K25</f>
        <v>2081.0595015716444</v>
      </c>
      <c r="L5" s="77">
        <f>'Income Statement'!L25</f>
        <v>2191.4058363450663</v>
      </c>
      <c r="M5" s="103"/>
    </row>
    <row r="6" spans="1:13" ht="14.25" customHeight="1">
      <c r="A6" s="48"/>
      <c r="B6" s="47"/>
      <c r="C6" s="42"/>
      <c r="D6" s="42"/>
      <c r="E6" s="42"/>
      <c r="F6" s="42"/>
      <c r="G6" s="42"/>
      <c r="H6" s="70"/>
      <c r="I6" s="70"/>
      <c r="J6" s="70"/>
      <c r="K6" s="70"/>
      <c r="L6" s="70"/>
      <c r="M6" s="103"/>
    </row>
    <row r="7" spans="1:13" ht="14.25" customHeight="1" thickBot="1">
      <c r="A7" s="48"/>
      <c r="B7" s="43" t="s">
        <v>89</v>
      </c>
      <c r="C7" s="42"/>
      <c r="D7" s="42"/>
      <c r="E7" s="42"/>
      <c r="F7" s="42"/>
      <c r="G7" s="42"/>
      <c r="H7" s="70"/>
      <c r="I7" s="70"/>
      <c r="J7" s="70"/>
      <c r="K7" s="70"/>
      <c r="L7" s="70"/>
      <c r="M7" s="103"/>
    </row>
    <row r="8" spans="1:13" ht="14.25" customHeight="1">
      <c r="A8" s="48"/>
      <c r="B8" s="47" t="s">
        <v>25</v>
      </c>
      <c r="C8" s="42">
        <v>133.19</v>
      </c>
      <c r="D8" s="42">
        <v>142.86000000000001</v>
      </c>
      <c r="E8" s="42">
        <v>162.18</v>
      </c>
      <c r="F8" s="42">
        <v>176.9</v>
      </c>
      <c r="G8" s="42">
        <v>220.45</v>
      </c>
      <c r="H8" s="70">
        <f>'Income Statement'!H18</f>
        <v>196.29376540697336</v>
      </c>
      <c r="I8" s="70">
        <f>'Income Statement'!I18</f>
        <v>217.60833758959694</v>
      </c>
      <c r="J8" s="70">
        <f>'Income Statement'!J18</f>
        <v>240.24259976564846</v>
      </c>
      <c r="K8" s="70">
        <f>'Income Statement'!K18</f>
        <v>264.36008168437502</v>
      </c>
      <c r="L8" s="70">
        <f>'Income Statement'!L18</f>
        <v>290.04087936681691</v>
      </c>
      <c r="M8" s="103"/>
    </row>
    <row r="9" spans="1:13" ht="14.25" customHeight="1">
      <c r="A9" s="48"/>
      <c r="B9" s="47" t="s">
        <v>90</v>
      </c>
      <c r="C9" s="42">
        <v>2.73</v>
      </c>
      <c r="D9" s="42">
        <v>4.42</v>
      </c>
      <c r="E9" s="42">
        <v>3.44</v>
      </c>
      <c r="F9" s="42">
        <v>-0.71</v>
      </c>
      <c r="G9" s="42">
        <v>3.99</v>
      </c>
      <c r="H9" s="70" t="s">
        <v>217</v>
      </c>
      <c r="I9" s="70" t="s">
        <v>217</v>
      </c>
      <c r="J9" s="70" t="s">
        <v>217</v>
      </c>
      <c r="K9" s="70" t="s">
        <v>217</v>
      </c>
      <c r="L9" s="70" t="s">
        <v>217</v>
      </c>
      <c r="M9" s="103"/>
    </row>
    <row r="10" spans="1:13" ht="14.25" customHeight="1">
      <c r="A10" s="48"/>
      <c r="B10" s="47" t="s">
        <v>91</v>
      </c>
      <c r="C10" s="42">
        <v>55.33</v>
      </c>
      <c r="D10" s="42">
        <v>14.3</v>
      </c>
      <c r="E10" s="42">
        <v>3.51</v>
      </c>
      <c r="F10" s="42">
        <v>77.37</v>
      </c>
      <c r="G10" s="42">
        <v>45.26</v>
      </c>
      <c r="H10" s="70" t="s">
        <v>217</v>
      </c>
      <c r="I10" s="70" t="s">
        <v>217</v>
      </c>
      <c r="J10" s="70" t="s">
        <v>217</v>
      </c>
      <c r="K10" s="70" t="s">
        <v>217</v>
      </c>
      <c r="L10" s="70" t="s">
        <v>217</v>
      </c>
      <c r="M10" s="103"/>
    </row>
    <row r="11" spans="1:13" ht="14.25" customHeight="1">
      <c r="A11" s="48"/>
      <c r="B11" s="47" t="s">
        <v>92</v>
      </c>
      <c r="C11" s="42">
        <v>6.01</v>
      </c>
      <c r="D11" s="42">
        <v>6</v>
      </c>
      <c r="E11" s="42">
        <v>6.02</v>
      </c>
      <c r="F11" s="42">
        <v>8.94</v>
      </c>
      <c r="G11" s="42">
        <v>4.5</v>
      </c>
      <c r="H11" s="70" t="s">
        <v>217</v>
      </c>
      <c r="I11" s="70" t="s">
        <v>217</v>
      </c>
      <c r="J11" s="70" t="s">
        <v>217</v>
      </c>
      <c r="K11" s="70" t="s">
        <v>217</v>
      </c>
      <c r="L11" s="70" t="s">
        <v>217</v>
      </c>
      <c r="M11" s="103"/>
    </row>
    <row r="12" spans="1:13" ht="14.25" customHeight="1">
      <c r="A12" s="48"/>
      <c r="B12" s="47" t="s">
        <v>93</v>
      </c>
      <c r="C12" s="42">
        <v>0</v>
      </c>
      <c r="D12" s="42">
        <v>0</v>
      </c>
      <c r="E12" s="42">
        <v>0</v>
      </c>
      <c r="F12" s="42">
        <v>4.32</v>
      </c>
      <c r="G12" s="42">
        <v>8.6</v>
      </c>
      <c r="H12" s="70" t="s">
        <v>217</v>
      </c>
      <c r="I12" s="70" t="s">
        <v>217</v>
      </c>
      <c r="J12" s="70" t="s">
        <v>217</v>
      </c>
      <c r="K12" s="70" t="s">
        <v>217</v>
      </c>
      <c r="L12" s="70" t="s">
        <v>217</v>
      </c>
      <c r="M12" s="103"/>
    </row>
    <row r="13" spans="1:13" ht="14.25" customHeight="1">
      <c r="A13" s="48"/>
      <c r="B13" s="47" t="s">
        <v>94</v>
      </c>
      <c r="C13" s="42">
        <v>0</v>
      </c>
      <c r="D13" s="42">
        <v>-2.13</v>
      </c>
      <c r="E13" s="42">
        <v>12.66</v>
      </c>
      <c r="F13" s="42">
        <v>8.73</v>
      </c>
      <c r="G13" s="42">
        <v>5.39</v>
      </c>
      <c r="H13" s="70" t="s">
        <v>217</v>
      </c>
      <c r="I13" s="70" t="s">
        <v>217</v>
      </c>
      <c r="J13" s="70" t="s">
        <v>217</v>
      </c>
      <c r="K13" s="70" t="s">
        <v>217</v>
      </c>
      <c r="L13" s="70" t="s">
        <v>217</v>
      </c>
      <c r="M13" s="103"/>
    </row>
    <row r="14" spans="1:13" ht="14.25" customHeight="1">
      <c r="A14" s="48"/>
      <c r="B14" s="47" t="s">
        <v>95</v>
      </c>
      <c r="C14" s="42">
        <v>25.23</v>
      </c>
      <c r="D14" s="42">
        <v>30.71</v>
      </c>
      <c r="E14" s="42">
        <v>42.38</v>
      </c>
      <c r="F14" s="42">
        <v>49.2</v>
      </c>
      <c r="G14" s="42">
        <v>41.12</v>
      </c>
      <c r="H14" s="70">
        <f>'Income Statement'!H24</f>
        <v>49.54</v>
      </c>
      <c r="I14" s="70">
        <f>'Income Statement'!I24</f>
        <v>49.54</v>
      </c>
      <c r="J14" s="70">
        <f>'Income Statement'!J24</f>
        <v>49.54</v>
      </c>
      <c r="K14" s="70">
        <f>'Income Statement'!K24</f>
        <v>49.54</v>
      </c>
      <c r="L14" s="70">
        <f>'Income Statement'!L24</f>
        <v>49.54</v>
      </c>
      <c r="M14" s="103"/>
    </row>
    <row r="15" spans="1:13" ht="14.25" customHeight="1">
      <c r="A15" s="48"/>
      <c r="B15" s="47" t="s">
        <v>96</v>
      </c>
      <c r="C15" s="42">
        <v>-38.659999999999997</v>
      </c>
      <c r="D15" s="42">
        <v>13.3</v>
      </c>
      <c r="E15" s="42">
        <v>0.74</v>
      </c>
      <c r="F15" s="42">
        <v>-3.45</v>
      </c>
      <c r="G15" s="42">
        <v>-3.7</v>
      </c>
      <c r="H15" s="70" t="s">
        <v>217</v>
      </c>
      <c r="I15" s="70" t="s">
        <v>217</v>
      </c>
      <c r="J15" s="70" t="s">
        <v>217</v>
      </c>
      <c r="K15" s="70" t="s">
        <v>217</v>
      </c>
      <c r="L15" s="70" t="s">
        <v>217</v>
      </c>
      <c r="M15" s="103"/>
    </row>
    <row r="16" spans="1:13" ht="14.25" customHeight="1">
      <c r="A16" s="48"/>
      <c r="B16" s="47" t="s">
        <v>97</v>
      </c>
      <c r="C16" s="42">
        <v>-170.98</v>
      </c>
      <c r="D16" s="42">
        <v>-216.42</v>
      </c>
      <c r="E16" s="42">
        <v>-241.52</v>
      </c>
      <c r="F16" s="42">
        <v>-249.39</v>
      </c>
      <c r="G16" s="42">
        <v>-241.2</v>
      </c>
      <c r="H16" s="70" t="s">
        <v>217</v>
      </c>
      <c r="I16" s="70" t="s">
        <v>217</v>
      </c>
      <c r="J16" s="70" t="s">
        <v>217</v>
      </c>
      <c r="K16" s="70" t="s">
        <v>217</v>
      </c>
      <c r="L16" s="70" t="s">
        <v>217</v>
      </c>
      <c r="M16" s="103"/>
    </row>
    <row r="17" spans="1:13" ht="14.25" customHeight="1">
      <c r="A17" s="48"/>
      <c r="B17" s="47" t="s">
        <v>98</v>
      </c>
      <c r="C17" s="42"/>
      <c r="D17" s="42"/>
      <c r="E17" s="42">
        <v>0</v>
      </c>
      <c r="F17" s="42">
        <v>-0.96</v>
      </c>
      <c r="G17" s="42">
        <v>0.01</v>
      </c>
      <c r="H17" s="70" t="s">
        <v>217</v>
      </c>
      <c r="I17" s="70" t="s">
        <v>217</v>
      </c>
      <c r="J17" s="70" t="s">
        <v>217</v>
      </c>
      <c r="K17" s="70" t="s">
        <v>217</v>
      </c>
      <c r="L17" s="70" t="s">
        <v>217</v>
      </c>
      <c r="M17" s="103"/>
    </row>
    <row r="18" spans="1:13" ht="14.25" customHeight="1">
      <c r="A18" s="48"/>
      <c r="B18" s="47" t="s">
        <v>99</v>
      </c>
      <c r="C18" s="42">
        <v>0</v>
      </c>
      <c r="D18" s="42">
        <v>-1.62</v>
      </c>
      <c r="E18" s="42">
        <v>3.69</v>
      </c>
      <c r="F18" s="42">
        <v>-0.79</v>
      </c>
      <c r="G18" s="42">
        <v>-1.1299999999999999</v>
      </c>
      <c r="H18" s="70" t="s">
        <v>217</v>
      </c>
      <c r="I18" s="70" t="s">
        <v>217</v>
      </c>
      <c r="J18" s="70" t="s">
        <v>217</v>
      </c>
      <c r="K18" s="70" t="s">
        <v>217</v>
      </c>
      <c r="L18" s="70" t="s">
        <v>217</v>
      </c>
      <c r="M18" s="103"/>
    </row>
    <row r="19" spans="1:13" ht="14.25" customHeight="1">
      <c r="A19" s="48"/>
      <c r="B19" s="47" t="s">
        <v>100</v>
      </c>
      <c r="C19" s="42">
        <v>0</v>
      </c>
      <c r="D19" s="42">
        <v>-23.29</v>
      </c>
      <c r="E19" s="42">
        <v>-19.12</v>
      </c>
      <c r="F19" s="42">
        <v>-6.15</v>
      </c>
      <c r="G19" s="42">
        <v>-16.899999999999999</v>
      </c>
      <c r="H19" s="70" t="s">
        <v>217</v>
      </c>
      <c r="I19" s="70" t="s">
        <v>217</v>
      </c>
      <c r="J19" s="70" t="s">
        <v>217</v>
      </c>
      <c r="K19" s="70" t="s">
        <v>217</v>
      </c>
      <c r="L19" s="70" t="s">
        <v>217</v>
      </c>
      <c r="M19" s="103"/>
    </row>
    <row r="20" spans="1:13" ht="14.25" customHeight="1">
      <c r="A20" s="48"/>
      <c r="B20" s="47" t="s">
        <v>101</v>
      </c>
      <c r="C20" s="42">
        <v>0</v>
      </c>
      <c r="D20" s="42">
        <v>-0.98</v>
      </c>
      <c r="E20" s="42">
        <v>0</v>
      </c>
      <c r="F20" s="42">
        <v>0</v>
      </c>
      <c r="G20" s="42">
        <v>-6.9</v>
      </c>
      <c r="H20" s="70" t="s">
        <v>217</v>
      </c>
      <c r="I20" s="70" t="s">
        <v>217</v>
      </c>
      <c r="J20" s="70" t="s">
        <v>217</v>
      </c>
      <c r="K20" s="70" t="s">
        <v>217</v>
      </c>
      <c r="L20" s="70" t="s">
        <v>217</v>
      </c>
      <c r="M20" s="103"/>
    </row>
    <row r="21" spans="1:13" ht="14.25" customHeight="1">
      <c r="A21" s="48"/>
      <c r="B21" s="47" t="s">
        <v>102</v>
      </c>
      <c r="C21" s="42">
        <v>-26.82</v>
      </c>
      <c r="D21" s="42">
        <v>-32.51</v>
      </c>
      <c r="E21" s="42">
        <v>-19.87</v>
      </c>
      <c r="F21" s="42">
        <v>-1.45</v>
      </c>
      <c r="G21" s="42">
        <v>-1.87</v>
      </c>
      <c r="H21" s="70" t="s">
        <v>217</v>
      </c>
      <c r="I21" s="70" t="s">
        <v>217</v>
      </c>
      <c r="J21" s="70" t="s">
        <v>217</v>
      </c>
      <c r="K21" s="70" t="s">
        <v>217</v>
      </c>
      <c r="L21" s="70" t="s">
        <v>217</v>
      </c>
      <c r="M21" s="103"/>
    </row>
    <row r="22" spans="1:13" ht="14.25" customHeight="1">
      <c r="A22" s="48"/>
      <c r="B22" s="47" t="s">
        <v>103</v>
      </c>
      <c r="C22" s="42">
        <v>0</v>
      </c>
      <c r="D22" s="42">
        <v>-83.5</v>
      </c>
      <c r="E22" s="42">
        <v>9.6999999999999993</v>
      </c>
      <c r="F22" s="42">
        <v>5.21</v>
      </c>
      <c r="G22" s="42">
        <v>95.29</v>
      </c>
      <c r="H22" s="70" t="s">
        <v>217</v>
      </c>
      <c r="I22" s="70" t="s">
        <v>217</v>
      </c>
      <c r="J22" s="70" t="s">
        <v>217</v>
      </c>
      <c r="K22" s="70" t="s">
        <v>217</v>
      </c>
      <c r="L22" s="70" t="s">
        <v>217</v>
      </c>
      <c r="M22" s="103"/>
    </row>
    <row r="23" spans="1:13" ht="14.25" customHeight="1" thickBot="1">
      <c r="A23" s="48"/>
      <c r="B23" s="47" t="s">
        <v>28</v>
      </c>
      <c r="C23" s="42">
        <v>0</v>
      </c>
      <c r="D23" s="42">
        <v>0</v>
      </c>
      <c r="E23" s="42">
        <v>14.54</v>
      </c>
      <c r="F23" s="42">
        <v>75.34</v>
      </c>
      <c r="G23" s="42">
        <v>100</v>
      </c>
      <c r="H23" s="70" t="s">
        <v>217</v>
      </c>
      <c r="I23" s="70" t="s">
        <v>217</v>
      </c>
      <c r="J23" s="70" t="s">
        <v>217</v>
      </c>
      <c r="K23" s="70" t="s">
        <v>217</v>
      </c>
      <c r="L23" s="70" t="s">
        <v>217</v>
      </c>
      <c r="M23" s="103"/>
    </row>
    <row r="24" spans="1:13" ht="14.25" customHeight="1">
      <c r="A24" s="48"/>
      <c r="B24" s="40" t="s">
        <v>104</v>
      </c>
      <c r="C24" s="41">
        <f>C5+SUM(C8:C16,C18:C23)</f>
        <v>1539.1000000000004</v>
      </c>
      <c r="D24" s="41">
        <f t="shared" ref="D24:L24" si="0">D5+SUM(D8:D16,D18:D23)</f>
        <v>1461.7899999999991</v>
      </c>
      <c r="E24" s="41">
        <f>E5+SUM(E8:E16,E18:E23)+E17</f>
        <v>1671.4699999999996</v>
      </c>
      <c r="F24" s="41">
        <f t="shared" ref="F24:G24" si="1">F5+SUM(F8:F16,F18:F23)+F17</f>
        <v>1867.9799999999996</v>
      </c>
      <c r="G24" s="41">
        <f t="shared" si="1"/>
        <v>1980.55</v>
      </c>
      <c r="H24" s="71">
        <f t="shared" si="0"/>
        <v>2000.6681686426509</v>
      </c>
      <c r="I24" s="71">
        <f t="shared" si="0"/>
        <v>2081.8893742312498</v>
      </c>
      <c r="J24" s="71">
        <f t="shared" si="0"/>
        <v>2219.488812410747</v>
      </c>
      <c r="K24" s="71">
        <f t="shared" si="0"/>
        <v>2394.9595832560194</v>
      </c>
      <c r="L24" s="71">
        <f t="shared" si="0"/>
        <v>2530.9867157118833</v>
      </c>
      <c r="M24" s="103"/>
    </row>
    <row r="25" spans="1:13" ht="14.25" customHeight="1">
      <c r="A25" s="48"/>
      <c r="B25" s="47"/>
      <c r="C25" s="42"/>
      <c r="D25" s="42"/>
      <c r="E25" s="42"/>
      <c r="F25" s="42"/>
      <c r="G25" s="42"/>
      <c r="H25" s="70"/>
      <c r="I25" s="70"/>
      <c r="J25" s="70"/>
      <c r="K25" s="70"/>
      <c r="L25" s="70"/>
      <c r="M25" s="103"/>
    </row>
    <row r="26" spans="1:13" ht="14.25" customHeight="1" thickBot="1">
      <c r="A26" s="48"/>
      <c r="B26" s="43" t="s">
        <v>105</v>
      </c>
      <c r="C26" s="42"/>
      <c r="D26" s="42"/>
      <c r="E26" s="42"/>
      <c r="F26" s="42"/>
      <c r="G26" s="42"/>
      <c r="H26" s="70"/>
      <c r="I26" s="70"/>
      <c r="J26" s="70"/>
      <c r="K26" s="70"/>
      <c r="L26" s="70"/>
      <c r="M26" s="103"/>
    </row>
    <row r="27" spans="1:13" ht="14.25" customHeight="1">
      <c r="A27" s="48"/>
      <c r="B27" s="47" t="s">
        <v>106</v>
      </c>
      <c r="C27" s="42">
        <v>-123.22</v>
      </c>
      <c r="D27" s="42">
        <v>-10.210000000000001</v>
      </c>
      <c r="E27" s="42">
        <v>-149.47</v>
      </c>
      <c r="F27" s="42">
        <v>-44.35</v>
      </c>
      <c r="G27" s="42">
        <v>-79.02</v>
      </c>
      <c r="H27" s="70">
        <f>'Balance Sheet'!G21-'Balance Sheet'!H21</f>
        <v>78.24575336765929</v>
      </c>
      <c r="I27" s="70">
        <f>'Balance Sheet'!H21-'Balance Sheet'!I21</f>
        <v>-349.89117774751776</v>
      </c>
      <c r="J27" s="70">
        <f>'Balance Sheet'!I21-'Balance Sheet'!J21</f>
        <v>166.22488494518802</v>
      </c>
      <c r="K27" s="70">
        <f>'Balance Sheet'!J21-'Balance Sheet'!K21</f>
        <v>-372.82260617272505</v>
      </c>
      <c r="L27" s="70">
        <f>'Balance Sheet'!K21-'Balance Sheet'!L21</f>
        <v>106.36841324249326</v>
      </c>
      <c r="M27" s="103"/>
    </row>
    <row r="28" spans="1:13" ht="14.25" customHeight="1">
      <c r="A28" s="48"/>
      <c r="B28" s="47" t="s">
        <v>107</v>
      </c>
      <c r="C28" s="42">
        <v>-13.95</v>
      </c>
      <c r="D28" s="42">
        <v>114.52</v>
      </c>
      <c r="E28" s="42">
        <v>-55.66</v>
      </c>
      <c r="F28" s="42">
        <v>-130.25</v>
      </c>
      <c r="G28" s="42">
        <v>14.28</v>
      </c>
      <c r="H28" s="70">
        <f>'Balance Sheet'!G24-'Balance Sheet'!H24</f>
        <v>-2.0765100972407708</v>
      </c>
      <c r="I28" s="70">
        <f>'Balance Sheet'!H24-'Balance Sheet'!I24</f>
        <v>-111.0354941493058</v>
      </c>
      <c r="J28" s="70">
        <f>'Balance Sheet'!I24-'Balance Sheet'!J24</f>
        <v>-5.0496822572081328</v>
      </c>
      <c r="K28" s="70">
        <f>'Balance Sheet'!J24-'Balance Sheet'!K24</f>
        <v>-125.42022077722652</v>
      </c>
      <c r="L28" s="70">
        <f>'Balance Sheet'!K24-'Balance Sheet'!L24</f>
        <v>-12.095246577786384</v>
      </c>
      <c r="M28" s="103"/>
    </row>
    <row r="29" spans="1:13" ht="14.25" customHeight="1">
      <c r="A29" s="48"/>
      <c r="B29" s="47" t="s">
        <v>108</v>
      </c>
      <c r="C29" s="42">
        <v>0</v>
      </c>
      <c r="D29" s="42">
        <v>-2.85</v>
      </c>
      <c r="E29" s="42">
        <v>-20.59</v>
      </c>
      <c r="F29" s="42">
        <v>24.13</v>
      </c>
      <c r="G29" s="42">
        <v>14.69</v>
      </c>
      <c r="H29" s="70" t="s">
        <v>217</v>
      </c>
      <c r="I29" s="70" t="s">
        <v>217</v>
      </c>
      <c r="J29" s="70" t="s">
        <v>217</v>
      </c>
      <c r="K29" s="70" t="s">
        <v>217</v>
      </c>
      <c r="L29" s="70" t="s">
        <v>217</v>
      </c>
      <c r="M29" s="103"/>
    </row>
    <row r="30" spans="1:13" ht="14.25" customHeight="1">
      <c r="A30" s="48"/>
      <c r="B30" s="47" t="s">
        <v>109</v>
      </c>
      <c r="C30" s="42">
        <v>0</v>
      </c>
      <c r="D30" s="42">
        <v>19.86</v>
      </c>
      <c r="E30" s="42">
        <v>-153.04</v>
      </c>
      <c r="F30" s="42">
        <v>23.34</v>
      </c>
      <c r="G30" s="42">
        <v>-107.21</v>
      </c>
      <c r="H30" s="70" t="s">
        <v>217</v>
      </c>
      <c r="I30" s="70" t="s">
        <v>217</v>
      </c>
      <c r="J30" s="70" t="s">
        <v>217</v>
      </c>
      <c r="K30" s="70" t="s">
        <v>217</v>
      </c>
      <c r="L30" s="70" t="s">
        <v>217</v>
      </c>
      <c r="M30" s="103"/>
    </row>
    <row r="31" spans="1:13" ht="14.25" customHeight="1">
      <c r="A31" s="48"/>
      <c r="B31" s="47" t="s">
        <v>110</v>
      </c>
      <c r="C31" s="42">
        <v>62.01</v>
      </c>
      <c r="D31" s="42">
        <v>-15.99</v>
      </c>
      <c r="E31" s="42">
        <v>85.75</v>
      </c>
      <c r="F31" s="42">
        <v>45.11</v>
      </c>
      <c r="G31" s="42">
        <v>25.99</v>
      </c>
      <c r="H31" s="70">
        <f>'Balance Sheet'!H56-'Balance Sheet'!G56</f>
        <v>88.130075226469671</v>
      </c>
      <c r="I31" s="70">
        <f>'Balance Sheet'!I56-'Balance Sheet'!H56</f>
        <v>173.81354995104402</v>
      </c>
      <c r="J31" s="70">
        <f>'Balance Sheet'!J56-'Balance Sheet'!I56</f>
        <v>82.654612608222578</v>
      </c>
      <c r="K31" s="70">
        <f>'Balance Sheet'!K56-'Balance Sheet'!J56</f>
        <v>206.18140698730167</v>
      </c>
      <c r="L31" s="70">
        <f>'Balance Sheet'!L56-'Balance Sheet'!K56</f>
        <v>101.47272172200155</v>
      </c>
      <c r="M31" s="103"/>
    </row>
    <row r="32" spans="1:13" ht="14.25" customHeight="1">
      <c r="A32" s="48"/>
      <c r="B32" s="47" t="s">
        <v>111</v>
      </c>
      <c r="C32" s="42">
        <v>0</v>
      </c>
      <c r="D32" s="42">
        <v>38.159999999999997</v>
      </c>
      <c r="E32" s="42">
        <v>31.5</v>
      </c>
      <c r="F32" s="42">
        <v>28.78</v>
      </c>
      <c r="G32" s="42">
        <v>31.71</v>
      </c>
      <c r="H32" s="70" t="s">
        <v>217</v>
      </c>
      <c r="I32" s="70" t="s">
        <v>217</v>
      </c>
      <c r="J32" s="70" t="s">
        <v>217</v>
      </c>
      <c r="K32" s="70" t="s">
        <v>217</v>
      </c>
      <c r="L32" s="70" t="s">
        <v>217</v>
      </c>
      <c r="M32" s="103"/>
    </row>
    <row r="33" spans="1:13" ht="14.25" customHeight="1" thickBot="1">
      <c r="A33" s="48"/>
      <c r="B33" s="47" t="s">
        <v>112</v>
      </c>
      <c r="C33" s="42">
        <v>0</v>
      </c>
      <c r="D33" s="42">
        <v>-56.28</v>
      </c>
      <c r="E33" s="42">
        <v>3.99</v>
      </c>
      <c r="F33" s="42">
        <v>35.119999999999997</v>
      </c>
      <c r="G33" s="42">
        <v>41.57</v>
      </c>
      <c r="H33" s="70" t="s">
        <v>217</v>
      </c>
      <c r="I33" s="70" t="s">
        <v>217</v>
      </c>
      <c r="J33" s="70" t="s">
        <v>217</v>
      </c>
      <c r="K33" s="70" t="s">
        <v>217</v>
      </c>
      <c r="L33" s="70" t="s">
        <v>217</v>
      </c>
      <c r="M33" s="103"/>
    </row>
    <row r="34" spans="1:13" ht="14.25" customHeight="1">
      <c r="A34" s="48"/>
      <c r="B34" s="40" t="s">
        <v>113</v>
      </c>
      <c r="C34" s="41">
        <f>C24+SUM(C27:C33)</f>
        <v>1463.9400000000003</v>
      </c>
      <c r="D34" s="41">
        <f t="shared" ref="D34:L34" si="2">D24+SUM(D27:D33)</f>
        <v>1548.9999999999991</v>
      </c>
      <c r="E34" s="41">
        <f t="shared" si="2"/>
        <v>1413.9499999999996</v>
      </c>
      <c r="F34" s="41">
        <f t="shared" si="2"/>
        <v>1849.8599999999997</v>
      </c>
      <c r="G34" s="41">
        <f t="shared" si="2"/>
        <v>1922.56</v>
      </c>
      <c r="H34" s="71">
        <f t="shared" si="2"/>
        <v>2164.9674871395391</v>
      </c>
      <c r="I34" s="71">
        <f t="shared" si="2"/>
        <v>1794.7762522854703</v>
      </c>
      <c r="J34" s="71">
        <f t="shared" si="2"/>
        <v>2463.3186277069494</v>
      </c>
      <c r="K34" s="71">
        <f t="shared" si="2"/>
        <v>2102.8981632933696</v>
      </c>
      <c r="L34" s="71">
        <f t="shared" si="2"/>
        <v>2726.7326040985918</v>
      </c>
      <c r="M34" s="103"/>
    </row>
    <row r="35" spans="1:13" ht="14.25" customHeight="1">
      <c r="A35" s="48"/>
      <c r="B35" s="47"/>
      <c r="C35" s="42"/>
      <c r="D35" s="42"/>
      <c r="E35" s="42"/>
      <c r="F35" s="42"/>
      <c r="G35" s="42"/>
      <c r="H35" s="70"/>
      <c r="I35" s="70"/>
      <c r="J35" s="70"/>
      <c r="K35" s="70"/>
      <c r="L35" s="70"/>
      <c r="M35" s="103"/>
    </row>
    <row r="36" spans="1:13" ht="14.25" customHeight="1" thickBot="1">
      <c r="A36" s="48"/>
      <c r="B36" s="47" t="s">
        <v>114</v>
      </c>
      <c r="C36" s="42">
        <v>-280.52</v>
      </c>
      <c r="D36" s="42">
        <v>-322.06</v>
      </c>
      <c r="E36" s="42">
        <v>-324.92</v>
      </c>
      <c r="F36" s="42">
        <v>-350.73</v>
      </c>
      <c r="G36" s="42">
        <v>-308.94</v>
      </c>
      <c r="H36" s="70">
        <f>-'Income Statement'!H27</f>
        <v>-322.78591188956233</v>
      </c>
      <c r="I36" s="70">
        <f>-'Income Statement'!I27</f>
        <v>-333.80519510883738</v>
      </c>
      <c r="J36" s="70">
        <f>-'Income Statement'!J27</f>
        <v>-354.95199910549485</v>
      </c>
      <c r="K36" s="70">
        <f>-'Income Statement'!K27</f>
        <v>-382.79206725868244</v>
      </c>
      <c r="L36" s="70">
        <f>-'Income Statement'!L27</f>
        <v>-403.08927719930966</v>
      </c>
      <c r="M36" s="103"/>
    </row>
    <row r="37" spans="1:13" ht="14.25" customHeight="1" thickBot="1">
      <c r="A37" s="48"/>
      <c r="B37" s="44" t="s">
        <v>115</v>
      </c>
      <c r="C37" s="45">
        <f>C34+C36</f>
        <v>1183.4200000000003</v>
      </c>
      <c r="D37" s="45">
        <f t="shared" ref="D37:L37" si="3">D34+D36</f>
        <v>1226.9399999999991</v>
      </c>
      <c r="E37" s="45">
        <f t="shared" si="3"/>
        <v>1089.0299999999995</v>
      </c>
      <c r="F37" s="45">
        <f t="shared" si="3"/>
        <v>1499.1299999999997</v>
      </c>
      <c r="G37" s="45">
        <f t="shared" si="3"/>
        <v>1613.62</v>
      </c>
      <c r="H37" s="106">
        <f t="shared" si="3"/>
        <v>1842.1815752499767</v>
      </c>
      <c r="I37" s="106">
        <f t="shared" si="3"/>
        <v>1460.9710571766329</v>
      </c>
      <c r="J37" s="106">
        <f t="shared" si="3"/>
        <v>2108.3666286014545</v>
      </c>
      <c r="K37" s="106">
        <f t="shared" si="3"/>
        <v>1720.1060960346872</v>
      </c>
      <c r="L37" s="106">
        <f t="shared" si="3"/>
        <v>2323.6433268992823</v>
      </c>
      <c r="M37" s="103"/>
    </row>
    <row r="38" spans="1:13" ht="14.25" customHeight="1">
      <c r="A38" s="48"/>
      <c r="B38" s="47"/>
      <c r="C38" s="42"/>
      <c r="D38" s="42"/>
      <c r="E38" s="42"/>
      <c r="F38" s="42"/>
      <c r="G38" s="42"/>
      <c r="H38" s="70"/>
      <c r="I38" s="70"/>
      <c r="J38" s="70"/>
      <c r="K38" s="70"/>
      <c r="L38" s="70"/>
      <c r="M38" s="103"/>
    </row>
    <row r="39" spans="1:13" ht="14.25" customHeight="1" thickBot="1">
      <c r="A39" s="48"/>
      <c r="B39" s="43" t="s">
        <v>116</v>
      </c>
      <c r="C39" s="42"/>
      <c r="D39" s="42"/>
      <c r="E39" s="42"/>
      <c r="F39" s="42"/>
      <c r="G39" s="42"/>
      <c r="H39" s="70"/>
      <c r="I39" s="70"/>
      <c r="J39" s="70"/>
      <c r="K39" s="70"/>
      <c r="L39" s="70"/>
      <c r="M39" s="103"/>
    </row>
    <row r="40" spans="1:13" ht="14.25" customHeight="1">
      <c r="A40" s="48"/>
      <c r="B40" s="47" t="s">
        <v>117</v>
      </c>
      <c r="C40" s="42">
        <v>-200.48</v>
      </c>
      <c r="D40" s="42">
        <v>-490.02</v>
      </c>
      <c r="E40" s="42">
        <v>-206.96</v>
      </c>
      <c r="F40" s="42">
        <v>-234.35</v>
      </c>
      <c r="G40" s="42">
        <v>-417.46</v>
      </c>
      <c r="H40" s="70">
        <f>-'Depriciation Schedule'!H6-10</f>
        <v>-349.55201118458211</v>
      </c>
      <c r="I40" s="70">
        <f>-'Depriciation Schedule'!I6-10</f>
        <v>-373.11691293703296</v>
      </c>
      <c r="J40" s="70">
        <f>-'Depriciation Schedule'!J6-10</f>
        <v>-397.3012229504323</v>
      </c>
      <c r="K40" s="70">
        <f>-'Depriciation Schedule'!K6-10</f>
        <v>-424.48233840442799</v>
      </c>
      <c r="L40" s="70">
        <f>-'Depriciation Schedule'!L6-10</f>
        <v>-453.13127358375647</v>
      </c>
      <c r="M40" s="103"/>
    </row>
    <row r="41" spans="1:13" ht="14.25" customHeight="1">
      <c r="A41" s="48"/>
      <c r="B41" s="47" t="s">
        <v>118</v>
      </c>
      <c r="C41" s="42">
        <v>11.32</v>
      </c>
      <c r="D41" s="42">
        <v>4.22</v>
      </c>
      <c r="E41" s="42">
        <v>6.67</v>
      </c>
      <c r="F41" s="42">
        <v>9.34</v>
      </c>
      <c r="G41" s="42">
        <v>16.97</v>
      </c>
      <c r="H41" s="70" t="s">
        <v>217</v>
      </c>
      <c r="I41" s="70" t="s">
        <v>217</v>
      </c>
      <c r="J41" s="70" t="s">
        <v>217</v>
      </c>
      <c r="K41" s="70" t="s">
        <v>217</v>
      </c>
      <c r="L41" s="70" t="s">
        <v>217</v>
      </c>
      <c r="M41" s="103"/>
    </row>
    <row r="42" spans="1:13" ht="14.25" customHeight="1">
      <c r="A42" s="48"/>
      <c r="B42" s="47" t="s">
        <v>119</v>
      </c>
      <c r="C42" s="42">
        <v>-7341.32</v>
      </c>
      <c r="D42" s="42">
        <v>-9111.14</v>
      </c>
      <c r="E42" s="42">
        <v>-9001.2999999999993</v>
      </c>
      <c r="F42" s="42">
        <v>-5392.77</v>
      </c>
      <c r="G42" s="42">
        <v>-8478.7800000000007</v>
      </c>
      <c r="H42" s="70" t="s">
        <v>217</v>
      </c>
      <c r="I42" s="70" t="s">
        <v>217</v>
      </c>
      <c r="J42" s="70" t="s">
        <v>217</v>
      </c>
      <c r="K42" s="70" t="s">
        <v>217</v>
      </c>
      <c r="L42" s="70" t="s">
        <v>217</v>
      </c>
      <c r="M42" s="103"/>
    </row>
    <row r="43" spans="1:13" ht="14.25" customHeight="1">
      <c r="A43" s="48"/>
      <c r="B43" s="47" t="s">
        <v>120</v>
      </c>
      <c r="C43" s="42">
        <v>147.85</v>
      </c>
      <c r="D43" s="42">
        <v>8600.0400000000009</v>
      </c>
      <c r="E43" s="42">
        <v>8417.64</v>
      </c>
      <c r="F43" s="42">
        <v>5710.25</v>
      </c>
      <c r="G43" s="42">
        <v>8114.22</v>
      </c>
      <c r="H43" s="70" t="s">
        <v>217</v>
      </c>
      <c r="I43" s="70" t="s">
        <v>217</v>
      </c>
      <c r="J43" s="70" t="s">
        <v>217</v>
      </c>
      <c r="K43" s="70" t="s">
        <v>217</v>
      </c>
      <c r="L43" s="70" t="s">
        <v>217</v>
      </c>
      <c r="M43" s="103"/>
    </row>
    <row r="44" spans="1:13" ht="14.25" customHeight="1" thickBot="1">
      <c r="A44" s="48"/>
      <c r="B44" s="47" t="s">
        <v>121</v>
      </c>
      <c r="C44" s="42">
        <v>6653.05</v>
      </c>
      <c r="D44" s="42">
        <v>190.02</v>
      </c>
      <c r="E44" s="42">
        <v>243.72</v>
      </c>
      <c r="F44" s="42">
        <v>244.44</v>
      </c>
      <c r="G44" s="42">
        <v>248.21</v>
      </c>
      <c r="H44" s="70" t="s">
        <v>217</v>
      </c>
      <c r="I44" s="70" t="s">
        <v>217</v>
      </c>
      <c r="J44" s="70" t="s">
        <v>217</v>
      </c>
      <c r="K44" s="70" t="s">
        <v>217</v>
      </c>
      <c r="L44" s="70" t="s">
        <v>217</v>
      </c>
      <c r="M44" s="103"/>
    </row>
    <row r="45" spans="1:13" ht="14.25" customHeight="1" thickBot="1">
      <c r="A45" s="48"/>
      <c r="B45" s="44" t="s">
        <v>122</v>
      </c>
      <c r="C45" s="45">
        <f>SUM(C40:C44)</f>
        <v>-729.57999999999902</v>
      </c>
      <c r="D45" s="45">
        <f t="shared" ref="D45:L45" si="4">SUM(D40:D44)</f>
        <v>-806.87999999999784</v>
      </c>
      <c r="E45" s="45">
        <f t="shared" si="4"/>
        <v>-540.2300000000007</v>
      </c>
      <c r="F45" s="45">
        <f t="shared" si="4"/>
        <v>336.90999999999934</v>
      </c>
      <c r="G45" s="45">
        <f t="shared" si="4"/>
        <v>-516.84000000000015</v>
      </c>
      <c r="H45" s="106">
        <f t="shared" si="4"/>
        <v>-349.55201118458211</v>
      </c>
      <c r="I45" s="106">
        <f t="shared" si="4"/>
        <v>-373.11691293703296</v>
      </c>
      <c r="J45" s="106">
        <f t="shared" si="4"/>
        <v>-397.3012229504323</v>
      </c>
      <c r="K45" s="106">
        <f t="shared" si="4"/>
        <v>-424.48233840442799</v>
      </c>
      <c r="L45" s="106">
        <f t="shared" si="4"/>
        <v>-453.13127358375647</v>
      </c>
      <c r="M45" s="103"/>
    </row>
    <row r="46" spans="1:13" ht="14.25" customHeight="1">
      <c r="A46" s="48"/>
      <c r="B46" s="47"/>
      <c r="C46" s="42"/>
      <c r="D46" s="42"/>
      <c r="E46" s="42"/>
      <c r="F46" s="42"/>
      <c r="G46" s="42"/>
      <c r="H46" s="70"/>
      <c r="I46" s="70"/>
      <c r="J46" s="70"/>
      <c r="K46" s="70"/>
      <c r="L46" s="70"/>
      <c r="M46" s="103"/>
    </row>
    <row r="47" spans="1:13" ht="14.25" customHeight="1" thickBot="1">
      <c r="A47" s="48"/>
      <c r="B47" s="43" t="s">
        <v>123</v>
      </c>
      <c r="C47" s="42"/>
      <c r="D47" s="42"/>
      <c r="E47" s="42"/>
      <c r="F47" s="42"/>
      <c r="G47" s="42"/>
      <c r="H47" s="70"/>
      <c r="I47" s="70"/>
      <c r="J47" s="70"/>
      <c r="K47" s="70"/>
      <c r="L47" s="70"/>
      <c r="M47" s="103"/>
    </row>
    <row r="48" spans="1:13" ht="14.25" customHeight="1">
      <c r="A48" s="48"/>
      <c r="B48" s="47" t="s">
        <v>124</v>
      </c>
      <c r="C48" s="42">
        <v>17.21</v>
      </c>
      <c r="D48" s="42">
        <v>14.87</v>
      </c>
      <c r="E48" s="42">
        <v>0</v>
      </c>
      <c r="F48" s="42">
        <v>0.48</v>
      </c>
      <c r="G48" s="42">
        <v>0.08</v>
      </c>
      <c r="H48" s="70" t="s">
        <v>217</v>
      </c>
      <c r="I48" s="70" t="s">
        <v>217</v>
      </c>
      <c r="J48" s="70" t="s">
        <v>217</v>
      </c>
      <c r="K48" s="70" t="s">
        <v>217</v>
      </c>
      <c r="L48" s="70" t="s">
        <v>217</v>
      </c>
      <c r="M48" s="103"/>
    </row>
    <row r="49" spans="1:13" ht="14.25" customHeight="1">
      <c r="A49" s="48"/>
      <c r="B49" s="47" t="s">
        <v>125</v>
      </c>
      <c r="C49" s="42">
        <v>131.18</v>
      </c>
      <c r="D49" s="42">
        <v>128.79</v>
      </c>
      <c r="E49" s="42">
        <v>-61.57</v>
      </c>
      <c r="F49" s="42">
        <v>-271.95999999999998</v>
      </c>
      <c r="G49" s="42">
        <v>-175.1</v>
      </c>
      <c r="H49" s="70" t="s">
        <v>217</v>
      </c>
      <c r="I49" s="70" t="s">
        <v>217</v>
      </c>
      <c r="J49" s="70" t="s">
        <v>217</v>
      </c>
      <c r="K49" s="70" t="s">
        <v>217</v>
      </c>
      <c r="L49" s="70" t="s">
        <v>217</v>
      </c>
      <c r="M49" s="103"/>
    </row>
    <row r="50" spans="1:13" ht="14.25" customHeight="1">
      <c r="A50" s="48"/>
      <c r="B50" s="47" t="s">
        <v>126</v>
      </c>
      <c r="C50" s="42">
        <v>-59.69</v>
      </c>
      <c r="D50" s="42">
        <v>39.409999999999997</v>
      </c>
      <c r="E50" s="42">
        <v>7.04</v>
      </c>
      <c r="F50" s="42">
        <v>31.81</v>
      </c>
      <c r="G50" s="42">
        <v>-182.88</v>
      </c>
      <c r="H50" s="70" t="s">
        <v>217</v>
      </c>
      <c r="I50" s="70" t="s">
        <v>217</v>
      </c>
      <c r="J50" s="70" t="s">
        <v>217</v>
      </c>
      <c r="K50" s="70" t="s">
        <v>217</v>
      </c>
      <c r="L50" s="70" t="s">
        <v>217</v>
      </c>
      <c r="M50" s="103"/>
    </row>
    <row r="51" spans="1:13" ht="14.25" customHeight="1">
      <c r="A51" s="48"/>
      <c r="B51" s="47" t="s">
        <v>127</v>
      </c>
      <c r="C51" s="42">
        <v>-351.65</v>
      </c>
      <c r="D51" s="42">
        <v>-396.34</v>
      </c>
      <c r="E51" s="42">
        <v>-396.34</v>
      </c>
      <c r="F51" s="42">
        <v>-1324.71</v>
      </c>
      <c r="G51" s="42">
        <v>-512.45000000000005</v>
      </c>
      <c r="H51" s="70">
        <f>-'Cost Sheet'!H53</f>
        <v>-443.53387631916979</v>
      </c>
      <c r="I51" s="70">
        <f>-'Cost Sheet'!I53</f>
        <v>-458.67526019151188</v>
      </c>
      <c r="J51" s="70">
        <f>-'Cost Sheet'!J53</f>
        <v>-487.73267441846309</v>
      </c>
      <c r="K51" s="70">
        <f>-'Cost Sheet'!K53</f>
        <v>-525.98717342273778</v>
      </c>
      <c r="L51" s="70">
        <f>-'Cost Sheet'!L53</f>
        <v>-553.87717689510282</v>
      </c>
      <c r="M51" s="103"/>
    </row>
    <row r="52" spans="1:13" ht="14.25" customHeight="1">
      <c r="A52" s="48"/>
      <c r="B52" s="47" t="s">
        <v>128</v>
      </c>
      <c r="C52" s="42">
        <v>-71.599999999999994</v>
      </c>
      <c r="D52" s="42">
        <v>-80.69</v>
      </c>
      <c r="E52" s="42">
        <v>-80.69</v>
      </c>
      <c r="F52" s="42">
        <v>-272.3</v>
      </c>
      <c r="G52" s="42">
        <v>-105.33</v>
      </c>
      <c r="H52" s="70">
        <f>-'Cost Sheet'!H58</f>
        <v>-90.648001526842876</v>
      </c>
      <c r="I52" s="70">
        <f>-'Cost Sheet'!I58</f>
        <v>-93.74254799028121</v>
      </c>
      <c r="J52" s="70">
        <f>-'Cost Sheet'!J58</f>
        <v>-99.68120717697056</v>
      </c>
      <c r="K52" s="70">
        <f>-'Cost Sheet'!K58</f>
        <v>-107.49953643949735</v>
      </c>
      <c r="L52" s="70">
        <f>-'Cost Sheet'!L58</f>
        <v>-113.19960403822866</v>
      </c>
      <c r="M52" s="103"/>
    </row>
    <row r="53" spans="1:13" ht="14.25" customHeight="1">
      <c r="A53" s="48"/>
      <c r="B53" s="47" t="s">
        <v>129</v>
      </c>
      <c r="C53" s="42">
        <v>-39.76</v>
      </c>
      <c r="D53" s="42">
        <v>-45.01</v>
      </c>
      <c r="E53" s="42">
        <v>-42.81</v>
      </c>
      <c r="F53" s="42">
        <v>-51.52</v>
      </c>
      <c r="G53" s="42">
        <v>-28.51</v>
      </c>
      <c r="H53" s="70">
        <f>-'Income Statement'!H24</f>
        <v>-49.54</v>
      </c>
      <c r="I53" s="70">
        <f>-'Income Statement'!I24</f>
        <v>-49.54</v>
      </c>
      <c r="J53" s="70">
        <f>-'Income Statement'!J24</f>
        <v>-49.54</v>
      </c>
      <c r="K53" s="70">
        <f>-'Income Statement'!K24</f>
        <v>-49.54</v>
      </c>
      <c r="L53" s="70">
        <f>-'Income Statement'!L24</f>
        <v>-49.54</v>
      </c>
      <c r="M53" s="103"/>
    </row>
    <row r="54" spans="1:13" ht="14.25" customHeight="1" thickBot="1">
      <c r="A54" s="48"/>
      <c r="B54" s="47" t="s">
        <v>130</v>
      </c>
      <c r="C54" s="42">
        <v>0</v>
      </c>
      <c r="D54" s="42">
        <v>0</v>
      </c>
      <c r="E54" s="42">
        <v>0</v>
      </c>
      <c r="F54" s="42">
        <v>0</v>
      </c>
      <c r="G54" s="42">
        <v>-38.78</v>
      </c>
      <c r="H54" s="70" t="s">
        <v>217</v>
      </c>
      <c r="I54" s="70" t="s">
        <v>217</v>
      </c>
      <c r="J54" s="70" t="s">
        <v>217</v>
      </c>
      <c r="K54" s="70" t="s">
        <v>217</v>
      </c>
      <c r="L54" s="70" t="s">
        <v>217</v>
      </c>
      <c r="M54" s="103"/>
    </row>
    <row r="55" spans="1:13" ht="14.25" customHeight="1" thickBot="1">
      <c r="A55" s="48"/>
      <c r="B55" s="44" t="s">
        <v>131</v>
      </c>
      <c r="C55" s="45">
        <f>SUM(C48:C54)</f>
        <v>-374.30999999999995</v>
      </c>
      <c r="D55" s="45">
        <f t="shared" ref="D55:L55" si="5">SUM(D48:D54)</f>
        <v>-338.96999999999997</v>
      </c>
      <c r="E55" s="45">
        <f t="shared" si="5"/>
        <v>-574.36999999999989</v>
      </c>
      <c r="F55" s="45">
        <f t="shared" si="5"/>
        <v>-1888.2</v>
      </c>
      <c r="G55" s="45">
        <f t="shared" si="5"/>
        <v>-1042.97</v>
      </c>
      <c r="H55" s="106">
        <f t="shared" si="5"/>
        <v>-583.7218778460126</v>
      </c>
      <c r="I55" s="106">
        <f t="shared" si="5"/>
        <v>-601.9578081817931</v>
      </c>
      <c r="J55" s="106">
        <f t="shared" si="5"/>
        <v>-636.95388159543359</v>
      </c>
      <c r="K55" s="106">
        <f t="shared" si="5"/>
        <v>-683.02670986223507</v>
      </c>
      <c r="L55" s="106">
        <f t="shared" si="5"/>
        <v>-716.61678093333148</v>
      </c>
      <c r="M55" s="103"/>
    </row>
    <row r="56" spans="1:13" ht="14.25" customHeight="1" thickBot="1">
      <c r="A56" s="48"/>
      <c r="B56" s="47"/>
      <c r="C56" s="42"/>
      <c r="D56" s="42"/>
      <c r="E56" s="42"/>
      <c r="F56" s="42"/>
      <c r="G56" s="42"/>
      <c r="H56" s="70"/>
      <c r="I56" s="70"/>
      <c r="J56" s="70"/>
      <c r="K56" s="70"/>
      <c r="L56" s="70"/>
      <c r="M56" s="103"/>
    </row>
    <row r="57" spans="1:13" ht="14.25" customHeight="1" thickBot="1">
      <c r="A57" s="48"/>
      <c r="B57" s="44" t="s">
        <v>132</v>
      </c>
      <c r="C57" s="45">
        <f>C55+C45+C37</f>
        <v>79.530000000001337</v>
      </c>
      <c r="D57" s="45">
        <f t="shared" ref="D57:L57" si="6">D55+D45+D37</f>
        <v>81.090000000001282</v>
      </c>
      <c r="E57" s="45">
        <f t="shared" si="6"/>
        <v>-25.570000000001073</v>
      </c>
      <c r="F57" s="45">
        <f t="shared" si="6"/>
        <v>-52.160000000000991</v>
      </c>
      <c r="G57" s="45">
        <f t="shared" si="6"/>
        <v>53.809999999999718</v>
      </c>
      <c r="H57" s="106">
        <f t="shared" si="6"/>
        <v>908.90768621938196</v>
      </c>
      <c r="I57" s="106">
        <f t="shared" si="6"/>
        <v>485.89633605780682</v>
      </c>
      <c r="J57" s="106">
        <f t="shared" si="6"/>
        <v>1074.1115240555887</v>
      </c>
      <c r="K57" s="106">
        <f t="shared" si="6"/>
        <v>612.59704776802414</v>
      </c>
      <c r="L57" s="106">
        <f t="shared" si="6"/>
        <v>1153.8952723821944</v>
      </c>
      <c r="M57" s="103"/>
    </row>
    <row r="58" spans="1:13" ht="14.25" customHeight="1">
      <c r="A58" s="48"/>
      <c r="B58" s="47"/>
      <c r="C58" s="42"/>
      <c r="D58" s="42"/>
      <c r="E58" s="42"/>
      <c r="F58" s="42"/>
      <c r="G58" s="42"/>
      <c r="H58" s="70"/>
      <c r="I58" s="70"/>
      <c r="J58" s="70"/>
      <c r="K58" s="70"/>
      <c r="L58" s="70"/>
      <c r="M58" s="103"/>
    </row>
    <row r="59" spans="1:13" ht="14.25" customHeight="1" thickBot="1">
      <c r="A59" s="48"/>
      <c r="B59" s="43" t="s">
        <v>133</v>
      </c>
      <c r="C59" s="49">
        <v>-47.49</v>
      </c>
      <c r="D59" s="49">
        <v>32.040000000001335</v>
      </c>
      <c r="E59" s="49">
        <v>112.94000000000239</v>
      </c>
      <c r="F59" s="49">
        <v>89.21</v>
      </c>
      <c r="G59" s="49">
        <f>F61</f>
        <v>37.719999999999004</v>
      </c>
      <c r="H59" s="77">
        <f t="shared" ref="H59:L59" si="7">G61</f>
        <v>91.739999999998716</v>
      </c>
      <c r="I59" s="77">
        <f t="shared" si="7"/>
        <v>1000.6476862193807</v>
      </c>
      <c r="J59" s="77">
        <f t="shared" si="7"/>
        <v>1486.5440222771877</v>
      </c>
      <c r="K59" s="77">
        <f t="shared" si="7"/>
        <v>2560.6555463327763</v>
      </c>
      <c r="L59" s="77">
        <f t="shared" si="7"/>
        <v>3173.2525941008007</v>
      </c>
      <c r="M59" s="103"/>
    </row>
    <row r="60" spans="1:13" ht="14.25" customHeight="1" thickBot="1">
      <c r="A60" s="48"/>
      <c r="B60" s="47" t="s">
        <v>134</v>
      </c>
      <c r="C60" s="42">
        <v>0</v>
      </c>
      <c r="D60" s="42">
        <v>-0.19</v>
      </c>
      <c r="E60" s="42">
        <v>-0.94</v>
      </c>
      <c r="F60" s="42">
        <v>0.67</v>
      </c>
      <c r="G60" s="42">
        <v>0.21</v>
      </c>
      <c r="H60" s="70" t="s">
        <v>217</v>
      </c>
      <c r="I60" s="70" t="s">
        <v>217</v>
      </c>
      <c r="J60" s="70" t="s">
        <v>217</v>
      </c>
      <c r="K60" s="70" t="s">
        <v>217</v>
      </c>
      <c r="L60" s="70" t="s">
        <v>217</v>
      </c>
      <c r="M60" s="103"/>
    </row>
    <row r="61" spans="1:13" ht="14.25" customHeight="1" thickBot="1">
      <c r="A61" s="48"/>
      <c r="B61" s="44" t="s">
        <v>135</v>
      </c>
      <c r="C61" s="45">
        <f>C57+C59+C60</f>
        <v>32.040000000001335</v>
      </c>
      <c r="D61" s="45">
        <f t="shared" ref="D61:G61" si="8">D57+D59+D60</f>
        <v>112.94000000000261</v>
      </c>
      <c r="E61" s="45">
        <f t="shared" si="8"/>
        <v>86.430000000001314</v>
      </c>
      <c r="F61" s="45">
        <f t="shared" si="8"/>
        <v>37.719999999999004</v>
      </c>
      <c r="G61" s="45">
        <f t="shared" si="8"/>
        <v>91.739999999998716</v>
      </c>
      <c r="H61" s="106">
        <f>H59+H57</f>
        <v>1000.6476862193807</v>
      </c>
      <c r="I61" s="106">
        <f t="shared" ref="I61:L61" si="9">I59+I57</f>
        <v>1486.5440222771877</v>
      </c>
      <c r="J61" s="106">
        <f t="shared" si="9"/>
        <v>2560.6555463327763</v>
      </c>
      <c r="K61" s="106">
        <f t="shared" si="9"/>
        <v>3173.2525941008007</v>
      </c>
      <c r="L61" s="106">
        <f t="shared" si="9"/>
        <v>4327.1478664829956</v>
      </c>
      <c r="M61" s="103"/>
    </row>
    <row r="62" spans="1:13" ht="14.25" customHeight="1">
      <c r="A62" s="48"/>
      <c r="B62" s="47" t="s">
        <v>136</v>
      </c>
      <c r="C62" s="42">
        <v>83.71</v>
      </c>
      <c r="D62" s="42">
        <v>24.46</v>
      </c>
      <c r="E62" s="34">
        <v>48</v>
      </c>
      <c r="F62" s="42">
        <v>54.3</v>
      </c>
      <c r="G62" s="42">
        <v>56.73</v>
      </c>
      <c r="H62" s="70">
        <f>G62</f>
        <v>56.73</v>
      </c>
      <c r="I62" s="70">
        <f t="shared" ref="I62:L62" si="10">H62</f>
        <v>56.73</v>
      </c>
      <c r="J62" s="70">
        <f t="shared" si="10"/>
        <v>56.73</v>
      </c>
      <c r="K62" s="70">
        <f t="shared" si="10"/>
        <v>56.73</v>
      </c>
      <c r="L62" s="70">
        <f t="shared" si="10"/>
        <v>56.73</v>
      </c>
      <c r="M62" s="103"/>
    </row>
    <row r="63" spans="1:13" ht="14.25" customHeight="1" thickBot="1">
      <c r="A63" s="48"/>
      <c r="B63" s="47" t="s">
        <v>137</v>
      </c>
      <c r="C63" s="42">
        <v>12.58</v>
      </c>
      <c r="D63" s="42">
        <v>23.01</v>
      </c>
      <c r="E63" s="34">
        <v>16.59</v>
      </c>
      <c r="F63" s="42">
        <v>15.67</v>
      </c>
      <c r="G63" s="42">
        <v>15.47</v>
      </c>
      <c r="H63" s="70">
        <f>G63</f>
        <v>15.47</v>
      </c>
      <c r="I63" s="70">
        <f t="shared" ref="I63:L63" si="11">H63</f>
        <v>15.47</v>
      </c>
      <c r="J63" s="70">
        <f t="shared" si="11"/>
        <v>15.47</v>
      </c>
      <c r="K63" s="70">
        <f t="shared" si="11"/>
        <v>15.47</v>
      </c>
      <c r="L63" s="70">
        <f t="shared" si="11"/>
        <v>15.47</v>
      </c>
      <c r="M63" s="103"/>
    </row>
    <row r="64" spans="1:13" ht="14.25" customHeight="1" thickBot="1">
      <c r="A64" s="48"/>
      <c r="B64" s="44" t="s">
        <v>138</v>
      </c>
      <c r="C64" s="45">
        <f>C61+C62+C63</f>
        <v>128.33000000000135</v>
      </c>
      <c r="D64" s="45">
        <f t="shared" ref="D64:H64" si="12">D61+D62+D63</f>
        <v>160.41000000000261</v>
      </c>
      <c r="E64" s="45">
        <f t="shared" si="12"/>
        <v>151.02000000000132</v>
      </c>
      <c r="F64" s="45">
        <f>F61+F62+F63</f>
        <v>107.689999999999</v>
      </c>
      <c r="G64" s="45">
        <f t="shared" si="12"/>
        <v>163.93999999999872</v>
      </c>
      <c r="H64" s="106">
        <f t="shared" si="12"/>
        <v>1072.8476862193806</v>
      </c>
      <c r="I64" s="106">
        <f t="shared" ref="I64:L64" si="13">I61+I62+I63</f>
        <v>1558.7440222771877</v>
      </c>
      <c r="J64" s="106">
        <f t="shared" si="13"/>
        <v>2632.8555463327762</v>
      </c>
      <c r="K64" s="106">
        <f t="shared" si="13"/>
        <v>3245.4525941008005</v>
      </c>
      <c r="L64" s="106">
        <f t="shared" si="13"/>
        <v>4399.3478664829954</v>
      </c>
      <c r="M64" s="103"/>
    </row>
    <row r="65" spans="1:13" ht="14.25" customHeight="1">
      <c r="A65" s="35"/>
      <c r="B65" s="42"/>
      <c r="C65" s="35"/>
      <c r="D65" s="35"/>
      <c r="E65" s="35"/>
      <c r="F65" s="35"/>
      <c r="G65" s="35"/>
      <c r="H65" s="42"/>
      <c r="I65" s="42"/>
      <c r="J65" s="42"/>
      <c r="K65" s="42"/>
      <c r="L65" s="42"/>
      <c r="M65" s="42"/>
    </row>
    <row r="66" spans="1:13" ht="14.25" customHeight="1">
      <c r="A66" s="35"/>
      <c r="B66" s="42"/>
      <c r="C66" s="35"/>
      <c r="D66" s="35"/>
      <c r="E66" s="35"/>
      <c r="F66" s="35"/>
      <c r="G66" s="35"/>
      <c r="H66" s="42"/>
      <c r="I66" s="42"/>
      <c r="J66" s="42"/>
      <c r="K66" s="42"/>
      <c r="L66" s="42"/>
      <c r="M66" s="42"/>
    </row>
    <row r="67" spans="1:13" ht="14.25" customHeight="1">
      <c r="A67" s="35"/>
      <c r="B67" s="42"/>
      <c r="C67" s="35"/>
      <c r="D67" s="35"/>
      <c r="E67" s="35"/>
      <c r="F67" s="35"/>
      <c r="G67" s="35"/>
      <c r="H67" s="42"/>
      <c r="I67" s="42"/>
      <c r="J67" s="42"/>
      <c r="K67" s="42"/>
      <c r="L67" s="42"/>
      <c r="M67" s="42"/>
    </row>
    <row r="68" spans="1:13" ht="14.25" customHeight="1">
      <c r="A68" s="35"/>
      <c r="B68" s="42"/>
      <c r="C68" s="35"/>
      <c r="D68" s="35"/>
      <c r="E68" s="35"/>
      <c r="F68" s="35"/>
      <c r="G68" s="35"/>
      <c r="H68" s="42"/>
      <c r="I68" s="42"/>
      <c r="J68" s="42"/>
      <c r="K68" s="42"/>
      <c r="L68" s="42"/>
      <c r="M68" s="42"/>
    </row>
    <row r="69" spans="1:13" ht="12.75" customHeight="1">
      <c r="A69" s="35"/>
      <c r="B69" s="42"/>
      <c r="C69" s="35"/>
      <c r="D69" s="35"/>
      <c r="E69" s="35"/>
      <c r="F69" s="35"/>
      <c r="G69" s="35"/>
      <c r="H69" s="42"/>
      <c r="I69" s="42"/>
      <c r="J69" s="42"/>
      <c r="K69" s="42"/>
      <c r="L69" s="42"/>
      <c r="M69" s="42"/>
    </row>
    <row r="70" spans="1:13" ht="12.75" customHeight="1">
      <c r="A70" s="35"/>
      <c r="B70" s="42"/>
      <c r="C70" s="35"/>
      <c r="D70" s="35"/>
      <c r="E70" s="35"/>
      <c r="F70" s="35"/>
      <c r="G70" s="35"/>
      <c r="H70" s="42"/>
      <c r="I70" s="42"/>
      <c r="J70" s="42"/>
      <c r="K70" s="42"/>
      <c r="L70" s="42"/>
      <c r="M70" s="42"/>
    </row>
    <row r="71" spans="1:13" ht="12.75" customHeight="1">
      <c r="A71" s="35"/>
      <c r="B71" s="42"/>
      <c r="C71" s="35"/>
      <c r="D71" s="35"/>
      <c r="E71" s="35"/>
      <c r="F71" s="35"/>
      <c r="G71" s="35"/>
      <c r="H71" s="42"/>
      <c r="I71" s="42"/>
      <c r="J71" s="42"/>
      <c r="K71" s="42"/>
      <c r="L71" s="42"/>
      <c r="M71" s="42"/>
    </row>
    <row r="72" spans="1:13" ht="12.75" customHeight="1">
      <c r="A72" s="35"/>
      <c r="B72" s="42"/>
      <c r="C72" s="35"/>
      <c r="D72" s="35"/>
      <c r="E72" s="35"/>
      <c r="F72" s="35"/>
      <c r="G72" s="35"/>
      <c r="H72" s="42"/>
      <c r="I72" s="42"/>
      <c r="J72" s="42"/>
      <c r="K72" s="42"/>
      <c r="L72" s="42"/>
      <c r="M72" s="42"/>
    </row>
    <row r="73" spans="1:13" ht="12.75" customHeight="1">
      <c r="A73" s="35"/>
      <c r="B73" s="42"/>
      <c r="C73" s="35"/>
      <c r="D73" s="35"/>
      <c r="E73" s="35"/>
      <c r="F73" s="35"/>
      <c r="G73" s="35"/>
      <c r="H73" s="42"/>
      <c r="I73" s="42"/>
      <c r="J73" s="42"/>
      <c r="K73" s="42"/>
      <c r="L73" s="42"/>
      <c r="M73" s="42"/>
    </row>
    <row r="74" spans="1:13" ht="12.75" customHeight="1">
      <c r="A74" s="35"/>
      <c r="B74" s="42"/>
      <c r="C74" s="35"/>
      <c r="D74" s="35"/>
      <c r="E74" s="35"/>
      <c r="F74" s="35"/>
      <c r="G74" s="35"/>
      <c r="H74" s="42"/>
      <c r="I74" s="42"/>
      <c r="J74" s="42"/>
      <c r="K74" s="42"/>
      <c r="L74" s="42"/>
      <c r="M74" s="42"/>
    </row>
    <row r="75" spans="1:13" ht="12.75" customHeight="1">
      <c r="A75" s="35"/>
      <c r="B75" s="42"/>
      <c r="C75" s="35"/>
      <c r="D75" s="35"/>
      <c r="E75" s="35"/>
      <c r="F75" s="35"/>
      <c r="G75" s="35"/>
      <c r="H75" s="42"/>
      <c r="I75" s="42"/>
      <c r="J75" s="42"/>
      <c r="K75" s="42"/>
      <c r="L75" s="42"/>
      <c r="M75" s="42"/>
    </row>
    <row r="76" spans="1:13" ht="12.75" customHeight="1">
      <c r="A76" s="35"/>
      <c r="B76" s="42"/>
      <c r="C76" s="35"/>
      <c r="D76" s="35"/>
      <c r="E76" s="35"/>
      <c r="F76" s="35"/>
      <c r="G76" s="35"/>
      <c r="H76" s="42"/>
      <c r="I76" s="42"/>
      <c r="J76" s="42"/>
      <c r="K76" s="42"/>
      <c r="L76" s="42"/>
      <c r="M76" s="42"/>
    </row>
    <row r="77" spans="1:13" ht="12.75" customHeight="1">
      <c r="A77" s="35"/>
      <c r="B77" s="42"/>
      <c r="C77" s="35"/>
      <c r="D77" s="35"/>
      <c r="E77" s="35"/>
      <c r="F77" s="35"/>
      <c r="G77" s="35"/>
      <c r="H77" s="42"/>
      <c r="I77" s="42"/>
      <c r="J77" s="42"/>
      <c r="K77" s="42"/>
      <c r="L77" s="42"/>
      <c r="M77" s="42"/>
    </row>
    <row r="78" spans="1:13" ht="12.75" customHeight="1">
      <c r="A78" s="35"/>
      <c r="B78" s="42"/>
      <c r="C78" s="35"/>
      <c r="D78" s="35"/>
      <c r="E78" s="35"/>
      <c r="F78" s="35"/>
      <c r="G78" s="35"/>
      <c r="H78" s="42"/>
      <c r="I78" s="42"/>
      <c r="J78" s="42"/>
      <c r="K78" s="42"/>
      <c r="L78" s="42"/>
      <c r="M78" s="42"/>
    </row>
    <row r="79" spans="1:13" ht="12.75" customHeight="1">
      <c r="A79" s="35"/>
      <c r="B79" s="42"/>
      <c r="C79" s="35"/>
      <c r="D79" s="35"/>
      <c r="E79" s="35"/>
      <c r="F79" s="35"/>
      <c r="G79" s="35"/>
      <c r="H79" s="42"/>
      <c r="I79" s="42"/>
      <c r="J79" s="42"/>
      <c r="K79" s="42"/>
      <c r="L79" s="42"/>
      <c r="M79" s="42"/>
    </row>
    <row r="80" spans="1:13" ht="12.75" customHeight="1">
      <c r="A80" s="35"/>
      <c r="B80" s="42"/>
      <c r="C80" s="35"/>
      <c r="D80" s="35"/>
      <c r="E80" s="35"/>
      <c r="F80" s="35"/>
      <c r="G80" s="35"/>
      <c r="H80" s="42"/>
      <c r="I80" s="42"/>
      <c r="J80" s="42"/>
      <c r="K80" s="42"/>
      <c r="L80" s="42"/>
      <c r="M80" s="42"/>
    </row>
    <row r="81" spans="1:13" ht="12.75" customHeight="1">
      <c r="A81" s="35"/>
      <c r="B81" s="42"/>
      <c r="C81" s="35"/>
      <c r="D81" s="35"/>
      <c r="E81" s="35"/>
      <c r="F81" s="35"/>
      <c r="G81" s="35"/>
      <c r="H81" s="42"/>
      <c r="I81" s="42"/>
      <c r="J81" s="42"/>
      <c r="K81" s="42"/>
      <c r="L81" s="42"/>
      <c r="M81" s="42"/>
    </row>
    <row r="82" spans="1:13" ht="12.75" customHeight="1">
      <c r="A82" s="35"/>
      <c r="B82" s="42"/>
      <c r="C82" s="35"/>
      <c r="D82" s="35"/>
      <c r="E82" s="35"/>
      <c r="F82" s="35"/>
      <c r="G82" s="35"/>
      <c r="H82" s="42"/>
      <c r="I82" s="42"/>
      <c r="J82" s="42"/>
      <c r="K82" s="42"/>
      <c r="L82" s="42"/>
      <c r="M82" s="42"/>
    </row>
    <row r="83" spans="1:13" ht="12.75" customHeight="1">
      <c r="A83" s="35"/>
      <c r="B83" s="42"/>
      <c r="C83" s="35"/>
      <c r="D83" s="35"/>
      <c r="E83" s="35"/>
      <c r="F83" s="35"/>
      <c r="G83" s="35"/>
      <c r="H83" s="42"/>
      <c r="I83" s="42"/>
      <c r="J83" s="42"/>
      <c r="K83" s="42"/>
      <c r="L83" s="42"/>
      <c r="M83" s="42"/>
    </row>
    <row r="84" spans="1:13" ht="12.75" customHeight="1">
      <c r="A84" s="35"/>
      <c r="B84" s="42"/>
      <c r="C84" s="35"/>
      <c r="D84" s="35"/>
      <c r="E84" s="35"/>
      <c r="F84" s="35"/>
      <c r="G84" s="35"/>
      <c r="H84" s="42"/>
      <c r="I84" s="42"/>
      <c r="J84" s="42"/>
      <c r="K84" s="42"/>
      <c r="L84" s="42"/>
      <c r="M84" s="42"/>
    </row>
    <row r="85" spans="1:13" ht="12.75" customHeight="1">
      <c r="A85" s="35"/>
      <c r="B85" s="42"/>
      <c r="C85" s="35"/>
      <c r="D85" s="35"/>
      <c r="E85" s="35"/>
      <c r="F85" s="35"/>
      <c r="G85" s="35"/>
      <c r="H85" s="42"/>
      <c r="I85" s="42"/>
      <c r="J85" s="42"/>
      <c r="K85" s="42"/>
      <c r="L85" s="42"/>
      <c r="M85" s="42"/>
    </row>
    <row r="86" spans="1:13" ht="12.75" customHeight="1">
      <c r="A86" s="35"/>
      <c r="B86" s="42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1:13" ht="12.75" customHeight="1">
      <c r="A87" s="35"/>
      <c r="B87" s="42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3" ht="12.75" customHeight="1">
      <c r="A88" s="35"/>
      <c r="B88" s="42"/>
      <c r="C88" s="35"/>
      <c r="D88" s="35"/>
      <c r="E88" s="35"/>
      <c r="F88" s="35"/>
      <c r="G88" s="35"/>
      <c r="H88" s="35"/>
      <c r="I88" s="35"/>
      <c r="J88" s="35"/>
      <c r="K88" s="35"/>
      <c r="L88" s="35"/>
    </row>
    <row r="89" spans="1:13" ht="12.75" customHeight="1">
      <c r="A89" s="35"/>
      <c r="B89" s="42"/>
      <c r="C89" s="35"/>
      <c r="D89" s="35"/>
      <c r="E89" s="35"/>
      <c r="F89" s="35"/>
      <c r="G89" s="35"/>
      <c r="H89" s="35"/>
      <c r="I89" s="35"/>
      <c r="J89" s="35"/>
      <c r="K89" s="35"/>
      <c r="L89" s="35"/>
    </row>
    <row r="90" spans="1:13" ht="12.75" customHeight="1">
      <c r="A90" s="35"/>
      <c r="B90" s="42"/>
      <c r="C90" s="35"/>
      <c r="D90" s="35"/>
      <c r="E90" s="35"/>
      <c r="F90" s="35"/>
      <c r="G90" s="35"/>
      <c r="H90" s="35"/>
      <c r="I90" s="35"/>
      <c r="J90" s="35"/>
      <c r="K90" s="35"/>
      <c r="L90" s="35"/>
    </row>
    <row r="91" spans="1:13" ht="12.75" customHeight="1">
      <c r="A91" s="35"/>
      <c r="B91" s="42"/>
      <c r="C91" s="35"/>
      <c r="D91" s="35"/>
      <c r="E91" s="35"/>
      <c r="F91" s="35"/>
      <c r="G91" s="35"/>
      <c r="H91" s="35"/>
      <c r="I91" s="35"/>
      <c r="J91" s="35"/>
      <c r="K91" s="35"/>
      <c r="L91" s="35"/>
    </row>
  </sheetData>
  <mergeCells count="2">
    <mergeCell ref="C1:G1"/>
    <mergeCell ref="H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48" sqref="C48"/>
    </sheetView>
  </sheetViews>
  <sheetFormatPr defaultRowHeight="15"/>
  <cols>
    <col min="1" max="1" width="1.28515625" customWidth="1"/>
    <col min="2" max="2" width="50.7109375" customWidth="1"/>
    <col min="3" max="12" width="25.7109375" customWidth="1"/>
  </cols>
  <sheetData>
    <row r="1" spans="1:15" ht="36" customHeight="1">
      <c r="A1" s="36" t="s">
        <v>0</v>
      </c>
      <c r="B1" s="37"/>
      <c r="C1" s="136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  <c r="M1" s="103"/>
    </row>
    <row r="2" spans="1:15">
      <c r="A2" s="38"/>
      <c r="B2" s="39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  <c r="M2" s="104"/>
      <c r="N2" s="62"/>
      <c r="O2" s="62"/>
    </row>
    <row r="3" spans="1:15" ht="14.25" customHeight="1">
      <c r="A3" s="48"/>
      <c r="B3" s="47"/>
      <c r="C3" s="52"/>
      <c r="D3" s="47"/>
      <c r="E3" s="47"/>
      <c r="F3" s="47"/>
      <c r="G3" s="47"/>
      <c r="H3" s="47"/>
      <c r="I3" s="47"/>
      <c r="J3" s="47"/>
      <c r="K3" s="47"/>
      <c r="M3" s="103"/>
    </row>
    <row r="4" spans="1:15" ht="14.25" customHeight="1">
      <c r="A4" s="48"/>
      <c r="B4" s="76" t="s">
        <v>140</v>
      </c>
      <c r="C4" s="64">
        <f>'Income Statement'!C10/'Income Statement'!C4</f>
        <v>0.47774048548883757</v>
      </c>
      <c r="D4" s="64">
        <f>'Income Statement'!D10/'Income Statement'!D4</f>
        <v>0.46759696887854729</v>
      </c>
      <c r="E4" s="64">
        <f>'Income Statement'!E10/'Income Statement'!E4</f>
        <v>0.46730138326402809</v>
      </c>
      <c r="F4" s="64">
        <f>'Income Statement'!F10/'Income Statement'!F4</f>
        <v>0.45772144778244583</v>
      </c>
      <c r="G4" s="64">
        <f>'Income Statement'!G10/'Income Statement'!G4</f>
        <v>0.45898646420614941</v>
      </c>
      <c r="H4" s="42"/>
      <c r="I4" s="42"/>
      <c r="J4" s="42"/>
      <c r="K4" s="42"/>
      <c r="M4" s="103"/>
    </row>
    <row r="5" spans="1:15" ht="14.25" customHeight="1">
      <c r="A5" s="48"/>
      <c r="B5" s="76"/>
      <c r="C5" s="63"/>
      <c r="D5" s="50"/>
      <c r="E5" s="50"/>
      <c r="F5" s="50"/>
      <c r="G5" s="50"/>
      <c r="H5" s="42"/>
      <c r="I5" s="42"/>
      <c r="J5" s="42"/>
      <c r="K5" s="42"/>
      <c r="M5" s="103"/>
    </row>
    <row r="6" spans="1:15" ht="14.25" customHeight="1">
      <c r="A6" s="48"/>
      <c r="B6" s="76" t="s">
        <v>141</v>
      </c>
      <c r="C6" s="64">
        <f>'Income Statement'!C19/'Income Statement'!C4</f>
        <v>0.17593219778948938</v>
      </c>
      <c r="D6" s="64">
        <f>'Income Statement'!D19/'Income Statement'!D4</f>
        <v>0.17737981468400704</v>
      </c>
      <c r="E6" s="64">
        <f>'Income Statement'!E19/'Income Statement'!E4</f>
        <v>0.18781571278493195</v>
      </c>
      <c r="F6" s="64">
        <f>'Income Statement'!F19/'Income Statement'!F4</f>
        <v>0.18313029924821717</v>
      </c>
      <c r="G6" s="64">
        <f>'Income Statement'!G19/'Income Statement'!G4</f>
        <v>0.18060363597090395</v>
      </c>
      <c r="H6" s="42"/>
      <c r="I6" s="42"/>
      <c r="J6" s="42"/>
      <c r="K6" s="42"/>
      <c r="M6" s="103"/>
    </row>
    <row r="7" spans="1:15" ht="14.25" customHeight="1">
      <c r="A7" s="48"/>
      <c r="B7" s="76"/>
      <c r="C7" s="64"/>
      <c r="D7" s="64"/>
      <c r="E7" s="64"/>
      <c r="F7" s="64"/>
      <c r="G7" s="64"/>
      <c r="H7" s="42"/>
      <c r="I7" s="42"/>
      <c r="J7" s="42"/>
      <c r="K7" s="42"/>
      <c r="M7" s="103"/>
    </row>
    <row r="8" spans="1:15" ht="14.25" customHeight="1">
      <c r="A8" s="48"/>
      <c r="B8" s="76" t="s">
        <v>142</v>
      </c>
      <c r="C8" s="64">
        <f>'Income Statement'!C29/'Income Statement'!C4</f>
        <v>0.15891047774938147</v>
      </c>
      <c r="D8" s="64">
        <f>'Income Statement'!D29/'Income Statement'!D4</f>
        <v>0.16580535588149739</v>
      </c>
      <c r="E8" s="64">
        <f>'Income Statement'!E29/'Income Statement'!E4</f>
        <v>0.17480131228108212</v>
      </c>
      <c r="F8" s="64">
        <f>'Income Statement'!F29/'Income Statement'!F4</f>
        <v>0.16902865915469845</v>
      </c>
      <c r="G8" s="64">
        <f>'Income Statement'!G29/'Income Statement'!G4</f>
        <v>0.16601884969305766</v>
      </c>
      <c r="H8" s="42"/>
      <c r="I8" s="42"/>
      <c r="J8" s="42"/>
      <c r="K8" s="42"/>
      <c r="M8" s="103"/>
    </row>
    <row r="9" spans="1:15" ht="14.25" customHeight="1">
      <c r="A9" s="48"/>
      <c r="B9" s="76"/>
      <c r="C9" s="42"/>
      <c r="D9" s="42"/>
      <c r="E9" s="42"/>
      <c r="F9" s="42"/>
      <c r="G9" s="42"/>
      <c r="H9" s="42"/>
      <c r="I9" s="42"/>
      <c r="J9" s="42"/>
      <c r="K9" s="42"/>
      <c r="M9" s="103"/>
    </row>
    <row r="10" spans="1:15" ht="14.25" customHeight="1" thickBot="1">
      <c r="A10" s="48"/>
      <c r="B10" s="77" t="s">
        <v>143</v>
      </c>
      <c r="C10" s="75">
        <v>365</v>
      </c>
      <c r="D10" s="57"/>
      <c r="E10" s="57"/>
      <c r="F10" s="57"/>
      <c r="G10" s="57"/>
      <c r="H10" s="57"/>
      <c r="I10" s="57"/>
      <c r="J10" s="57"/>
      <c r="K10" s="57"/>
      <c r="M10" s="103"/>
    </row>
    <row r="11" spans="1:15" ht="14.25" customHeight="1">
      <c r="A11" s="48"/>
      <c r="B11" s="76"/>
      <c r="C11" s="6"/>
      <c r="D11" s="42"/>
      <c r="E11" s="42"/>
      <c r="F11" s="42"/>
      <c r="G11" s="42"/>
      <c r="H11" s="42"/>
      <c r="I11" s="42"/>
      <c r="J11" s="42"/>
      <c r="K11" s="42"/>
      <c r="M11" s="103"/>
    </row>
    <row r="12" spans="1:15" ht="14.25" customHeight="1">
      <c r="A12" s="48"/>
      <c r="B12" s="76" t="s">
        <v>144</v>
      </c>
      <c r="C12" s="42" t="s">
        <v>217</v>
      </c>
      <c r="D12" s="65">
        <f>SUM('Income Statement'!D6:D9)/AVERAGE('Balance Sheet'!C21:D21)</f>
        <v>3.6423400402140516</v>
      </c>
      <c r="E12" s="65">
        <f>SUM('Income Statement'!E6:E9)/AVERAGE('Balance Sheet'!D21:E21)</f>
        <v>3.4712068695538094</v>
      </c>
      <c r="F12" s="65">
        <f>SUM('Income Statement'!F6:F9)/AVERAGE('Balance Sheet'!E21:F21)</f>
        <v>3.6055946900508862</v>
      </c>
      <c r="G12" s="65">
        <f>SUM('Income Statement'!G6:G9)/AVERAGE('Balance Sheet'!F21:G21)</f>
        <v>3.4997276221036526</v>
      </c>
      <c r="H12" s="70">
        <v>3.55</v>
      </c>
      <c r="I12" s="70">
        <v>3.5</v>
      </c>
      <c r="J12" s="70">
        <v>3.55</v>
      </c>
      <c r="K12" s="70">
        <v>3.6</v>
      </c>
      <c r="L12" s="70">
        <v>3.6</v>
      </c>
      <c r="M12" s="103"/>
    </row>
    <row r="13" spans="1:15" ht="14.25" customHeight="1">
      <c r="A13" s="48"/>
      <c r="B13" s="76" t="s">
        <v>145</v>
      </c>
      <c r="C13" s="42" t="s">
        <v>217</v>
      </c>
      <c r="D13" s="65">
        <f t="shared" ref="D13" si="0">$C$10/D12</f>
        <v>100.21030325838271</v>
      </c>
      <c r="E13" s="65">
        <f t="shared" ref="E13" si="1">$C$10/E12</f>
        <v>105.15074834676081</v>
      </c>
      <c r="F13" s="65">
        <f t="shared" ref="F13" si="2">$C$10/F12</f>
        <v>101.23156687776482</v>
      </c>
      <c r="G13" s="65">
        <f t="shared" ref="G13" si="3">$C$10/G12</f>
        <v>104.29383066691402</v>
      </c>
      <c r="H13" s="70">
        <f>365/H12</f>
        <v>102.8169014084507</v>
      </c>
      <c r="I13" s="70">
        <f>365/I12</f>
        <v>104.28571428571429</v>
      </c>
      <c r="J13" s="70">
        <f t="shared" ref="J13:L13" si="4">365/J12</f>
        <v>102.8169014084507</v>
      </c>
      <c r="K13" s="70">
        <f t="shared" si="4"/>
        <v>101.38888888888889</v>
      </c>
      <c r="L13" s="70">
        <f t="shared" si="4"/>
        <v>101.38888888888889</v>
      </c>
      <c r="M13" s="103"/>
    </row>
    <row r="14" spans="1:15" ht="14.25" customHeight="1">
      <c r="A14" s="48"/>
      <c r="B14" s="76"/>
      <c r="C14" s="42"/>
      <c r="D14" s="42"/>
      <c r="E14" s="42"/>
      <c r="F14" s="42"/>
      <c r="G14" s="42"/>
      <c r="H14" s="70"/>
      <c r="I14" s="70"/>
      <c r="J14" s="70"/>
      <c r="K14" s="70"/>
      <c r="L14" s="73"/>
      <c r="M14" s="103"/>
    </row>
    <row r="15" spans="1:15" ht="14.25" customHeight="1">
      <c r="A15" s="48"/>
      <c r="B15" s="78"/>
      <c r="C15" s="42"/>
      <c r="D15" s="42"/>
      <c r="E15" s="42"/>
      <c r="F15" s="42"/>
      <c r="G15" s="42"/>
      <c r="H15" s="70"/>
      <c r="I15" s="70"/>
      <c r="J15" s="70"/>
      <c r="K15" s="70"/>
      <c r="L15" s="73"/>
      <c r="M15" s="103"/>
    </row>
    <row r="16" spans="1:15" ht="14.25" customHeight="1">
      <c r="A16" s="48"/>
      <c r="B16" s="76" t="s">
        <v>146</v>
      </c>
      <c r="C16" s="42" t="s">
        <v>217</v>
      </c>
      <c r="D16" s="65">
        <f>'Income Statement'!D4/AVERAGE('Balance Sheet'!C24:D24)</f>
        <v>10.549050762950991</v>
      </c>
      <c r="E16" s="65">
        <f>'Income Statement'!E4/AVERAGE('Balance Sheet'!D24:E24)</f>
        <v>11.424017692591228</v>
      </c>
      <c r="F16" s="65">
        <f>'Income Statement'!F4/AVERAGE('Balance Sheet'!E24:F24)</f>
        <v>11.084474292691798</v>
      </c>
      <c r="G16" s="65">
        <f>'Income Statement'!G4/AVERAGE('Balance Sheet'!F24:G24)</f>
        <v>10.566135542808585</v>
      </c>
      <c r="H16" s="70">
        <f>$C$10/H17</f>
        <v>10.893590460220389</v>
      </c>
      <c r="I16" s="70">
        <f t="shared" ref="I16:L16" si="5">$C$10/I17</f>
        <v>10.893590460220389</v>
      </c>
      <c r="J16" s="70">
        <f t="shared" si="5"/>
        <v>10.893590460220389</v>
      </c>
      <c r="K16" s="70">
        <f t="shared" si="5"/>
        <v>10.893590460220389</v>
      </c>
      <c r="L16" s="70">
        <f t="shared" si="5"/>
        <v>10.893590460220389</v>
      </c>
      <c r="M16" s="103"/>
    </row>
    <row r="17" spans="1:13" ht="14.25" customHeight="1">
      <c r="A17" s="48"/>
      <c r="B17" s="76" t="s">
        <v>147</v>
      </c>
      <c r="C17" s="42" t="s">
        <v>217</v>
      </c>
      <c r="D17" s="65">
        <f>$C$10/D16</f>
        <v>34.600269559978393</v>
      </c>
      <c r="E17" s="65">
        <f>$C$10/E16</f>
        <v>31.950230630044626</v>
      </c>
      <c r="F17" s="65">
        <f>$C$10/F16</f>
        <v>32.92894099999414</v>
      </c>
      <c r="G17" s="65">
        <f>$C$10/G16</f>
        <v>34.544323089667593</v>
      </c>
      <c r="H17" s="70">
        <f>AVERAGE(D17:G17)</f>
        <v>33.505941069921185</v>
      </c>
      <c r="I17" s="70">
        <f>H17</f>
        <v>33.505941069921185</v>
      </c>
      <c r="J17" s="70">
        <f t="shared" ref="J17:L17" si="6">I17</f>
        <v>33.505941069921185</v>
      </c>
      <c r="K17" s="70">
        <f t="shared" si="6"/>
        <v>33.505941069921185</v>
      </c>
      <c r="L17" s="70">
        <f t="shared" si="6"/>
        <v>33.505941069921185</v>
      </c>
      <c r="M17" s="103"/>
    </row>
    <row r="18" spans="1:13" ht="14.25" customHeight="1">
      <c r="A18" s="48"/>
      <c r="B18" s="76"/>
      <c r="C18" s="42"/>
      <c r="D18" s="65"/>
      <c r="E18" s="65"/>
      <c r="F18" s="65"/>
      <c r="G18" s="65"/>
      <c r="H18" s="70"/>
      <c r="I18" s="70"/>
      <c r="J18" s="70"/>
      <c r="K18" s="70"/>
      <c r="L18" s="73"/>
      <c r="M18" s="103"/>
    </row>
    <row r="19" spans="1:13" ht="14.25" customHeight="1">
      <c r="A19" s="48"/>
      <c r="B19" s="76"/>
      <c r="C19" s="42"/>
      <c r="D19" s="65"/>
      <c r="E19" s="65"/>
      <c r="F19" s="65"/>
      <c r="G19" s="65"/>
      <c r="H19" s="70"/>
      <c r="I19" s="70"/>
      <c r="J19" s="70"/>
      <c r="K19" s="70"/>
      <c r="L19" s="73"/>
      <c r="M19" s="103"/>
    </row>
    <row r="20" spans="1:13" ht="14.25" customHeight="1">
      <c r="A20" s="48"/>
      <c r="B20" s="76" t="s">
        <v>148</v>
      </c>
      <c r="C20" s="42" t="s">
        <v>217</v>
      </c>
      <c r="D20" s="65">
        <f>SUM('Income Statement'!D6:D9)/AVERAGE('Balance Sheet'!C56:D56)</f>
        <v>3.047967031923581</v>
      </c>
      <c r="E20" s="65">
        <f>SUM('Income Statement'!E6:E9)/AVERAGE('Balance Sheet'!D56:E56)</f>
        <v>3.0232621572508571</v>
      </c>
      <c r="F20" s="65">
        <f>SUM('Income Statement'!F6:F9)/AVERAGE('Balance Sheet'!E56:F56)</f>
        <v>3.2167704789322169</v>
      </c>
      <c r="G20" s="65">
        <f>SUM('Income Statement'!G6:G9)/AVERAGE('Balance Sheet'!F56:G56)</f>
        <v>3.1929751700379221</v>
      </c>
      <c r="H20" s="70">
        <f>$C$10/H21</f>
        <v>3.1179009317154294</v>
      </c>
      <c r="I20" s="70">
        <f t="shared" ref="I20:L20" si="7">$C$10/I21</f>
        <v>3.1179009317154294</v>
      </c>
      <c r="J20" s="70">
        <f t="shared" si="7"/>
        <v>3.1179009317154294</v>
      </c>
      <c r="K20" s="70">
        <f t="shared" si="7"/>
        <v>3.1179009317154294</v>
      </c>
      <c r="L20" s="70">
        <f t="shared" si="7"/>
        <v>3.1179009317154294</v>
      </c>
      <c r="M20" s="103"/>
    </row>
    <row r="21" spans="1:13" ht="14.25" customHeight="1">
      <c r="A21" s="48"/>
      <c r="B21" s="76" t="s">
        <v>149</v>
      </c>
      <c r="C21" s="42" t="s">
        <v>217</v>
      </c>
      <c r="D21" s="65">
        <f>$C$10/D20</f>
        <v>119.75195144077638</v>
      </c>
      <c r="E21" s="65">
        <f>$C$10/E20</f>
        <v>120.73051591791346</v>
      </c>
      <c r="F21" s="65">
        <f>$C$10/F20</f>
        <v>113.46784061546072</v>
      </c>
      <c r="G21" s="65">
        <f>$C$10/G20</f>
        <v>114.31344766632338</v>
      </c>
      <c r="H21" s="70">
        <f>AVERAGE(D21:G21)</f>
        <v>117.06593891011849</v>
      </c>
      <c r="I21" s="70">
        <f>H21</f>
        <v>117.06593891011849</v>
      </c>
      <c r="J21" s="70">
        <f t="shared" ref="J21:L21" si="8">I21</f>
        <v>117.06593891011849</v>
      </c>
      <c r="K21" s="70">
        <f t="shared" si="8"/>
        <v>117.06593891011849</v>
      </c>
      <c r="L21" s="70">
        <f t="shared" si="8"/>
        <v>117.06593891011849</v>
      </c>
      <c r="M21" s="103"/>
    </row>
    <row r="22" spans="1:13" ht="14.25" customHeight="1">
      <c r="A22" s="48"/>
      <c r="B22" s="79"/>
      <c r="C22" s="12"/>
      <c r="D22" s="65"/>
      <c r="E22" s="65"/>
      <c r="F22" s="65"/>
      <c r="G22" s="65"/>
      <c r="H22" s="70"/>
      <c r="I22" s="70"/>
      <c r="J22" s="70"/>
      <c r="K22" s="70"/>
      <c r="L22" s="73"/>
      <c r="M22" s="103"/>
    </row>
    <row r="23" spans="1:13" ht="14.25" customHeight="1">
      <c r="A23" s="48"/>
      <c r="B23" s="79"/>
      <c r="C23" s="12"/>
      <c r="D23" s="65"/>
      <c r="E23" s="65"/>
      <c r="F23" s="65"/>
      <c r="G23" s="65"/>
      <c r="H23" s="70"/>
      <c r="I23" s="70"/>
      <c r="J23" s="70"/>
      <c r="K23" s="70"/>
      <c r="L23" s="73"/>
      <c r="M23" s="103"/>
    </row>
    <row r="24" spans="1:13" ht="14.25" customHeight="1">
      <c r="A24" s="48"/>
      <c r="B24" s="79" t="s">
        <v>150</v>
      </c>
      <c r="C24" s="12" t="s">
        <v>217</v>
      </c>
      <c r="D24" s="65">
        <f>'Income Statement'!D4/AVERAGE('Balance Sheet'!C34:D34)</f>
        <v>1.0371248195470901</v>
      </c>
      <c r="E24" s="65">
        <f>'Income Statement'!E4/AVERAGE('Balance Sheet'!D34:E34)</f>
        <v>0.94304090570795873</v>
      </c>
      <c r="F24" s="65">
        <f>'Income Statement'!F4/AVERAGE('Balance Sheet'!E34:F34)</f>
        <v>0.99578895652828447</v>
      </c>
      <c r="G24" s="65">
        <f>'Income Statement'!G4/AVERAGE('Balance Sheet'!F34:G34)</f>
        <v>0.97844541936354201</v>
      </c>
      <c r="H24" s="70"/>
      <c r="I24" s="70"/>
      <c r="J24" s="70"/>
      <c r="K24" s="70"/>
      <c r="L24" s="73"/>
      <c r="M24" s="103"/>
    </row>
    <row r="25" spans="1:13" ht="14.25" customHeight="1">
      <c r="A25" s="48"/>
      <c r="B25" s="79"/>
      <c r="C25" s="12"/>
      <c r="D25" s="12"/>
      <c r="E25" s="12"/>
      <c r="F25" s="12"/>
      <c r="G25" s="12"/>
      <c r="H25" s="70"/>
      <c r="I25" s="70"/>
      <c r="J25" s="70"/>
      <c r="K25" s="70"/>
      <c r="L25" s="73"/>
      <c r="M25" s="103"/>
    </row>
    <row r="26" spans="1:13" ht="14.25" customHeight="1" thickBot="1">
      <c r="A26" s="48"/>
      <c r="B26" s="80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103"/>
    </row>
    <row r="27" spans="1:13" ht="14.25" customHeight="1">
      <c r="A27" s="48"/>
      <c r="B27" s="76"/>
      <c r="C27" s="42"/>
      <c r="D27" s="42"/>
      <c r="E27" s="42"/>
      <c r="F27" s="42"/>
      <c r="G27" s="42"/>
      <c r="H27" s="70"/>
      <c r="I27" s="70"/>
      <c r="J27" s="70"/>
      <c r="K27" s="70"/>
      <c r="L27" s="73"/>
      <c r="M27" s="103"/>
    </row>
    <row r="28" spans="1:13" ht="14.25" customHeight="1">
      <c r="A28" s="48"/>
      <c r="B28" s="76" t="s">
        <v>151</v>
      </c>
      <c r="C28" s="56" t="s">
        <v>217</v>
      </c>
      <c r="D28" s="65">
        <f>D13+D17</f>
        <v>134.81057281836109</v>
      </c>
      <c r="E28" s="65">
        <f t="shared" ref="E28:G28" si="9">E13+E17</f>
        <v>137.10097897680544</v>
      </c>
      <c r="F28" s="65">
        <f t="shared" si="9"/>
        <v>134.16050787775896</v>
      </c>
      <c r="G28" s="65">
        <f t="shared" si="9"/>
        <v>138.83815375658162</v>
      </c>
      <c r="H28" s="70"/>
      <c r="I28" s="70"/>
      <c r="J28" s="70"/>
      <c r="K28" s="70"/>
      <c r="L28" s="73"/>
      <c r="M28" s="103"/>
    </row>
    <row r="29" spans="1:13" ht="14.25" customHeight="1">
      <c r="A29" s="48"/>
      <c r="B29" s="76"/>
      <c r="C29" s="42"/>
      <c r="D29" s="65"/>
      <c r="E29" s="65"/>
      <c r="F29" s="65"/>
      <c r="G29" s="65"/>
      <c r="H29" s="70"/>
      <c r="I29" s="70"/>
      <c r="J29" s="70"/>
      <c r="K29" s="70"/>
      <c r="L29" s="73"/>
      <c r="M29" s="103"/>
    </row>
    <row r="30" spans="1:13" ht="14.25" customHeight="1">
      <c r="A30" s="48"/>
      <c r="B30" s="76"/>
      <c r="C30" s="42"/>
      <c r="D30" s="65"/>
      <c r="E30" s="65"/>
      <c r="F30" s="65"/>
      <c r="G30" s="65"/>
      <c r="H30" s="70"/>
      <c r="I30" s="70"/>
      <c r="J30" s="70"/>
      <c r="K30" s="70"/>
      <c r="L30" s="73"/>
      <c r="M30" s="103"/>
    </row>
    <row r="31" spans="1:13" ht="14.25" customHeight="1">
      <c r="A31" s="48"/>
      <c r="B31" s="76" t="s">
        <v>152</v>
      </c>
      <c r="C31" s="56" t="s">
        <v>217</v>
      </c>
      <c r="D31" s="65">
        <f>D28-D21</f>
        <v>15.058621377584714</v>
      </c>
      <c r="E31" s="65">
        <f t="shared" ref="E31:G31" si="10">E28-E21</f>
        <v>16.370463058891971</v>
      </c>
      <c r="F31" s="65">
        <f t="shared" si="10"/>
        <v>20.692667262298244</v>
      </c>
      <c r="G31" s="65">
        <f t="shared" si="10"/>
        <v>24.524706090258235</v>
      </c>
      <c r="H31" s="70"/>
      <c r="I31" s="70"/>
      <c r="J31" s="70"/>
      <c r="K31" s="70"/>
      <c r="L31" s="73"/>
      <c r="M31" s="103"/>
    </row>
    <row r="32" spans="1:13" ht="14.25" customHeight="1" thickBot="1">
      <c r="A32" s="48"/>
      <c r="B32" s="80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103"/>
    </row>
    <row r="33" spans="1:13" ht="14.25" customHeight="1">
      <c r="A33" s="48"/>
      <c r="B33" s="76"/>
      <c r="C33" s="42"/>
      <c r="D33" s="42"/>
      <c r="E33" s="42"/>
      <c r="F33" s="42"/>
      <c r="G33" s="42"/>
      <c r="H33" s="70"/>
      <c r="I33" s="70"/>
      <c r="J33" s="70"/>
      <c r="K33" s="70"/>
      <c r="L33" s="73"/>
      <c r="M33" s="103"/>
    </row>
    <row r="34" spans="1:13" ht="14.25" customHeight="1">
      <c r="A34" s="48"/>
      <c r="B34" s="76" t="s">
        <v>153</v>
      </c>
      <c r="C34" s="65">
        <f>'Income Statement'!C10/'Income Statement'!C19</f>
        <v>2.7154806879663669</v>
      </c>
      <c r="D34" s="65">
        <f>'Income Statement'!D10/'Income Statement'!D19</f>
        <v>2.636134047786368</v>
      </c>
      <c r="E34" s="65">
        <f>'Income Statement'!E10/'Income Statement'!E19</f>
        <v>2.4880846034385611</v>
      </c>
      <c r="F34" s="65">
        <f>'Income Statement'!F10/'Income Statement'!F19</f>
        <v>2.4994304583210685</v>
      </c>
      <c r="G34" s="65">
        <f>'Income Statement'!G10/'Income Statement'!G19</f>
        <v>2.5414021248171004</v>
      </c>
      <c r="H34" s="70"/>
      <c r="I34" s="70"/>
      <c r="J34" s="70"/>
      <c r="K34" s="70"/>
      <c r="L34" s="73"/>
      <c r="M34" s="103"/>
    </row>
    <row r="35" spans="1:13" ht="14.25" customHeight="1">
      <c r="A35" s="48"/>
      <c r="B35" s="76"/>
      <c r="C35" s="65"/>
      <c r="D35" s="65"/>
      <c r="E35" s="65"/>
      <c r="F35" s="65"/>
      <c r="G35" s="65"/>
      <c r="H35" s="70"/>
      <c r="I35" s="70"/>
      <c r="J35" s="70"/>
      <c r="K35" s="70"/>
      <c r="L35" s="73"/>
      <c r="M35" s="103"/>
    </row>
    <row r="36" spans="1:13" ht="14.25" customHeight="1">
      <c r="A36" s="48"/>
      <c r="B36" s="76" t="s">
        <v>154</v>
      </c>
      <c r="C36" s="65">
        <f>'Income Statement'!C19/('Income Statement'!C25-'Income Statement'!C23+'Income Statement'!C21)</f>
        <v>1.0363059279720332</v>
      </c>
      <c r="D36" s="65">
        <f>'Income Statement'!D19/('Income Statement'!D25-'Income Statement'!D23+'Income Statement'!D21)</f>
        <v>1.0407832082587332</v>
      </c>
      <c r="E36" s="65">
        <f>'Income Statement'!E19/('Income Statement'!E25-'Income Statement'!E23+'Income Statement'!E21)</f>
        <v>1.048322263683384</v>
      </c>
      <c r="F36" s="65">
        <f>'Income Statement'!F19/('Income Statement'!F25-'Income Statement'!F23+'Income Statement'!F21)</f>
        <v>1.0930291118167954</v>
      </c>
      <c r="G36" s="65">
        <f>'Income Statement'!G19/('Income Statement'!G25-'Income Statement'!G23+'Income Statement'!G21)</f>
        <v>1.1051506672103717</v>
      </c>
      <c r="H36" s="70"/>
      <c r="I36" s="70"/>
      <c r="J36" s="70"/>
      <c r="K36" s="70"/>
      <c r="L36" s="73"/>
      <c r="M36" s="103"/>
    </row>
    <row r="37" spans="1:13" ht="14.25" customHeight="1">
      <c r="A37" s="48"/>
      <c r="B37" s="76"/>
      <c r="C37" s="65"/>
      <c r="D37" s="65"/>
      <c r="E37" s="65"/>
      <c r="F37" s="65"/>
      <c r="G37" s="65"/>
      <c r="H37" s="70"/>
      <c r="I37" s="70"/>
      <c r="J37" s="70"/>
      <c r="K37" s="70"/>
      <c r="L37" s="73"/>
      <c r="M37" s="103"/>
    </row>
    <row r="38" spans="1:13" ht="14.25" customHeight="1">
      <c r="A38" s="48"/>
      <c r="B38" s="76" t="s">
        <v>155</v>
      </c>
      <c r="C38" s="65">
        <f>C34*C36</f>
        <v>2.8140687342331212</v>
      </c>
      <c r="D38" s="65">
        <f>D34*D36</f>
        <v>2.7436440516551768</v>
      </c>
      <c r="E38" s="65">
        <f t="shared" ref="E38:G38" si="11">E34*E36</f>
        <v>2.608314483712487</v>
      </c>
      <c r="F38" s="65">
        <f t="shared" si="11"/>
        <v>2.7319502539065232</v>
      </c>
      <c r="G38" s="65">
        <f t="shared" si="11"/>
        <v>2.8086322538914748</v>
      </c>
      <c r="H38" s="70"/>
      <c r="I38" s="70"/>
      <c r="J38" s="70"/>
      <c r="K38" s="70"/>
      <c r="L38" s="73"/>
      <c r="M38" s="103"/>
    </row>
    <row r="39" spans="1:13" ht="14.25" customHeight="1" thickBot="1">
      <c r="A39" s="48"/>
      <c r="B39" s="80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103"/>
    </row>
    <row r="40" spans="1:13" ht="14.25" customHeight="1">
      <c r="A40" s="48"/>
      <c r="B40" s="76"/>
      <c r="C40" s="42"/>
      <c r="D40" s="42"/>
      <c r="E40" s="42"/>
      <c r="F40" s="42"/>
      <c r="G40" s="42"/>
      <c r="H40" s="70"/>
      <c r="I40" s="70"/>
      <c r="J40" s="70"/>
      <c r="K40" s="70"/>
      <c r="L40" s="73"/>
      <c r="M40" s="103"/>
    </row>
    <row r="41" spans="1:13" ht="14.25" customHeight="1">
      <c r="A41" s="48"/>
      <c r="B41" s="76" t="s">
        <v>156</v>
      </c>
      <c r="C41" s="50" t="s">
        <v>217</v>
      </c>
      <c r="D41" s="64">
        <f>'Income Statement'!D29/AVERAGE('Balance Sheet'!C42:D42)</f>
        <v>0.28207481629483816</v>
      </c>
      <c r="E41" s="64">
        <f>'Income Statement'!E29/AVERAGE('Balance Sheet'!D42:E42)</f>
        <v>0.25542539940274639</v>
      </c>
      <c r="F41" s="64">
        <f>'Income Statement'!F29/AVERAGE('Balance Sheet'!E42:F42)</f>
        <v>0.25312672482101339</v>
      </c>
      <c r="G41" s="64">
        <f>'Income Statement'!G29/AVERAGE('Balance Sheet'!F42:G42)</f>
        <v>0.23485222185291338</v>
      </c>
      <c r="H41" s="70"/>
      <c r="I41" s="70"/>
      <c r="J41" s="70"/>
      <c r="K41" s="70"/>
      <c r="L41" s="73"/>
      <c r="M41" s="103"/>
    </row>
    <row r="42" spans="1:13" ht="14.25" customHeight="1">
      <c r="A42" s="48"/>
      <c r="B42" s="76"/>
      <c r="C42" s="42"/>
      <c r="D42" s="42"/>
      <c r="E42" s="42"/>
      <c r="F42" s="42"/>
      <c r="G42" s="42"/>
      <c r="H42" s="70"/>
      <c r="I42" s="70"/>
      <c r="J42" s="70"/>
      <c r="K42" s="70"/>
      <c r="L42" s="73"/>
      <c r="M42" s="103"/>
    </row>
    <row r="43" spans="1:13" ht="14.25" customHeight="1" thickBot="1">
      <c r="A43" s="48"/>
      <c r="B43" s="80" t="s">
        <v>157</v>
      </c>
      <c r="C43" s="42"/>
      <c r="D43" s="42"/>
      <c r="E43" s="42"/>
      <c r="F43" s="42"/>
      <c r="G43" s="42"/>
      <c r="H43" s="70"/>
      <c r="I43" s="70"/>
      <c r="J43" s="70"/>
      <c r="K43" s="70"/>
      <c r="L43" s="73"/>
      <c r="M43" s="103"/>
    </row>
    <row r="44" spans="1:13" ht="14.25" customHeight="1">
      <c r="A44" s="48"/>
      <c r="B44" s="81" t="s">
        <v>142</v>
      </c>
      <c r="C44" s="64"/>
      <c r="D44" s="64">
        <f t="shared" ref="D44:G44" si="12">D8</f>
        <v>0.16580535588149739</v>
      </c>
      <c r="E44" s="64">
        <f t="shared" si="12"/>
        <v>0.17480131228108212</v>
      </c>
      <c r="F44" s="64">
        <f t="shared" si="12"/>
        <v>0.16902865915469845</v>
      </c>
      <c r="G44" s="64">
        <f t="shared" si="12"/>
        <v>0.16601884969305766</v>
      </c>
      <c r="H44" s="70"/>
      <c r="I44" s="70"/>
      <c r="J44" s="70"/>
      <c r="K44" s="70"/>
      <c r="L44" s="73"/>
      <c r="M44" s="103"/>
    </row>
    <row r="45" spans="1:13" ht="14.25" customHeight="1">
      <c r="A45" s="48"/>
      <c r="B45" s="81" t="s">
        <v>150</v>
      </c>
      <c r="C45" s="42" t="s">
        <v>217</v>
      </c>
      <c r="D45" s="65">
        <f>D24</f>
        <v>1.0371248195470901</v>
      </c>
      <c r="E45" s="65">
        <f t="shared" ref="E45:G45" si="13">E24</f>
        <v>0.94304090570795873</v>
      </c>
      <c r="F45" s="65">
        <f t="shared" si="13"/>
        <v>0.99578895652828447</v>
      </c>
      <c r="G45" s="65">
        <f t="shared" si="13"/>
        <v>0.97844541936354201</v>
      </c>
      <c r="H45" s="70"/>
      <c r="I45" s="70"/>
      <c r="J45" s="70"/>
      <c r="K45" s="70"/>
      <c r="L45" s="73"/>
      <c r="M45" s="103"/>
    </row>
    <row r="46" spans="1:13" ht="14.25" customHeight="1">
      <c r="A46" s="48"/>
      <c r="B46" s="81" t="s">
        <v>164</v>
      </c>
      <c r="C46" s="42" t="s">
        <v>217</v>
      </c>
      <c r="D46" s="65">
        <f>AVERAGE('Balance Sheet'!C34:D34)/AVERAGE('Balance Sheet'!C42:D42)</f>
        <v>1.6403432329236762</v>
      </c>
      <c r="E46" s="65">
        <f>AVERAGE('Balance Sheet'!D34:E34)/AVERAGE('Balance Sheet'!D42:E42)</f>
        <v>1.5494902976933036</v>
      </c>
      <c r="F46" s="65">
        <f>AVERAGE('Balance Sheet'!E34:F34)/AVERAGE('Balance Sheet'!E42:F42)</f>
        <v>1.503870180263265</v>
      </c>
      <c r="G46" s="65">
        <f>AVERAGE('Balance Sheet'!F34:G34)/AVERAGE('Balance Sheet'!F42:G42)</f>
        <v>1.4457748590644497</v>
      </c>
      <c r="H46" s="70"/>
      <c r="I46" s="70"/>
      <c r="J46" s="70"/>
      <c r="K46" s="70"/>
      <c r="L46" s="73"/>
      <c r="M46" s="103"/>
    </row>
    <row r="47" spans="1:13" ht="14.25" customHeight="1">
      <c r="A47" s="48"/>
      <c r="B47" s="76"/>
      <c r="C47" s="50"/>
      <c r="D47" s="50"/>
      <c r="E47" s="50"/>
      <c r="F47" s="50"/>
      <c r="G47" s="50"/>
      <c r="H47" s="70"/>
      <c r="I47" s="70"/>
      <c r="J47" s="70"/>
      <c r="K47" s="70"/>
      <c r="L47" s="73"/>
      <c r="M47" s="103"/>
    </row>
    <row r="48" spans="1:13" ht="14.25" customHeight="1">
      <c r="A48" s="48"/>
      <c r="B48" s="76"/>
      <c r="C48" s="42"/>
      <c r="D48" s="64"/>
      <c r="E48" s="64"/>
      <c r="F48" s="64"/>
      <c r="G48" s="64"/>
      <c r="H48" s="74"/>
      <c r="I48" s="70"/>
      <c r="J48" s="70"/>
      <c r="K48" s="70"/>
      <c r="L48" s="73"/>
      <c r="M48" s="103"/>
    </row>
    <row r="49" spans="1:14" ht="14.25" customHeight="1">
      <c r="A49" s="48"/>
      <c r="B49" s="76" t="s">
        <v>158</v>
      </c>
      <c r="C49" s="50" t="s">
        <v>217</v>
      </c>
      <c r="D49" s="64">
        <f>'Income Statement'!D19/SUM(AVERAGE('Balance Sheet'!C42:D42),AVERAGE('Balance Sheet'!C55:D55),AVERAGE('Balance Sheet'!C47:D47))</f>
        <v>0.25399753082747012</v>
      </c>
      <c r="E49" s="64">
        <f>'Income Statement'!E19/SUM(AVERAGE('Balance Sheet'!D42:E42),AVERAGE('Balance Sheet'!D55:E55),AVERAGE('Balance Sheet'!D47:E47))</f>
        <v>0.23575401074716615</v>
      </c>
      <c r="F49" s="64">
        <f>'Income Statement'!F19/SUM(AVERAGE('Balance Sheet'!E42:F42),AVERAGE('Balance Sheet'!E55:F55),AVERAGE('Balance Sheet'!E47:F47))</f>
        <v>0.24513813394074296</v>
      </c>
      <c r="G49" s="64">
        <f>'Income Statement'!G19/SUM(AVERAGE('Balance Sheet'!F42:G42),AVERAGE('Balance Sheet'!F55:G55),AVERAGE('Balance Sheet'!F47:G47))</f>
        <v>0.2364349597042269</v>
      </c>
      <c r="H49" s="74"/>
      <c r="I49" s="70"/>
      <c r="J49" s="70"/>
      <c r="K49" s="70"/>
      <c r="L49" s="73"/>
      <c r="M49" s="103"/>
    </row>
    <row r="50" spans="1:14" ht="14.25" customHeight="1">
      <c r="A50" s="48"/>
      <c r="B50" s="76"/>
      <c r="C50" s="42"/>
      <c r="D50" s="64"/>
      <c r="E50" s="64"/>
      <c r="F50" s="64"/>
      <c r="G50" s="64"/>
      <c r="H50" s="74"/>
      <c r="I50" s="70"/>
      <c r="J50" s="70"/>
      <c r="K50" s="70"/>
      <c r="L50" s="73"/>
      <c r="M50" s="103"/>
    </row>
    <row r="51" spans="1:14" ht="14.25" customHeight="1" thickBot="1">
      <c r="A51" s="48"/>
      <c r="B51" s="80" t="s">
        <v>157</v>
      </c>
      <c r="C51" s="42"/>
      <c r="D51" s="42"/>
      <c r="E51" s="42"/>
      <c r="F51" s="42"/>
      <c r="G51" s="42"/>
      <c r="H51" s="70"/>
      <c r="I51" s="70"/>
      <c r="J51" s="70"/>
      <c r="K51" s="70"/>
      <c r="L51" s="73"/>
      <c r="M51" s="103"/>
    </row>
    <row r="52" spans="1:14" ht="14.25" customHeight="1">
      <c r="A52" s="48"/>
      <c r="B52" s="81" t="s">
        <v>141</v>
      </c>
      <c r="C52" s="50" t="s">
        <v>217</v>
      </c>
      <c r="D52" s="64">
        <f>D6</f>
        <v>0.17737981468400704</v>
      </c>
      <c r="E52" s="64">
        <f t="shared" ref="E52:G52" si="14">E6</f>
        <v>0.18781571278493195</v>
      </c>
      <c r="F52" s="64">
        <f t="shared" si="14"/>
        <v>0.18313029924821717</v>
      </c>
      <c r="G52" s="64">
        <f t="shared" si="14"/>
        <v>0.18060363597090395</v>
      </c>
      <c r="H52" s="74"/>
      <c r="I52" s="74"/>
      <c r="J52" s="70"/>
      <c r="K52" s="70"/>
      <c r="L52" s="73"/>
      <c r="M52" s="103"/>
    </row>
    <row r="53" spans="1:14" ht="14.25" customHeight="1">
      <c r="A53" s="48"/>
      <c r="B53" s="81" t="s">
        <v>159</v>
      </c>
      <c r="C53" s="42" t="s">
        <v>217</v>
      </c>
      <c r="D53" s="65">
        <f>'Income Statement'!D4/SUM(AVERAGE('Balance Sheet'!C42:D42),AVERAGE('Balance Sheet'!C55:D55),AVERAGE('Balance Sheet'!C47:D47))</f>
        <v>1.4319415728331524</v>
      </c>
      <c r="E53" s="65">
        <f>'Income Statement'!E4/SUM(AVERAGE('Balance Sheet'!D42:E42),AVERAGE('Balance Sheet'!D55:E55),AVERAGE('Balance Sheet'!D47:E47))</f>
        <v>1.2552411470339995</v>
      </c>
      <c r="F53" s="65">
        <f>'Income Statement'!F4/SUM(AVERAGE('Balance Sheet'!E42:F42),AVERAGE('Balance Sheet'!E55:F55),AVERAGE('Balance Sheet'!E47:F47))</f>
        <v>1.3385995378540805</v>
      </c>
      <c r="G53" s="65">
        <f>'Income Statement'!G4/SUM(AVERAGE('Balance Sheet'!F42:G42),AVERAGE('Balance Sheet'!F55:G55),AVERAGE('Balance Sheet'!F47:G47))</f>
        <v>1.3091373184885249</v>
      </c>
      <c r="H53" s="70"/>
      <c r="I53" s="70"/>
      <c r="J53" s="70"/>
      <c r="K53" s="70"/>
      <c r="L53" s="70"/>
      <c r="M53" s="105"/>
      <c r="N53" s="65"/>
    </row>
    <row r="54" spans="1:14" ht="14.25" customHeight="1" thickBot="1">
      <c r="A54" s="48"/>
      <c r="B54" s="80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105"/>
      <c r="N54" s="65"/>
    </row>
    <row r="55" spans="1:14" ht="14.25" customHeight="1">
      <c r="A55" s="48"/>
      <c r="B55" s="76"/>
      <c r="C55" s="50"/>
      <c r="D55" s="42"/>
      <c r="E55" s="42"/>
      <c r="F55" s="42"/>
      <c r="G55" s="42"/>
      <c r="H55" s="70"/>
      <c r="I55" s="70"/>
      <c r="J55" s="70"/>
      <c r="K55" s="70"/>
      <c r="L55" s="73"/>
      <c r="M55" s="103"/>
    </row>
    <row r="56" spans="1:14" ht="14.25" customHeight="1">
      <c r="A56" s="48"/>
      <c r="B56" s="76" t="s">
        <v>160</v>
      </c>
      <c r="C56" s="65">
        <f>'Balance Sheet'!C32/'Balance Sheet'!C61</f>
        <v>1.3323872608164027</v>
      </c>
      <c r="D56" s="65">
        <f>'Balance Sheet'!D32/'Balance Sheet'!D61</f>
        <v>1.4022236020373273</v>
      </c>
      <c r="E56" s="65">
        <f>'Balance Sheet'!E32/'Balance Sheet'!E61</f>
        <v>1.4129532869982422</v>
      </c>
      <c r="F56" s="65">
        <f>'Balance Sheet'!F32/'Balance Sheet'!F61</f>
        <v>1.348049663385094</v>
      </c>
      <c r="G56" s="65">
        <f>'Balance Sheet'!G32/'Balance Sheet'!G61</f>
        <v>1.980721463707648</v>
      </c>
      <c r="H56" s="70"/>
      <c r="I56" s="70"/>
      <c r="J56" s="70"/>
      <c r="K56" s="70"/>
      <c r="L56" s="73"/>
      <c r="M56" s="103"/>
    </row>
    <row r="57" spans="1:14" ht="14.25" customHeight="1">
      <c r="A57" s="48"/>
      <c r="B57" s="76"/>
      <c r="C57" s="65"/>
      <c r="D57" s="65"/>
      <c r="E57" s="65"/>
      <c r="F57" s="65"/>
      <c r="G57" s="65"/>
      <c r="H57" s="70"/>
      <c r="I57" s="70"/>
      <c r="J57" s="70"/>
      <c r="K57" s="70"/>
      <c r="L57" s="73"/>
      <c r="M57" s="103"/>
    </row>
    <row r="58" spans="1:14" ht="14.25" customHeight="1">
      <c r="A58" s="48"/>
      <c r="B58" s="76" t="s">
        <v>161</v>
      </c>
      <c r="C58" s="65">
        <f>('Balance Sheet'!C23+'Balance Sheet'!C25+'Balance Sheet'!C26)/'Balance Sheet'!C61</f>
        <v>0.3874470617767809</v>
      </c>
      <c r="D58" s="65">
        <f>('Balance Sheet'!D23+'Balance Sheet'!D25+'Balance Sheet'!D26)/'Balance Sheet'!D61</f>
        <v>0.47043896117920209</v>
      </c>
      <c r="E58" s="65">
        <f>('Balance Sheet'!E23+'Balance Sheet'!E25+'Balance Sheet'!E26)/'Balance Sheet'!E61</f>
        <v>0.41876160431146392</v>
      </c>
      <c r="F58" s="65">
        <f>('Balance Sheet'!F23+'Balance Sheet'!F25+'Balance Sheet'!F26)/'Balance Sheet'!F61</f>
        <v>0.39603279317072071</v>
      </c>
      <c r="G58" s="65">
        <f>('Balance Sheet'!G23+'Balance Sheet'!G25+'Balance Sheet'!G26)/'Balance Sheet'!G61</f>
        <v>0.89387470169001737</v>
      </c>
      <c r="H58" s="70"/>
      <c r="I58" s="70"/>
      <c r="J58" s="70"/>
      <c r="K58" s="70"/>
      <c r="L58" s="73"/>
      <c r="M58" s="103"/>
    </row>
    <row r="59" spans="1:14" ht="14.25" customHeight="1">
      <c r="A59" s="48"/>
      <c r="B59" s="76"/>
      <c r="C59" s="65"/>
      <c r="D59" s="65"/>
      <c r="E59" s="65"/>
      <c r="F59" s="65"/>
      <c r="G59" s="65"/>
      <c r="H59" s="70"/>
      <c r="I59" s="70"/>
      <c r="J59" s="70"/>
      <c r="K59" s="70"/>
      <c r="L59" s="73"/>
      <c r="M59" s="103"/>
    </row>
    <row r="60" spans="1:14" ht="14.25" customHeight="1">
      <c r="A60" s="48"/>
      <c r="B60" s="76" t="s">
        <v>162</v>
      </c>
      <c r="C60" s="65">
        <f>('Balance Sheet'!C25+'Balance Sheet'!C26)/'Balance Sheet'!C61</f>
        <v>8.9235827131902215E-2</v>
      </c>
      <c r="D60" s="65">
        <f>('Balance Sheet'!D25+'Balance Sheet'!D26)/'Balance Sheet'!D61</f>
        <v>0.13714612241959581</v>
      </c>
      <c r="E60" s="65">
        <f>('Balance Sheet'!E25+'Balance Sheet'!E26)/'Balance Sheet'!E61</f>
        <v>0.12572090501306257</v>
      </c>
      <c r="F60" s="65">
        <f>('Balance Sheet'!F25+'Balance Sheet'!F26)/'Balance Sheet'!F61</f>
        <v>0.12335404520525803</v>
      </c>
      <c r="G60" s="65">
        <f>('Balance Sheet'!G25+'Balance Sheet'!G26)/'Balance Sheet'!G61</f>
        <v>0.32930581034790651</v>
      </c>
      <c r="H60" s="70"/>
      <c r="I60" s="70"/>
      <c r="J60" s="70"/>
      <c r="K60" s="70"/>
      <c r="L60" s="73"/>
      <c r="M60" s="103"/>
    </row>
    <row r="61" spans="1:14" ht="14.25" customHeight="1" thickBot="1">
      <c r="A61" s="48"/>
      <c r="B61" s="80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103"/>
    </row>
    <row r="62" spans="1:14" ht="14.25" customHeight="1">
      <c r="A62" s="48"/>
      <c r="B62" s="76"/>
      <c r="C62" s="65"/>
      <c r="D62" s="65"/>
      <c r="E62" s="65"/>
      <c r="F62" s="65"/>
      <c r="G62" s="65"/>
      <c r="H62" s="70"/>
      <c r="I62" s="70"/>
      <c r="J62" s="70"/>
      <c r="K62" s="70"/>
      <c r="L62" s="73"/>
      <c r="M62" s="103"/>
    </row>
    <row r="63" spans="1:14" ht="14.25" customHeight="1">
      <c r="A63" s="48"/>
      <c r="B63" s="76" t="s">
        <v>163</v>
      </c>
      <c r="C63" s="65">
        <f>('Balance Sheet'!C47+'Balance Sheet'!C55)/'Balance Sheet'!C42</f>
        <v>0.18920069348956778</v>
      </c>
      <c r="D63" s="65">
        <f>('Balance Sheet'!D47+'Balance Sheet'!D55)/'Balance Sheet'!D42</f>
        <v>0.18709155692752291</v>
      </c>
      <c r="E63" s="65">
        <f>('Balance Sheet'!E47+'Balance Sheet'!E55)/'Balance Sheet'!E42</f>
        <v>0.14457051656622566</v>
      </c>
      <c r="F63" s="65">
        <f>('Balance Sheet'!F47+'Balance Sheet'!F55)/'Balance Sheet'!F42</f>
        <v>9.2578923762065016E-2</v>
      </c>
      <c r="G63" s="65">
        <f>('Balance Sheet'!G47+'Balance Sheet'!G55)/'Balance Sheet'!G42</f>
        <v>7.0327496420619043E-2</v>
      </c>
      <c r="H63" s="70"/>
      <c r="I63" s="70"/>
      <c r="J63" s="70"/>
      <c r="K63" s="70"/>
      <c r="L63" s="73"/>
      <c r="M63" s="103"/>
    </row>
    <row r="64" spans="1:14" ht="14.25" customHeight="1" thickBot="1">
      <c r="A64" s="48"/>
      <c r="B64" s="80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103"/>
    </row>
    <row r="65" spans="2:12" ht="14.25" customHeight="1">
      <c r="B65" s="73"/>
      <c r="C65" s="65"/>
      <c r="D65" s="65"/>
      <c r="E65" s="65"/>
      <c r="F65" s="65"/>
      <c r="G65" s="65"/>
      <c r="H65" s="70"/>
      <c r="I65" s="73"/>
      <c r="J65" s="73"/>
      <c r="K65" s="73"/>
      <c r="L65" s="73"/>
    </row>
    <row r="66" spans="2:12" ht="14.25" customHeight="1">
      <c r="B66" s="73"/>
      <c r="H66" s="73"/>
      <c r="I66" s="73"/>
      <c r="J66" s="73"/>
      <c r="K66" s="73"/>
      <c r="L66" s="73"/>
    </row>
    <row r="67" spans="2:12" ht="14.25" customHeight="1">
      <c r="B67" s="73"/>
      <c r="H67" s="73"/>
      <c r="I67" s="73"/>
      <c r="J67" s="73"/>
      <c r="K67" s="73"/>
      <c r="L67" s="73"/>
    </row>
    <row r="68" spans="2:12" ht="14.25" customHeight="1">
      <c r="B68" s="73"/>
      <c r="H68" s="73"/>
      <c r="I68" s="73"/>
      <c r="J68" s="73"/>
      <c r="K68" s="73"/>
      <c r="L68" s="73"/>
    </row>
    <row r="69" spans="2:12" ht="14.25" customHeight="1">
      <c r="B69" s="73"/>
      <c r="H69" s="73"/>
      <c r="I69" s="73"/>
      <c r="J69" s="73"/>
      <c r="K69" s="73"/>
      <c r="L69" s="73"/>
    </row>
    <row r="70" spans="2:12" ht="14.25" customHeight="1">
      <c r="B70" s="73"/>
      <c r="H70" s="73"/>
      <c r="I70" s="73"/>
      <c r="J70" s="73"/>
      <c r="K70" s="73"/>
      <c r="L70" s="73"/>
    </row>
    <row r="71" spans="2:12" ht="14.25" customHeight="1">
      <c r="B71" s="73"/>
      <c r="H71" s="73"/>
      <c r="I71" s="73"/>
      <c r="J71" s="73"/>
      <c r="K71" s="73"/>
      <c r="L71" s="73"/>
    </row>
    <row r="72" spans="2:12" ht="14.25" customHeight="1">
      <c r="H72" s="73"/>
      <c r="I72" s="73"/>
      <c r="J72" s="73"/>
      <c r="K72" s="73"/>
      <c r="L72" s="73"/>
    </row>
    <row r="73" spans="2:12" ht="14.25" customHeight="1">
      <c r="H73" s="73"/>
      <c r="I73" s="73"/>
      <c r="J73" s="73"/>
      <c r="K73" s="73"/>
      <c r="L73" s="73"/>
    </row>
    <row r="74" spans="2:12" ht="14.25" customHeight="1">
      <c r="H74" s="73"/>
      <c r="I74" s="73"/>
      <c r="J74" s="73"/>
      <c r="K74" s="73"/>
      <c r="L74" s="73"/>
    </row>
    <row r="75" spans="2:12" ht="14.25" customHeight="1">
      <c r="H75" s="73"/>
      <c r="I75" s="73"/>
      <c r="J75" s="73"/>
      <c r="K75" s="73"/>
      <c r="L75" s="73"/>
    </row>
    <row r="76" spans="2:12" ht="14.25" customHeight="1">
      <c r="H76" s="73"/>
      <c r="I76" s="73"/>
      <c r="J76" s="73"/>
      <c r="K76" s="73"/>
      <c r="L76" s="73"/>
    </row>
    <row r="77" spans="2:12" ht="14.25" customHeight="1">
      <c r="H77" s="73"/>
      <c r="I77" s="73"/>
      <c r="J77" s="73"/>
      <c r="K77" s="73"/>
      <c r="L77" s="73"/>
    </row>
    <row r="78" spans="2:12" ht="14.25" customHeight="1">
      <c r="H78" s="73"/>
      <c r="I78" s="73"/>
      <c r="J78" s="73"/>
      <c r="K78" s="73"/>
      <c r="L78" s="73"/>
    </row>
    <row r="79" spans="2:12" ht="14.25" customHeight="1"/>
    <row r="80" spans="2:1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</sheetData>
  <mergeCells count="2">
    <mergeCell ref="C1:G1"/>
    <mergeCell ref="H1:L1"/>
  </mergeCells>
  <pageMargins left="0.7" right="0.7" top="0.75" bottom="0.75" header="0.3" footer="0.3"/>
  <pageSetup orientation="portrait" r:id="rId1"/>
  <ignoredErrors>
    <ignoredError sqref="D12 E14:G15 F16:G22 E16:E22 D23:E24 D16:D22 E12:F13 G12 D49:J52 D53:K53 D57:K57 H56:K56 H58:K58 D55:K5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17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5"/>
  <cols>
    <col min="1" max="1" width="1.28515625" customWidth="1"/>
    <col min="2" max="2" width="55.7109375" customWidth="1"/>
    <col min="3" max="12" width="25.7109375" customWidth="1"/>
  </cols>
  <sheetData>
    <row r="1" spans="1:33" ht="36" customHeight="1">
      <c r="A1" s="36" t="s">
        <v>0</v>
      </c>
      <c r="B1" s="37"/>
      <c r="C1" s="136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</row>
    <row r="2" spans="1:33">
      <c r="A2" s="38"/>
      <c r="B2" s="39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</row>
    <row r="3" spans="1:33">
      <c r="A3" s="34"/>
      <c r="B3" s="47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33" ht="15.75" thickBot="1">
      <c r="A4" s="34"/>
      <c r="B4" s="43" t="s">
        <v>165</v>
      </c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33" s="34" customFormat="1">
      <c r="B5" s="47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33" s="34" customFormat="1">
      <c r="B6" s="47" t="s">
        <v>167</v>
      </c>
      <c r="C6" s="42">
        <f>'Cashflow Statement'!C27</f>
        <v>-123.22</v>
      </c>
      <c r="D6" s="42">
        <f>'Cashflow Statement'!D27</f>
        <v>-10.210000000000001</v>
      </c>
      <c r="E6" s="42">
        <f>'Cashflow Statement'!E27</f>
        <v>-149.47</v>
      </c>
      <c r="F6" s="42">
        <f>'Cashflow Statement'!F27</f>
        <v>-44.35</v>
      </c>
      <c r="G6" s="42">
        <f>'Cashflow Statement'!G27</f>
        <v>-79.02</v>
      </c>
      <c r="H6" s="70">
        <f>'Cashflow Statement'!H27</f>
        <v>78.24575336765929</v>
      </c>
      <c r="I6" s="70">
        <f>'Cashflow Statement'!I27</f>
        <v>-349.89117774751776</v>
      </c>
      <c r="J6" s="70">
        <f>'Cashflow Statement'!J27</f>
        <v>166.22488494518802</v>
      </c>
      <c r="K6" s="70">
        <f>'Cashflow Statement'!K27</f>
        <v>-372.82260617272505</v>
      </c>
      <c r="L6" s="70">
        <f>'Cashflow Statement'!L27</f>
        <v>106.36841324249326</v>
      </c>
      <c r="M6" s="73"/>
      <c r="N6" s="73"/>
      <c r="O6" s="73"/>
    </row>
    <row r="7" spans="1:33">
      <c r="A7" s="34"/>
      <c r="B7" s="47" t="s">
        <v>168</v>
      </c>
      <c r="C7" s="42">
        <f>'Cashflow Statement'!C28</f>
        <v>-13.95</v>
      </c>
      <c r="D7" s="42">
        <f>'Cashflow Statement'!D28</f>
        <v>114.52</v>
      </c>
      <c r="E7" s="42">
        <f>'Cashflow Statement'!E28</f>
        <v>-55.66</v>
      </c>
      <c r="F7" s="42">
        <f>'Cashflow Statement'!F28</f>
        <v>-130.25</v>
      </c>
      <c r="G7" s="42">
        <f>'Cashflow Statement'!G28</f>
        <v>14.28</v>
      </c>
      <c r="H7" s="70">
        <f>'Cashflow Statement'!H28</f>
        <v>-2.0765100972407708</v>
      </c>
      <c r="I7" s="70">
        <f>'Cashflow Statement'!I28</f>
        <v>-111.0354941493058</v>
      </c>
      <c r="J7" s="70">
        <f>'Cashflow Statement'!J28</f>
        <v>-5.0496822572081328</v>
      </c>
      <c r="K7" s="70">
        <f>'Cashflow Statement'!K28</f>
        <v>-125.42022077722652</v>
      </c>
      <c r="L7" s="70">
        <f>'Cashflow Statement'!L28</f>
        <v>-12.095246577786384</v>
      </c>
      <c r="M7" s="70"/>
      <c r="N7" s="70"/>
      <c r="O7" s="70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>
      <c r="A8" s="34"/>
      <c r="B8" s="47" t="s">
        <v>169</v>
      </c>
      <c r="C8" s="42">
        <f>'Cashflow Statement'!C29</f>
        <v>0</v>
      </c>
      <c r="D8" s="42">
        <f>'Cashflow Statement'!D29</f>
        <v>-2.85</v>
      </c>
      <c r="E8" s="42">
        <f>'Cashflow Statement'!E29</f>
        <v>-20.59</v>
      </c>
      <c r="F8" s="42">
        <f>'Cashflow Statement'!F29</f>
        <v>24.13</v>
      </c>
      <c r="G8" s="42">
        <f>'Cashflow Statement'!G29</f>
        <v>14.69</v>
      </c>
      <c r="H8" s="70" t="str">
        <f>'Cashflow Statement'!H29</f>
        <v>-</v>
      </c>
      <c r="I8" s="70" t="str">
        <f>'Cashflow Statement'!I29</f>
        <v>-</v>
      </c>
      <c r="J8" s="70" t="str">
        <f>'Cashflow Statement'!J29</f>
        <v>-</v>
      </c>
      <c r="K8" s="70" t="str">
        <f>'Cashflow Statement'!K29</f>
        <v>-</v>
      </c>
      <c r="L8" s="70" t="str">
        <f>'Cashflow Statement'!L29</f>
        <v>-</v>
      </c>
      <c r="M8" s="70"/>
      <c r="N8" s="70"/>
      <c r="O8" s="70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ht="15.75" thickBot="1">
      <c r="A9" s="34"/>
      <c r="B9" s="47" t="s">
        <v>170</v>
      </c>
      <c r="C9" s="42">
        <f>'Cashflow Statement'!C30</f>
        <v>0</v>
      </c>
      <c r="D9" s="42">
        <f>'Cashflow Statement'!D30</f>
        <v>19.86</v>
      </c>
      <c r="E9" s="42">
        <f>'Cashflow Statement'!E30</f>
        <v>-153.04</v>
      </c>
      <c r="F9" s="42">
        <f>'Cashflow Statement'!F30</f>
        <v>23.34</v>
      </c>
      <c r="G9" s="42">
        <f>'Cashflow Statement'!G30</f>
        <v>-107.21</v>
      </c>
      <c r="H9" s="70" t="str">
        <f>'Cashflow Statement'!H30</f>
        <v>-</v>
      </c>
      <c r="I9" s="70" t="str">
        <f>'Cashflow Statement'!I30</f>
        <v>-</v>
      </c>
      <c r="J9" s="70" t="str">
        <f>'Cashflow Statement'!J30</f>
        <v>-</v>
      </c>
      <c r="K9" s="70" t="str">
        <f>'Cashflow Statement'!K30</f>
        <v>-</v>
      </c>
      <c r="L9" s="70" t="str">
        <f>'Cashflow Statement'!L30</f>
        <v>-</v>
      </c>
      <c r="M9" s="70"/>
      <c r="N9" s="70"/>
      <c r="O9" s="70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>
      <c r="B10" s="40" t="s">
        <v>174</v>
      </c>
      <c r="C10" s="41">
        <f>SUM(C6:C9)</f>
        <v>-137.16999999999999</v>
      </c>
      <c r="D10" s="41">
        <f t="shared" ref="D10:G10" si="0">SUM(D6:D9)</f>
        <v>121.32000000000001</v>
      </c>
      <c r="E10" s="41">
        <f t="shared" si="0"/>
        <v>-378.76</v>
      </c>
      <c r="F10" s="41">
        <f t="shared" si="0"/>
        <v>-127.13</v>
      </c>
      <c r="G10" s="41">
        <f t="shared" si="0"/>
        <v>-157.26</v>
      </c>
      <c r="H10" s="71">
        <f t="shared" ref="H10:L10" si="1">SUM(H6:H9)</f>
        <v>76.169243270418519</v>
      </c>
      <c r="I10" s="71">
        <f t="shared" si="1"/>
        <v>-460.92667189682356</v>
      </c>
      <c r="J10" s="71">
        <f t="shared" si="1"/>
        <v>161.17520268797989</v>
      </c>
      <c r="K10" s="71">
        <f t="shared" si="1"/>
        <v>-498.24282694995156</v>
      </c>
      <c r="L10" s="71">
        <f t="shared" si="1"/>
        <v>94.273166664706878</v>
      </c>
      <c r="M10" s="70"/>
      <c r="N10" s="70"/>
      <c r="O10" s="70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s="34" customFormat="1">
      <c r="B11" s="35"/>
      <c r="C11" s="42"/>
      <c r="D11" s="42"/>
      <c r="E11" s="42"/>
      <c r="F11" s="42"/>
      <c r="G11" s="42"/>
      <c r="H11" s="70"/>
      <c r="I11" s="70"/>
      <c r="J11" s="70"/>
      <c r="K11" s="70"/>
      <c r="L11" s="70"/>
      <c r="M11" s="70"/>
      <c r="N11" s="70"/>
      <c r="O11" s="70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ht="15.75" thickBot="1">
      <c r="B12" s="43" t="s">
        <v>166</v>
      </c>
      <c r="C12" s="42"/>
      <c r="D12" s="42"/>
      <c r="E12" s="42"/>
      <c r="F12" s="42"/>
      <c r="G12" s="42"/>
      <c r="H12" s="70"/>
      <c r="I12" s="70"/>
      <c r="J12" s="70"/>
      <c r="K12" s="70"/>
      <c r="L12" s="70"/>
      <c r="M12" s="70"/>
      <c r="N12" s="70"/>
      <c r="O12" s="70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s="34" customFormat="1">
      <c r="B13" s="47"/>
      <c r="C13" s="42"/>
      <c r="D13" s="42"/>
      <c r="E13" s="42"/>
      <c r="F13" s="42"/>
      <c r="G13" s="42"/>
      <c r="H13" s="70"/>
      <c r="I13" s="70"/>
      <c r="J13" s="70"/>
      <c r="K13" s="70"/>
      <c r="L13" s="70"/>
      <c r="M13" s="70"/>
      <c r="N13" s="70"/>
      <c r="O13" s="70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>
      <c r="B14" s="47" t="s">
        <v>171</v>
      </c>
      <c r="C14" s="42">
        <f>'Cashflow Statement'!C31</f>
        <v>62.01</v>
      </c>
      <c r="D14" s="42">
        <f>'Cashflow Statement'!D31</f>
        <v>-15.99</v>
      </c>
      <c r="E14" s="42">
        <f>'Cashflow Statement'!E31</f>
        <v>85.75</v>
      </c>
      <c r="F14" s="42">
        <f>'Cashflow Statement'!F31</f>
        <v>45.11</v>
      </c>
      <c r="G14" s="42">
        <f>'Cashflow Statement'!G31</f>
        <v>25.99</v>
      </c>
      <c r="H14" s="70">
        <f>'Cashflow Statement'!H31</f>
        <v>88.130075226469671</v>
      </c>
      <c r="I14" s="70">
        <f>'Cashflow Statement'!I31</f>
        <v>173.81354995104402</v>
      </c>
      <c r="J14" s="70">
        <f>'Cashflow Statement'!J31</f>
        <v>82.654612608222578</v>
      </c>
      <c r="K14" s="70">
        <f>'Cashflow Statement'!K31</f>
        <v>206.18140698730167</v>
      </c>
      <c r="L14" s="70">
        <f>'Cashflow Statement'!L31</f>
        <v>101.47272172200155</v>
      </c>
      <c r="M14" s="70"/>
      <c r="N14" s="70"/>
      <c r="O14" s="70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>
      <c r="B15" s="47" t="s">
        <v>172</v>
      </c>
      <c r="C15" s="42">
        <f>'Cashflow Statement'!C32</f>
        <v>0</v>
      </c>
      <c r="D15" s="42">
        <f>'Cashflow Statement'!D32</f>
        <v>38.159999999999997</v>
      </c>
      <c r="E15" s="42">
        <f>'Cashflow Statement'!E32</f>
        <v>31.5</v>
      </c>
      <c r="F15" s="42">
        <f>'Cashflow Statement'!F32</f>
        <v>28.78</v>
      </c>
      <c r="G15" s="42">
        <f>'Cashflow Statement'!G32</f>
        <v>31.71</v>
      </c>
      <c r="H15" s="70" t="str">
        <f>'Cashflow Statement'!H32</f>
        <v>-</v>
      </c>
      <c r="I15" s="70" t="str">
        <f>'Cashflow Statement'!I32</f>
        <v>-</v>
      </c>
      <c r="J15" s="70" t="str">
        <f>'Cashflow Statement'!J32</f>
        <v>-</v>
      </c>
      <c r="K15" s="70" t="str">
        <f>'Cashflow Statement'!K32</f>
        <v>-</v>
      </c>
      <c r="L15" s="70" t="str">
        <f>'Cashflow Statement'!L32</f>
        <v>-</v>
      </c>
      <c r="M15" s="70"/>
      <c r="N15" s="70"/>
      <c r="O15" s="70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ht="15.75" thickBot="1">
      <c r="B16" s="47" t="s">
        <v>173</v>
      </c>
      <c r="C16" s="42">
        <f>'Cashflow Statement'!C33</f>
        <v>0</v>
      </c>
      <c r="D16" s="42">
        <f>'Cashflow Statement'!D33</f>
        <v>-56.28</v>
      </c>
      <c r="E16" s="42">
        <f>'Cashflow Statement'!E33</f>
        <v>3.99</v>
      </c>
      <c r="F16" s="42">
        <f>'Cashflow Statement'!F33</f>
        <v>35.119999999999997</v>
      </c>
      <c r="G16" s="42">
        <f>'Cashflow Statement'!G33</f>
        <v>41.57</v>
      </c>
      <c r="H16" s="70" t="str">
        <f>'Cashflow Statement'!H33</f>
        <v>-</v>
      </c>
      <c r="I16" s="70" t="str">
        <f>'Cashflow Statement'!I33</f>
        <v>-</v>
      </c>
      <c r="J16" s="70" t="str">
        <f>'Cashflow Statement'!J33</f>
        <v>-</v>
      </c>
      <c r="K16" s="70" t="str">
        <f>'Cashflow Statement'!K33</f>
        <v>-</v>
      </c>
      <c r="L16" s="70" t="str">
        <f>'Cashflow Statement'!L33</f>
        <v>-</v>
      </c>
      <c r="M16" s="70"/>
      <c r="N16" s="70"/>
      <c r="O16" s="70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2:33">
      <c r="B17" s="40" t="s">
        <v>175</v>
      </c>
      <c r="C17" s="41">
        <f>SUM(C14:C16)</f>
        <v>62.01</v>
      </c>
      <c r="D17" s="41">
        <f t="shared" ref="D17:G17" si="2">SUM(D14:D16)</f>
        <v>-34.110000000000007</v>
      </c>
      <c r="E17" s="41">
        <f t="shared" si="2"/>
        <v>121.24</v>
      </c>
      <c r="F17" s="41">
        <f t="shared" si="2"/>
        <v>109.00999999999999</v>
      </c>
      <c r="G17" s="41">
        <f t="shared" si="2"/>
        <v>99.27000000000001</v>
      </c>
      <c r="H17" s="71">
        <f t="shared" ref="H17:L17" si="3">SUM(H14:H16)</f>
        <v>88.130075226469671</v>
      </c>
      <c r="I17" s="71">
        <f t="shared" si="3"/>
        <v>173.81354995104402</v>
      </c>
      <c r="J17" s="71">
        <f t="shared" si="3"/>
        <v>82.654612608222578</v>
      </c>
      <c r="K17" s="71">
        <f t="shared" si="3"/>
        <v>206.18140698730167</v>
      </c>
      <c r="L17" s="71">
        <f t="shared" si="3"/>
        <v>101.47272172200155</v>
      </c>
      <c r="M17" s="70"/>
      <c r="N17" s="70"/>
      <c r="O17" s="70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2:33">
      <c r="B18" s="47"/>
      <c r="C18" s="42"/>
      <c r="D18" s="42"/>
      <c r="E18" s="42"/>
      <c r="F18" s="42"/>
      <c r="G18" s="42"/>
      <c r="H18" s="70"/>
      <c r="I18" s="70"/>
      <c r="J18" s="70"/>
      <c r="K18" s="70"/>
      <c r="L18" s="70"/>
      <c r="M18" s="70"/>
      <c r="N18" s="70"/>
      <c r="O18" s="70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2:33" ht="15.75" thickBot="1">
      <c r="B19" s="47"/>
      <c r="C19" s="42"/>
      <c r="D19" s="42"/>
      <c r="E19" s="42"/>
      <c r="F19" s="42"/>
      <c r="G19" s="42"/>
      <c r="H19" s="70"/>
      <c r="I19" s="70"/>
      <c r="J19" s="70"/>
      <c r="K19" s="70"/>
      <c r="L19" s="70"/>
      <c r="M19" s="70"/>
      <c r="N19" s="70"/>
      <c r="O19" s="70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2:33" ht="15.75" thickBot="1">
      <c r="B20" s="44" t="s">
        <v>261</v>
      </c>
      <c r="C20" s="45">
        <f>C10+C17</f>
        <v>-75.16</v>
      </c>
      <c r="D20" s="45">
        <f t="shared" ref="D20:G20" si="4">D10+D17</f>
        <v>87.210000000000008</v>
      </c>
      <c r="E20" s="45">
        <f t="shared" si="4"/>
        <v>-257.52</v>
      </c>
      <c r="F20" s="45">
        <f t="shared" si="4"/>
        <v>-18.120000000000005</v>
      </c>
      <c r="G20" s="45">
        <f t="shared" si="4"/>
        <v>-57.989999999999981</v>
      </c>
      <c r="H20" s="106">
        <f t="shared" ref="H20:L20" si="5">H10+H17</f>
        <v>164.29931849688819</v>
      </c>
      <c r="I20" s="106">
        <f t="shared" si="5"/>
        <v>-287.11312194577954</v>
      </c>
      <c r="J20" s="106">
        <f t="shared" si="5"/>
        <v>243.82981529620247</v>
      </c>
      <c r="K20" s="106">
        <f t="shared" si="5"/>
        <v>-292.06141996264989</v>
      </c>
      <c r="L20" s="106">
        <f t="shared" si="5"/>
        <v>195.74588838670843</v>
      </c>
      <c r="M20" s="70"/>
      <c r="N20" s="70"/>
      <c r="O20" s="70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2:33">
      <c r="B21" s="47"/>
      <c r="C21" s="42"/>
      <c r="D21" s="42"/>
      <c r="E21" s="42"/>
      <c r="F21" s="42"/>
      <c r="G21" s="42"/>
      <c r="H21" s="70"/>
      <c r="I21" s="70"/>
      <c r="J21" s="70"/>
      <c r="K21" s="70"/>
      <c r="L21" s="70"/>
      <c r="M21" s="70"/>
      <c r="N21" s="70"/>
      <c r="O21" s="70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2:33">
      <c r="B22" s="47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2:33">
      <c r="B23" s="4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2:33">
      <c r="B24" s="4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2:33">
      <c r="B25" s="47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2:33">
      <c r="B26" s="4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2:33">
      <c r="B27" s="4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2:33">
      <c r="B28" s="4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2:33">
      <c r="B29" s="47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2:33">
      <c r="B30" s="4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2:33">
      <c r="B31" s="47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>
      <c r="B32" s="47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2:33">
      <c r="B33" s="47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2:33">
      <c r="B34" s="47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2:33">
      <c r="B35" s="47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2:33">
      <c r="B36" s="47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2:33">
      <c r="B37" s="47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2:33">
      <c r="B38" s="47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2:33">
      <c r="B39" s="47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2:33">
      <c r="B40" s="47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2:33">
      <c r="B41" s="4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2:33">
      <c r="B42" s="47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2:33">
      <c r="B43" s="47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2:33">
      <c r="B44" s="4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2:33">
      <c r="B45" s="47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2:33">
      <c r="B46" s="47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2:33">
      <c r="B47" s="47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2:33">
      <c r="B48" s="4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2:33">
      <c r="B49" s="4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2:33">
      <c r="B50" s="4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2:33">
      <c r="B51" s="47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2:33">
      <c r="B52" s="47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2:33">
      <c r="B53" s="47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2:33">
      <c r="B54" s="47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2:33">
      <c r="B55" s="47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2:33">
      <c r="B56" s="47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2:33">
      <c r="B57" s="47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2:33">
      <c r="B58" s="47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2:33">
      <c r="B59" s="47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2:33">
      <c r="B60" s="47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2:33">
      <c r="B61" s="47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2:33">
      <c r="B62" s="47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2:33">
      <c r="B63" s="47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2:33">
      <c r="B64" s="47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2:33">
      <c r="B65" s="47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2:33">
      <c r="B66" s="47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2:33">
      <c r="B67" s="47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2:33">
      <c r="B68" s="47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spans="2:33">
      <c r="B69" s="47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spans="2:33">
      <c r="B70" s="47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spans="2:33">
      <c r="B71" s="47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spans="2:33">
      <c r="B72" s="47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spans="2:33">
      <c r="B73" s="47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spans="2:33">
      <c r="B74" s="4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spans="2:33">
      <c r="B75" s="4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spans="2:33">
      <c r="B76" s="4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spans="2:33">
      <c r="B77" s="4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spans="2:33">
      <c r="B78" s="4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2:33">
      <c r="B79" s="4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spans="2:33">
      <c r="B80" s="47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spans="2:33">
      <c r="B81" s="47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spans="2:33">
      <c r="B82" s="47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spans="2:33">
      <c r="B83" s="47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spans="2:33">
      <c r="B84" s="47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spans="2:33">
      <c r="B85" s="47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spans="2:33">
      <c r="B86" s="47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2:33">
      <c r="B87" s="47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2:33">
      <c r="B88" s="47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spans="2:33">
      <c r="B89" s="47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2:33">
      <c r="B90" s="47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2:33">
      <c r="B91" s="47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2:33">
      <c r="B92" s="47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2:33">
      <c r="B93" s="47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spans="2:33">
      <c r="B94" s="47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2:33">
      <c r="B95" s="47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2:33">
      <c r="B96" s="47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2:33">
      <c r="B97" s="47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spans="2:33">
      <c r="B98" s="47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2:33">
      <c r="B99" s="47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spans="2:33">
      <c r="B100" s="47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spans="2:33">
      <c r="B101" s="47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spans="2:33">
      <c r="B102" s="47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2:33">
      <c r="B103" s="47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2:33">
      <c r="B104" s="47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2:33">
      <c r="B105" s="47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spans="2:33">
      <c r="B106" s="47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2:33">
      <c r="B107" s="47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spans="2:33">
      <c r="B108" s="47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spans="2:33">
      <c r="B109" s="47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 spans="2:33">
      <c r="B110" s="47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spans="2:33">
      <c r="B111" s="47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 spans="2:33">
      <c r="B112" s="47"/>
    </row>
    <row r="113" spans="2:2">
      <c r="B113" s="47"/>
    </row>
    <row r="114" spans="2:2">
      <c r="B114" s="47"/>
    </row>
    <row r="115" spans="2:2">
      <c r="B115" s="47"/>
    </row>
    <row r="116" spans="2:2">
      <c r="B116" s="47"/>
    </row>
    <row r="117" spans="2:2">
      <c r="B117" s="47"/>
    </row>
    <row r="118" spans="2:2">
      <c r="B118" s="47"/>
    </row>
    <row r="119" spans="2:2">
      <c r="B119" s="47"/>
    </row>
    <row r="120" spans="2:2">
      <c r="B120" s="47"/>
    </row>
    <row r="121" spans="2:2">
      <c r="B121" s="47"/>
    </row>
    <row r="122" spans="2:2">
      <c r="B122" s="47"/>
    </row>
    <row r="123" spans="2:2">
      <c r="B123" s="47"/>
    </row>
    <row r="124" spans="2:2">
      <c r="B124" s="47"/>
    </row>
    <row r="125" spans="2:2">
      <c r="B125" s="47"/>
    </row>
    <row r="126" spans="2:2">
      <c r="B126" s="47"/>
    </row>
    <row r="127" spans="2:2">
      <c r="B127" s="47"/>
    </row>
    <row r="128" spans="2:2">
      <c r="B128" s="47"/>
    </row>
    <row r="129" spans="2:2">
      <c r="B129" s="47"/>
    </row>
    <row r="130" spans="2:2">
      <c r="B130" s="47"/>
    </row>
    <row r="131" spans="2:2">
      <c r="B131" s="47"/>
    </row>
    <row r="132" spans="2:2">
      <c r="B132" s="47"/>
    </row>
    <row r="133" spans="2:2">
      <c r="B133" s="47"/>
    </row>
    <row r="134" spans="2:2">
      <c r="B134" s="47"/>
    </row>
    <row r="135" spans="2:2">
      <c r="B135" s="47"/>
    </row>
    <row r="136" spans="2:2">
      <c r="B136" s="47"/>
    </row>
    <row r="137" spans="2:2">
      <c r="B137" s="47"/>
    </row>
    <row r="138" spans="2:2">
      <c r="B138" s="47"/>
    </row>
    <row r="139" spans="2:2">
      <c r="B139" s="47"/>
    </row>
    <row r="140" spans="2:2">
      <c r="B140" s="47"/>
    </row>
    <row r="141" spans="2:2">
      <c r="B141" s="47"/>
    </row>
    <row r="142" spans="2:2">
      <c r="B142" s="47"/>
    </row>
    <row r="143" spans="2:2">
      <c r="B143" s="47"/>
    </row>
    <row r="144" spans="2:2">
      <c r="B144" s="47"/>
    </row>
    <row r="145" spans="2:2">
      <c r="B145" s="47"/>
    </row>
    <row r="146" spans="2:2">
      <c r="B146" s="47"/>
    </row>
    <row r="147" spans="2:2">
      <c r="B147" s="47"/>
    </row>
    <row r="148" spans="2:2">
      <c r="B148" s="47"/>
    </row>
    <row r="149" spans="2:2">
      <c r="B149" s="47"/>
    </row>
    <row r="150" spans="2:2">
      <c r="B150" s="47"/>
    </row>
    <row r="151" spans="2:2">
      <c r="B151" s="47"/>
    </row>
    <row r="152" spans="2:2">
      <c r="B152" s="47"/>
    </row>
    <row r="153" spans="2:2">
      <c r="B153" s="47"/>
    </row>
    <row r="154" spans="2:2">
      <c r="B154" s="47"/>
    </row>
    <row r="155" spans="2:2">
      <c r="B155" s="47"/>
    </row>
    <row r="156" spans="2:2">
      <c r="B156" s="47"/>
    </row>
    <row r="157" spans="2:2">
      <c r="B157" s="47"/>
    </row>
    <row r="158" spans="2:2">
      <c r="B158" s="47"/>
    </row>
    <row r="159" spans="2:2">
      <c r="B159" s="47"/>
    </row>
    <row r="160" spans="2:2">
      <c r="B160" s="47"/>
    </row>
    <row r="161" spans="2:2">
      <c r="B161" s="47"/>
    </row>
    <row r="162" spans="2:2">
      <c r="B162" s="47"/>
    </row>
    <row r="163" spans="2:2">
      <c r="B163" s="47"/>
    </row>
    <row r="164" spans="2:2">
      <c r="B164" s="47"/>
    </row>
    <row r="165" spans="2:2">
      <c r="B165" s="47"/>
    </row>
    <row r="166" spans="2:2">
      <c r="B166" s="47"/>
    </row>
    <row r="167" spans="2:2">
      <c r="B167" s="47"/>
    </row>
    <row r="168" spans="2:2">
      <c r="B168" s="47"/>
    </row>
    <row r="169" spans="2:2">
      <c r="B169" s="47"/>
    </row>
    <row r="170" spans="2:2">
      <c r="B170" s="47"/>
    </row>
    <row r="171" spans="2:2">
      <c r="B171" s="47"/>
    </row>
  </sheetData>
  <mergeCells count="2">
    <mergeCell ref="C1:G1"/>
    <mergeCell ref="H1: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8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RowHeight="15"/>
  <cols>
    <col min="1" max="1" width="1.28515625" style="34" customWidth="1"/>
    <col min="2" max="2" width="50.7109375" style="34" customWidth="1"/>
    <col min="3" max="12" width="25.7109375" style="34" customWidth="1"/>
    <col min="13" max="16384" width="9.140625" style="34"/>
  </cols>
  <sheetData>
    <row r="1" spans="1:33" ht="36" customHeight="1">
      <c r="A1" s="36" t="s">
        <v>0</v>
      </c>
      <c r="B1" s="37"/>
      <c r="C1" s="136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</row>
    <row r="2" spans="1:33">
      <c r="A2" s="38"/>
      <c r="B2" s="39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</row>
    <row r="3" spans="1:33" ht="15.75" thickBot="1">
      <c r="B3" s="47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33" ht="15.75" thickBot="1">
      <c r="B4" s="43" t="s">
        <v>14</v>
      </c>
      <c r="C4" s="41">
        <f>'Income Statement'!C4</f>
        <v>7868.77</v>
      </c>
      <c r="D4" s="41">
        <f>'Income Statement'!D4</f>
        <v>7701.44</v>
      </c>
      <c r="E4" s="41">
        <f>'Income Statement'!E4</f>
        <v>7748.34</v>
      </c>
      <c r="F4" s="41">
        <f>'Income Statement'!F4</f>
        <v>8533.0499999999993</v>
      </c>
      <c r="G4" s="41">
        <f>'Income Statement'!G4</f>
        <v>8703.59</v>
      </c>
      <c r="H4" s="41">
        <f>H13+H22+H25</f>
        <v>8877.4946649616995</v>
      </c>
      <c r="I4" s="41">
        <f t="shared" ref="I4:L4" si="0">I13+I22+I25</f>
        <v>9493.5925901599931</v>
      </c>
      <c r="J4" s="41">
        <f t="shared" si="0"/>
        <v>10125.884775297494</v>
      </c>
      <c r="K4" s="41">
        <f t="shared" si="0"/>
        <v>10836.527620818391</v>
      </c>
      <c r="L4" s="41">
        <f t="shared" si="0"/>
        <v>11585.54621247405</v>
      </c>
    </row>
    <row r="5" spans="1:33">
      <c r="B5" s="47" t="s">
        <v>176</v>
      </c>
      <c r="C5" s="42"/>
      <c r="D5" s="64">
        <f>D4/C4-1</f>
        <v>-2.1265077006952904E-2</v>
      </c>
      <c r="E5" s="64">
        <f t="shared" ref="E5:G5" si="1">E4/D4-1</f>
        <v>6.0897702247892926E-3</v>
      </c>
      <c r="F5" s="64">
        <f t="shared" si="1"/>
        <v>0.10127459559079743</v>
      </c>
      <c r="G5" s="64">
        <f t="shared" si="1"/>
        <v>1.9985819841674468E-2</v>
      </c>
      <c r="H5" s="74">
        <f t="shared" ref="H5" si="2">H4/G4-1</f>
        <v>1.998079700005384E-2</v>
      </c>
      <c r="I5" s="74">
        <f t="shared" ref="I5" si="3">I4/H4-1</f>
        <v>6.9399976958583798E-2</v>
      </c>
      <c r="J5" s="74">
        <f t="shared" ref="J5" si="4">J4/I4-1</f>
        <v>6.6601992779094621E-2</v>
      </c>
      <c r="K5" s="74">
        <f t="shared" ref="K5" si="5">K4/J4-1</f>
        <v>7.0180814940195457E-2</v>
      </c>
      <c r="L5" s="74">
        <f t="shared" ref="L5" si="6">L4/K4-1</f>
        <v>6.9119797214072021E-2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>
      <c r="B6" s="47"/>
      <c r="C6" s="42"/>
      <c r="D6" s="64"/>
      <c r="E6" s="64"/>
      <c r="F6" s="64"/>
      <c r="G6" s="64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ht="15.75" thickBot="1">
      <c r="B7" s="43" t="s">
        <v>190</v>
      </c>
      <c r="C7" s="42"/>
      <c r="D7" s="64"/>
      <c r="E7" s="64"/>
      <c r="F7" s="64"/>
      <c r="G7" s="64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>
      <c r="B8" s="47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ht="15.75" thickBot="1">
      <c r="B9" s="43" t="s">
        <v>187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>
      <c r="B10" s="47" t="s">
        <v>177</v>
      </c>
      <c r="C10" s="42">
        <v>1561.1639680000001</v>
      </c>
      <c r="D10" s="42">
        <v>1575.714624</v>
      </c>
      <c r="E10" s="42">
        <v>1677.2056764000001</v>
      </c>
      <c r="F10" s="42">
        <v>1912.7855540999999</v>
      </c>
      <c r="G10" s="42">
        <v>2021.1041518500003</v>
      </c>
      <c r="H10" s="56">
        <f>G10*(1+H32)</f>
        <v>2324.2697746275003</v>
      </c>
      <c r="I10" s="56">
        <f t="shared" ref="I10:L10" si="7">H10*(1+I32)</f>
        <v>2556.6967520902504</v>
      </c>
      <c r="J10" s="56">
        <f t="shared" si="7"/>
        <v>2735.6655247365679</v>
      </c>
      <c r="K10" s="56">
        <f t="shared" si="7"/>
        <v>2927.1621114681279</v>
      </c>
      <c r="L10" s="56">
        <f t="shared" si="7"/>
        <v>3132.0634592708971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>
      <c r="B11" s="47" t="s">
        <v>178</v>
      </c>
      <c r="C11" s="42">
        <v>2568.3665280000005</v>
      </c>
      <c r="D11" s="42">
        <v>2541.4751999999999</v>
      </c>
      <c r="E11" s="42">
        <v>2675.0369016</v>
      </c>
      <c r="F11" s="42">
        <v>2996.4999701999996</v>
      </c>
      <c r="G11" s="42">
        <v>2992.9034933000003</v>
      </c>
      <c r="H11" s="56">
        <f>G11*(1+H33)</f>
        <v>2903.1163885010001</v>
      </c>
      <c r="I11" s="56">
        <f t="shared" ref="I11:L11" si="8">H11*(1+I33)</f>
        <v>3048.2722079260502</v>
      </c>
      <c r="J11" s="56">
        <f t="shared" si="8"/>
        <v>3200.685818322353</v>
      </c>
      <c r="K11" s="56">
        <f t="shared" si="8"/>
        <v>3424.7338256049179</v>
      </c>
      <c r="L11" s="56">
        <f t="shared" si="8"/>
        <v>3664.4651933972623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ht="15.75" thickBot="1">
      <c r="B12" s="47" t="s">
        <v>179</v>
      </c>
      <c r="C12" s="42">
        <v>906.482304</v>
      </c>
      <c r="D12" s="42">
        <v>965.7605759999999</v>
      </c>
      <c r="E12" s="42">
        <v>955.37032199999999</v>
      </c>
      <c r="F12" s="42">
        <v>1012.6511757</v>
      </c>
      <c r="G12" s="42">
        <v>947.95150485000011</v>
      </c>
      <c r="H12" s="56">
        <f>G12*(1+H34)</f>
        <v>853.15635436500008</v>
      </c>
      <c r="I12" s="56">
        <f t="shared" ref="I12:L12" si="9">H12*(1+I34)</f>
        <v>912.87729917055015</v>
      </c>
      <c r="J12" s="56">
        <f t="shared" si="9"/>
        <v>976.77871011248874</v>
      </c>
      <c r="K12" s="56">
        <f t="shared" si="9"/>
        <v>1045.1532198203631</v>
      </c>
      <c r="L12" s="56">
        <f t="shared" si="9"/>
        <v>1118.3139452077885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ht="15.75" thickBot="1">
      <c r="B13" s="43" t="s">
        <v>180</v>
      </c>
      <c r="C13" s="41">
        <f>SUM(C10:C12)</f>
        <v>5036.0128000000004</v>
      </c>
      <c r="D13" s="41">
        <f t="shared" ref="D13:L13" si="10">SUM(D10:D12)</f>
        <v>5082.9503999999997</v>
      </c>
      <c r="E13" s="41">
        <f t="shared" si="10"/>
        <v>5307.6129000000001</v>
      </c>
      <c r="F13" s="41">
        <f t="shared" si="10"/>
        <v>5921.9366999999993</v>
      </c>
      <c r="G13" s="41">
        <f t="shared" si="10"/>
        <v>5961.9591500000006</v>
      </c>
      <c r="H13" s="40">
        <f t="shared" si="10"/>
        <v>6080.5425174934999</v>
      </c>
      <c r="I13" s="40">
        <f t="shared" si="10"/>
        <v>6517.8462591868501</v>
      </c>
      <c r="J13" s="40">
        <f t="shared" si="10"/>
        <v>6913.1300531714096</v>
      </c>
      <c r="K13" s="40">
        <f t="shared" si="10"/>
        <v>7397.0491568934094</v>
      </c>
      <c r="L13" s="40">
        <f t="shared" si="10"/>
        <v>7914.8425978759478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>
      <c r="B14" s="47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>
      <c r="B15" s="47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ht="15.75" thickBot="1">
      <c r="B16" s="43" t="s">
        <v>188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2:33">
      <c r="B17" s="47" t="s">
        <v>181</v>
      </c>
      <c r="C17" s="42">
        <v>428.06108800000004</v>
      </c>
      <c r="D17" s="42">
        <v>392.77343999999999</v>
      </c>
      <c r="E17" s="42">
        <v>302.65016040000006</v>
      </c>
      <c r="F17" s="42">
        <v>319.1190039</v>
      </c>
      <c r="G17" s="42">
        <v>331.34567129999999</v>
      </c>
      <c r="H17" s="56">
        <f>G17*(1+H39)</f>
        <v>331.34567129999999</v>
      </c>
      <c r="I17" s="56">
        <f t="shared" ref="I17:L17" si="11">H17*(1+I39)</f>
        <v>341.28604143899997</v>
      </c>
      <c r="J17" s="56">
        <f t="shared" si="11"/>
        <v>351.52462268216999</v>
      </c>
      <c r="K17" s="56">
        <f t="shared" si="11"/>
        <v>362.07036136263508</v>
      </c>
      <c r="L17" s="56">
        <f t="shared" si="11"/>
        <v>372.93247220351412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2:33">
      <c r="B18" s="47" t="s">
        <v>182</v>
      </c>
      <c r="C18" s="42">
        <v>553.96140800000001</v>
      </c>
      <c r="D18" s="42">
        <v>462.08639999999997</v>
      </c>
      <c r="E18" s="42">
        <v>410.73950340000005</v>
      </c>
      <c r="F18" s="42">
        <v>511.05289754999995</v>
      </c>
      <c r="G18" s="42">
        <v>569.42367216000002</v>
      </c>
      <c r="H18" s="56">
        <f t="shared" ref="H18:L21" si="12">G18*(1+H40)</f>
        <v>597.89485576800007</v>
      </c>
      <c r="I18" s="56">
        <f t="shared" si="12"/>
        <v>657.68434134480015</v>
      </c>
      <c r="J18" s="56">
        <f t="shared" si="12"/>
        <v>723.45277547928026</v>
      </c>
      <c r="K18" s="56">
        <f t="shared" si="12"/>
        <v>781.32899751762272</v>
      </c>
      <c r="L18" s="56">
        <f t="shared" si="12"/>
        <v>843.83531731903258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2:33">
      <c r="B19" s="47" t="s">
        <v>183</v>
      </c>
      <c r="C19" s="42">
        <v>276.980704</v>
      </c>
      <c r="D19" s="42">
        <v>300.35615999999999</v>
      </c>
      <c r="E19" s="42">
        <v>237.79655460000001</v>
      </c>
      <c r="F19" s="42">
        <v>282.11969909999999</v>
      </c>
      <c r="G19" s="42">
        <v>301.89272273999995</v>
      </c>
      <c r="H19" s="56">
        <f t="shared" si="12"/>
        <v>310.94950442219994</v>
      </c>
      <c r="I19" s="56">
        <f t="shared" si="12"/>
        <v>332.71596973175394</v>
      </c>
      <c r="J19" s="56">
        <f t="shared" si="12"/>
        <v>356.00608761297673</v>
      </c>
      <c r="K19" s="56">
        <f t="shared" si="12"/>
        <v>380.92651374588513</v>
      </c>
      <c r="L19" s="56">
        <f t="shared" si="12"/>
        <v>407.59136970809709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2:33">
      <c r="B20" s="47" t="s">
        <v>184</v>
      </c>
      <c r="C20" s="42">
        <v>830.94211200000007</v>
      </c>
      <c r="D20" s="42">
        <v>716.2339199999999</v>
      </c>
      <c r="E20" s="42">
        <v>735.00753240000006</v>
      </c>
      <c r="F20" s="42">
        <v>626.67572504999998</v>
      </c>
      <c r="G20" s="42">
        <v>697.05311591999987</v>
      </c>
      <c r="H20" s="56">
        <f t="shared" si="12"/>
        <v>745.84683403439988</v>
      </c>
      <c r="I20" s="56">
        <f t="shared" si="12"/>
        <v>798.05611241680788</v>
      </c>
      <c r="J20" s="56">
        <f t="shared" si="12"/>
        <v>853.92004028598444</v>
      </c>
      <c r="K20" s="56">
        <f t="shared" si="12"/>
        <v>896.61604230028365</v>
      </c>
      <c r="L20" s="56">
        <f t="shared" si="12"/>
        <v>941.44684441529785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2:33" ht="15.75" thickBot="1">
      <c r="B21" s="47" t="s">
        <v>185</v>
      </c>
      <c r="C21" s="42">
        <v>428.06108800000004</v>
      </c>
      <c r="D21" s="42">
        <v>438.98207999999994</v>
      </c>
      <c r="E21" s="42">
        <v>475.59310920000001</v>
      </c>
      <c r="F21" s="42">
        <v>573.48922440000001</v>
      </c>
      <c r="G21" s="42">
        <v>554.69719787999998</v>
      </c>
      <c r="H21" s="56">
        <f t="shared" si="12"/>
        <v>538.05628194359997</v>
      </c>
      <c r="I21" s="56">
        <f t="shared" si="12"/>
        <v>564.95909604077997</v>
      </c>
      <c r="J21" s="56">
        <f t="shared" si="12"/>
        <v>632.75418756567365</v>
      </c>
      <c r="K21" s="56">
        <f t="shared" si="12"/>
        <v>708.68469007355452</v>
      </c>
      <c r="L21" s="56">
        <f t="shared" si="12"/>
        <v>779.55315908091006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2:33" ht="15.75" thickBot="1">
      <c r="B22" s="43" t="s">
        <v>186</v>
      </c>
      <c r="C22" s="41">
        <f>SUM(C17:C21)</f>
        <v>2518.0064000000002</v>
      </c>
      <c r="D22" s="41">
        <f t="shared" ref="D22:L22" si="13">SUM(D17:D21)</f>
        <v>2310.4319999999998</v>
      </c>
      <c r="E22" s="41">
        <f t="shared" si="13"/>
        <v>2161.7868600000002</v>
      </c>
      <c r="F22" s="41">
        <f t="shared" si="13"/>
        <v>2312.4565499999999</v>
      </c>
      <c r="G22" s="41">
        <f t="shared" si="13"/>
        <v>2454.4123799999998</v>
      </c>
      <c r="H22" s="40">
        <f t="shared" si="13"/>
        <v>2524.0931474681997</v>
      </c>
      <c r="I22" s="40">
        <f t="shared" si="13"/>
        <v>2694.701560973142</v>
      </c>
      <c r="J22" s="40">
        <f t="shared" si="13"/>
        <v>2917.6577136260848</v>
      </c>
      <c r="K22" s="40">
        <f t="shared" si="13"/>
        <v>3129.6266049999813</v>
      </c>
      <c r="L22" s="40">
        <f t="shared" si="13"/>
        <v>3345.359162726852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2:33">
      <c r="B23" s="4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2:33" ht="15.75" thickBot="1">
      <c r="B24" s="4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2:33" ht="15.75" thickBot="1">
      <c r="B25" s="43" t="s">
        <v>189</v>
      </c>
      <c r="C25" s="41">
        <v>314.75</v>
      </c>
      <c r="D25" s="41">
        <v>308.06</v>
      </c>
      <c r="E25" s="41">
        <v>278.94</v>
      </c>
      <c r="F25" s="41">
        <v>298.66000000000003</v>
      </c>
      <c r="G25" s="41">
        <v>287.22000000000003</v>
      </c>
      <c r="H25" s="40">
        <f>G25*(1+H47)</f>
        <v>272.85900000000004</v>
      </c>
      <c r="I25" s="40">
        <f t="shared" ref="I25:L25" si="14">H25*(1+I47)</f>
        <v>281.04477000000003</v>
      </c>
      <c r="J25" s="40">
        <f t="shared" si="14"/>
        <v>295.09700850000002</v>
      </c>
      <c r="K25" s="40">
        <f t="shared" si="14"/>
        <v>309.85185892500004</v>
      </c>
      <c r="L25" s="40">
        <f t="shared" si="14"/>
        <v>325.34445187125004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2:33">
      <c r="B26" s="4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2:33" ht="15.75" thickBot="1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2:33">
      <c r="B28" s="4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2:33" ht="15.75" thickBot="1">
      <c r="B29" s="43" t="s">
        <v>176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2:33">
      <c r="B30" s="4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2:33" ht="15.75" thickBot="1">
      <c r="B31" s="43" t="s">
        <v>187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>
      <c r="B32" s="47" t="s">
        <v>177</v>
      </c>
      <c r="C32" s="42"/>
      <c r="D32" s="64">
        <f>D10/C10-1</f>
        <v>9.3203893365798596E-3</v>
      </c>
      <c r="E32" s="64">
        <f t="shared" ref="E32:G32" si="15">E10/D10-1</f>
        <v>6.4409538919149023E-2</v>
      </c>
      <c r="F32" s="64">
        <f t="shared" si="15"/>
        <v>0.14045974266295991</v>
      </c>
      <c r="G32" s="64">
        <f t="shared" si="15"/>
        <v>5.6628720097672502E-2</v>
      </c>
      <c r="H32" s="68">
        <v>0.15</v>
      </c>
      <c r="I32" s="68">
        <v>0.1</v>
      </c>
      <c r="J32" s="68">
        <v>7.0000000000000007E-2</v>
      </c>
      <c r="K32" s="68">
        <v>7.0000000000000007E-2</v>
      </c>
      <c r="L32" s="68">
        <v>7.0000000000000007E-2</v>
      </c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2:33">
      <c r="B33" s="47" t="s">
        <v>178</v>
      </c>
      <c r="C33" s="42"/>
      <c r="D33" s="64">
        <f t="shared" ref="D33:G35" si="16">D11/C11-1</f>
        <v>-1.0470206532764981E-2</v>
      </c>
      <c r="E33" s="64">
        <f t="shared" si="16"/>
        <v>5.2552825067897713E-2</v>
      </c>
      <c r="F33" s="64">
        <f t="shared" si="16"/>
        <v>0.12017145199295198</v>
      </c>
      <c r="G33" s="64">
        <f t="shared" si="16"/>
        <v>-1.2002259088156331E-3</v>
      </c>
      <c r="H33" s="68">
        <v>-0.03</v>
      </c>
      <c r="I33" s="68">
        <v>0.05</v>
      </c>
      <c r="J33" s="68">
        <v>0.05</v>
      </c>
      <c r="K33" s="68">
        <v>7.0000000000000007E-2</v>
      </c>
      <c r="L33" s="68">
        <v>7.0000000000000007E-2</v>
      </c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2:33">
      <c r="B34" s="47" t="s">
        <v>179</v>
      </c>
      <c r="C34" s="42"/>
      <c r="D34" s="64">
        <f t="shared" si="16"/>
        <v>6.5393744299723222E-2</v>
      </c>
      <c r="E34" s="64">
        <f t="shared" si="16"/>
        <v>-1.0758623056487115E-2</v>
      </c>
      <c r="F34" s="64">
        <f t="shared" si="16"/>
        <v>5.9956702004398288E-2</v>
      </c>
      <c r="G34" s="64">
        <f t="shared" si="16"/>
        <v>-6.3891369903635309E-2</v>
      </c>
      <c r="H34" s="68">
        <v>-0.1</v>
      </c>
      <c r="I34" s="68">
        <v>7.0000000000000007E-2</v>
      </c>
      <c r="J34" s="68">
        <v>7.0000000000000007E-2</v>
      </c>
      <c r="K34" s="68">
        <v>7.0000000000000007E-2</v>
      </c>
      <c r="L34" s="68">
        <v>7.0000000000000007E-2</v>
      </c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2:33" ht="15.75" thickBot="1">
      <c r="B35" s="43" t="s">
        <v>180</v>
      </c>
      <c r="C35" s="42"/>
      <c r="D35" s="64">
        <f t="shared" si="16"/>
        <v>9.3203893365798596E-3</v>
      </c>
      <c r="E35" s="64">
        <f t="shared" si="16"/>
        <v>4.4199231218152502E-2</v>
      </c>
      <c r="F35" s="64">
        <f t="shared" si="16"/>
        <v>0.11574389684673481</v>
      </c>
      <c r="G35" s="64">
        <f t="shared" si="16"/>
        <v>6.7583380281659444E-3</v>
      </c>
      <c r="H35" s="74">
        <f t="shared" ref="H35" si="17">H13/G13-1</f>
        <v>1.9889999999999963E-2</v>
      </c>
      <c r="I35" s="74">
        <f t="shared" ref="I35" si="18">I13/H13-1</f>
        <v>7.1918540234731321E-2</v>
      </c>
      <c r="J35" s="74">
        <f t="shared" ref="J35" si="19">J13/I13-1</f>
        <v>6.0646381989665654E-2</v>
      </c>
      <c r="K35" s="74">
        <f t="shared" ref="K35" si="20">K13/J13-1</f>
        <v>7.0000000000000062E-2</v>
      </c>
      <c r="L35" s="74">
        <f t="shared" ref="L35" si="21">L13/K13-1</f>
        <v>7.0000000000000062E-2</v>
      </c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2:33">
      <c r="B36" s="47"/>
      <c r="C36" s="42"/>
      <c r="D36" s="50"/>
      <c r="E36" s="50"/>
      <c r="F36" s="50"/>
      <c r="G36" s="50"/>
      <c r="H36" s="72"/>
      <c r="I36" s="72"/>
      <c r="J36" s="72"/>
      <c r="K36" s="72"/>
      <c r="L36" s="7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2:33">
      <c r="B37" s="47"/>
      <c r="C37" s="42"/>
      <c r="D37" s="50"/>
      <c r="E37" s="50"/>
      <c r="F37" s="50"/>
      <c r="G37" s="50"/>
      <c r="H37" s="72"/>
      <c r="I37" s="72"/>
      <c r="J37" s="72"/>
      <c r="K37" s="72"/>
      <c r="L37" s="7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2:33" ht="15.75" thickBot="1">
      <c r="B38" s="43" t="s">
        <v>188</v>
      </c>
      <c r="C38" s="42"/>
      <c r="D38" s="50"/>
      <c r="E38" s="50"/>
      <c r="F38" s="50"/>
      <c r="G38" s="50"/>
      <c r="H38" s="72"/>
      <c r="I38" s="72"/>
      <c r="J38" s="72"/>
      <c r="K38" s="72"/>
      <c r="L38" s="7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2:33">
      <c r="B39" s="47" t="s">
        <v>181</v>
      </c>
      <c r="C39" s="42"/>
      <c r="D39" s="64">
        <f t="shared" ref="D39:G39" si="22">D17/C17-1</f>
        <v>-8.243600969401832E-2</v>
      </c>
      <c r="E39" s="64">
        <f t="shared" si="22"/>
        <v>-0.22945359951019073</v>
      </c>
      <c r="F39" s="64">
        <f t="shared" si="22"/>
        <v>5.4415446131711231E-2</v>
      </c>
      <c r="G39" s="64">
        <f t="shared" si="22"/>
        <v>3.8313817887922985E-2</v>
      </c>
      <c r="H39" s="74">
        <v>0</v>
      </c>
      <c r="I39" s="74">
        <v>0.03</v>
      </c>
      <c r="J39" s="74">
        <v>0.03</v>
      </c>
      <c r="K39" s="74">
        <v>0.03</v>
      </c>
      <c r="L39" s="74">
        <v>0.03</v>
      </c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2:33">
      <c r="B40" s="47" t="s">
        <v>182</v>
      </c>
      <c r="C40" s="42"/>
      <c r="D40" s="64">
        <f t="shared" ref="D40:G40" si="23">D18/C18-1</f>
        <v>-0.16585091790365303</v>
      </c>
      <c r="E40" s="64">
        <f t="shared" si="23"/>
        <v>-0.1111196880063986</v>
      </c>
      <c r="F40" s="64">
        <f t="shared" si="23"/>
        <v>0.24422631210202672</v>
      </c>
      <c r="G40" s="64">
        <f t="shared" si="23"/>
        <v>0.11421669829058989</v>
      </c>
      <c r="H40" s="74">
        <v>0.05</v>
      </c>
      <c r="I40" s="74">
        <v>0.1</v>
      </c>
      <c r="J40" s="74">
        <v>0.1</v>
      </c>
      <c r="K40" s="74">
        <v>0.08</v>
      </c>
      <c r="L40" s="74">
        <v>0.08</v>
      </c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2:33">
      <c r="B41" s="47" t="s">
        <v>183</v>
      </c>
      <c r="C41" s="42"/>
      <c r="D41" s="64">
        <f t="shared" ref="D41:G41" si="24">D19/C19-1</f>
        <v>8.4393806725251208E-2</v>
      </c>
      <c r="E41" s="64">
        <f t="shared" si="24"/>
        <v>-0.20828474235387739</v>
      </c>
      <c r="F41" s="64">
        <f t="shared" si="24"/>
        <v>0.18639102898087145</v>
      </c>
      <c r="G41" s="64">
        <f t="shared" si="24"/>
        <v>7.0087355484493186E-2</v>
      </c>
      <c r="H41" s="74">
        <v>0.03</v>
      </c>
      <c r="I41" s="74">
        <v>7.0000000000000007E-2</v>
      </c>
      <c r="J41" s="74">
        <v>7.0000000000000007E-2</v>
      </c>
      <c r="K41" s="74">
        <v>7.0000000000000007E-2</v>
      </c>
      <c r="L41" s="74">
        <v>7.0000000000000007E-2</v>
      </c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2:33">
      <c r="B42" s="47" t="s">
        <v>184</v>
      </c>
      <c r="C42" s="42"/>
      <c r="D42" s="64">
        <f t="shared" ref="D42:G42" si="25">D20/C20-1</f>
        <v>-0.13804594850044161</v>
      </c>
      <c r="E42" s="64">
        <f t="shared" si="25"/>
        <v>2.6211565629285172E-2</v>
      </c>
      <c r="F42" s="64">
        <f t="shared" si="25"/>
        <v>-0.14738870361813461</v>
      </c>
      <c r="G42" s="64">
        <f t="shared" si="25"/>
        <v>0.11230272381203976</v>
      </c>
      <c r="H42" s="74">
        <v>7.0000000000000007E-2</v>
      </c>
      <c r="I42" s="74">
        <v>7.0000000000000007E-2</v>
      </c>
      <c r="J42" s="74">
        <v>7.0000000000000007E-2</v>
      </c>
      <c r="K42" s="74">
        <v>0.05</v>
      </c>
      <c r="L42" s="74">
        <v>0.05</v>
      </c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2:33">
      <c r="B43" s="47" t="s">
        <v>185</v>
      </c>
      <c r="C43" s="42"/>
      <c r="D43" s="64">
        <f t="shared" ref="D43:G43" si="26">D21/C21-1</f>
        <v>2.5512695047861689E-2</v>
      </c>
      <c r="E43" s="64">
        <f t="shared" si="26"/>
        <v>8.3399826252588793E-2</v>
      </c>
      <c r="F43" s="64">
        <f t="shared" si="26"/>
        <v>0.20584006224285312</v>
      </c>
      <c r="G43" s="64">
        <f t="shared" si="26"/>
        <v>-3.2767880756017331E-2</v>
      </c>
      <c r="H43" s="74">
        <v>-0.03</v>
      </c>
      <c r="I43" s="74">
        <v>0.05</v>
      </c>
      <c r="J43" s="74">
        <v>0.12</v>
      </c>
      <c r="K43" s="74">
        <v>0.12</v>
      </c>
      <c r="L43" s="74">
        <v>0.1</v>
      </c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2:33" ht="15.75" thickBot="1">
      <c r="B44" s="43" t="s">
        <v>186</v>
      </c>
      <c r="C44" s="42"/>
      <c r="D44" s="64">
        <f t="shared" ref="D44:G44" si="27">D22/C22-1</f>
        <v>-8.2436009694018431E-2</v>
      </c>
      <c r="E44" s="64">
        <f t="shared" si="27"/>
        <v>-6.4336513690945951E-2</v>
      </c>
      <c r="F44" s="64">
        <f t="shared" si="27"/>
        <v>6.9696829408982364E-2</v>
      </c>
      <c r="G44" s="64">
        <f t="shared" si="27"/>
        <v>6.138745828543235E-2</v>
      </c>
      <c r="H44" s="74">
        <f t="shared" ref="H44" si="28">H22/G22-1</f>
        <v>2.8389999999999915E-2</v>
      </c>
      <c r="I44" s="74">
        <f t="shared" ref="I44" si="29">I22/H22-1</f>
        <v>6.7591964138118854E-2</v>
      </c>
      <c r="J44" s="74">
        <f t="shared" ref="J44" si="30">J22/I22-1</f>
        <v>8.2738718039123471E-2</v>
      </c>
      <c r="K44" s="74">
        <f t="shared" ref="K44" si="31">K22/J22-1</f>
        <v>7.2650362783803102E-2</v>
      </c>
      <c r="L44" s="74">
        <f t="shared" ref="L44" si="32">L22/K22-1</f>
        <v>6.8932363171443578E-2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2:33">
      <c r="B45" s="47"/>
      <c r="C45" s="42"/>
      <c r="D45" s="50"/>
      <c r="E45" s="50"/>
      <c r="F45" s="50"/>
      <c r="G45" s="50"/>
      <c r="H45" s="72"/>
      <c r="I45" s="72"/>
      <c r="J45" s="72"/>
      <c r="K45" s="72"/>
      <c r="L45" s="7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2:33">
      <c r="B46" s="47"/>
      <c r="C46" s="42"/>
      <c r="D46" s="50"/>
      <c r="E46" s="50"/>
      <c r="F46" s="50"/>
      <c r="G46" s="50"/>
      <c r="H46" s="72"/>
      <c r="I46" s="72"/>
      <c r="J46" s="72"/>
      <c r="K46" s="72"/>
      <c r="L46" s="7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2:33" ht="15.75" thickBot="1">
      <c r="B47" s="43" t="s">
        <v>189</v>
      </c>
      <c r="C47" s="42"/>
      <c r="D47" s="64">
        <f t="shared" ref="D47:G47" si="33">D25/C25-1</f>
        <v>-2.1254964257347075E-2</v>
      </c>
      <c r="E47" s="64">
        <f t="shared" si="33"/>
        <v>-9.4527040186976552E-2</v>
      </c>
      <c r="F47" s="64">
        <f t="shared" si="33"/>
        <v>7.0696207069620876E-2</v>
      </c>
      <c r="G47" s="64">
        <f t="shared" si="33"/>
        <v>-3.8304426438090178E-2</v>
      </c>
      <c r="H47" s="74">
        <v>-0.05</v>
      </c>
      <c r="I47" s="74">
        <v>0.03</v>
      </c>
      <c r="J47" s="74">
        <v>0.05</v>
      </c>
      <c r="K47" s="74">
        <v>0.05</v>
      </c>
      <c r="L47" s="74">
        <v>0.05</v>
      </c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2:33">
      <c r="B48" s="47"/>
      <c r="C48" s="42"/>
      <c r="D48" s="42"/>
      <c r="E48" s="42"/>
      <c r="F48" s="42"/>
      <c r="G48" s="42"/>
      <c r="H48" s="72"/>
      <c r="I48" s="72"/>
      <c r="J48" s="72"/>
      <c r="K48" s="72"/>
      <c r="L48" s="7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2:33">
      <c r="B49" s="47"/>
      <c r="C49" s="42"/>
      <c r="D49" s="42"/>
      <c r="E49" s="42"/>
      <c r="F49" s="42"/>
      <c r="G49" s="42"/>
      <c r="H49" s="72"/>
      <c r="I49" s="72"/>
      <c r="J49" s="72"/>
      <c r="K49" s="72"/>
      <c r="L49" s="7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2:33">
      <c r="B50" s="47"/>
      <c r="C50" s="42"/>
      <c r="D50" s="42"/>
      <c r="E50" s="42"/>
      <c r="F50" s="42"/>
      <c r="G50" s="42"/>
      <c r="H50" s="72"/>
      <c r="I50" s="72"/>
      <c r="J50" s="72"/>
      <c r="K50" s="72"/>
      <c r="L50" s="7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2:33">
      <c r="B51" s="47"/>
      <c r="C51" s="42"/>
      <c r="D51" s="42"/>
      <c r="E51" s="42"/>
      <c r="F51" s="42"/>
      <c r="G51" s="42"/>
      <c r="H51" s="72"/>
      <c r="I51" s="72"/>
      <c r="J51" s="72"/>
      <c r="K51" s="72"/>
      <c r="L51" s="7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2:33">
      <c r="B52" s="47"/>
      <c r="C52" s="42"/>
      <c r="D52" s="42"/>
      <c r="E52" s="42"/>
      <c r="F52" s="42"/>
      <c r="G52" s="42"/>
      <c r="H52" s="72"/>
      <c r="I52" s="72"/>
      <c r="J52" s="72"/>
      <c r="K52" s="72"/>
      <c r="L52" s="7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2:33">
      <c r="B53" s="47"/>
      <c r="C53" s="42"/>
      <c r="D53" s="42"/>
      <c r="E53" s="42"/>
      <c r="F53" s="42"/>
      <c r="G53" s="42"/>
      <c r="H53" s="72"/>
      <c r="I53" s="72"/>
      <c r="J53" s="72"/>
      <c r="K53" s="72"/>
      <c r="L53" s="7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2:33">
      <c r="B54" s="47"/>
      <c r="C54" s="42"/>
      <c r="D54" s="42"/>
      <c r="E54" s="42"/>
      <c r="F54" s="42"/>
      <c r="G54" s="42"/>
      <c r="H54" s="72"/>
      <c r="I54" s="72"/>
      <c r="J54" s="72"/>
      <c r="K54" s="72"/>
      <c r="L54" s="7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2:33">
      <c r="B55" s="47"/>
      <c r="C55" s="42"/>
      <c r="D55" s="42"/>
      <c r="E55" s="42"/>
      <c r="F55" s="42"/>
      <c r="G55" s="42"/>
      <c r="H55" s="72"/>
      <c r="I55" s="72"/>
      <c r="J55" s="72"/>
      <c r="K55" s="72"/>
      <c r="L55" s="7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2:33">
      <c r="B56" s="47"/>
      <c r="C56" s="42"/>
      <c r="D56" s="42"/>
      <c r="E56" s="42"/>
      <c r="F56" s="42"/>
      <c r="G56" s="42"/>
      <c r="H56" s="72"/>
      <c r="I56" s="72"/>
      <c r="J56" s="72"/>
      <c r="K56" s="72"/>
      <c r="L56" s="7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2:33">
      <c r="B57" s="47"/>
      <c r="C57" s="42"/>
      <c r="D57" s="42"/>
      <c r="E57" s="42"/>
      <c r="F57" s="42"/>
      <c r="G57" s="42"/>
      <c r="H57" s="72"/>
      <c r="I57" s="72"/>
      <c r="J57" s="72"/>
      <c r="K57" s="72"/>
      <c r="L57" s="7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2:33">
      <c r="B58" s="47"/>
      <c r="C58" s="42"/>
      <c r="D58" s="42"/>
      <c r="E58" s="42"/>
      <c r="F58" s="42"/>
      <c r="G58" s="42"/>
      <c r="H58" s="72"/>
      <c r="I58" s="72"/>
      <c r="J58" s="72"/>
      <c r="K58" s="72"/>
      <c r="L58" s="7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2:33">
      <c r="B59" s="47"/>
      <c r="C59" s="42"/>
      <c r="D59" s="42"/>
      <c r="E59" s="42"/>
      <c r="F59" s="42"/>
      <c r="G59" s="42"/>
      <c r="H59" s="72"/>
      <c r="I59" s="72"/>
      <c r="J59" s="72"/>
      <c r="K59" s="72"/>
      <c r="L59" s="7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2:33">
      <c r="B60" s="47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2:33">
      <c r="B61" s="47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2:33">
      <c r="B62" s="47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2:33">
      <c r="B63" s="47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2:33">
      <c r="B64" s="47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2:33">
      <c r="B65" s="47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2:33">
      <c r="B66" s="47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2:33">
      <c r="B67" s="47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2:33">
      <c r="B68" s="47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spans="2:33">
      <c r="B69" s="47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spans="2:33">
      <c r="B70" s="47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spans="2:33">
      <c r="B71" s="47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spans="2:33">
      <c r="B72" s="47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spans="2:33">
      <c r="B73" s="47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spans="2:33">
      <c r="B74" s="4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spans="2:33">
      <c r="B75" s="4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spans="2:33">
      <c r="B76" s="4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spans="2:33">
      <c r="B77" s="4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spans="2:33">
      <c r="B78" s="4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2:33">
      <c r="B79" s="4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spans="2:33">
      <c r="B80" s="47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spans="2:33">
      <c r="B81" s="47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spans="2:33">
      <c r="B82" s="47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spans="2:33">
      <c r="B83" s="47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spans="2:33">
      <c r="B84" s="47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spans="2:33">
      <c r="B85" s="47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spans="2:33">
      <c r="B86" s="47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2:33">
      <c r="B87" s="47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2:33">
      <c r="B88" s="47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spans="2:33">
      <c r="B89" s="47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2:33">
      <c r="B90" s="47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2:33">
      <c r="B91" s="47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2:33">
      <c r="B92" s="47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2:33">
      <c r="B93" s="47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spans="2:33">
      <c r="B94" s="47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2:33">
      <c r="B95" s="47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2:33">
      <c r="B96" s="47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2:33">
      <c r="B97" s="47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spans="2:33">
      <c r="B98" s="47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2:33">
      <c r="B99" s="47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spans="2:33">
      <c r="B100" s="47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spans="2:33">
      <c r="B101" s="47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spans="2:33">
      <c r="B102" s="47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2:33">
      <c r="B103" s="47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2:33">
      <c r="B104" s="47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2:33">
      <c r="B105" s="47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spans="2:33">
      <c r="B106" s="47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2:33">
      <c r="B107" s="47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spans="2:33">
      <c r="B108" s="47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spans="2:33">
      <c r="B109" s="47"/>
    </row>
    <row r="110" spans="2:33">
      <c r="B110" s="47"/>
    </row>
    <row r="111" spans="2:33">
      <c r="B111" s="47"/>
    </row>
    <row r="112" spans="2:33">
      <c r="B112" s="47"/>
    </row>
    <row r="113" spans="2:2">
      <c r="B113" s="47"/>
    </row>
    <row r="114" spans="2:2">
      <c r="B114" s="47"/>
    </row>
    <row r="115" spans="2:2">
      <c r="B115" s="47"/>
    </row>
    <row r="116" spans="2:2">
      <c r="B116" s="47"/>
    </row>
    <row r="117" spans="2:2">
      <c r="B117" s="47"/>
    </row>
    <row r="118" spans="2:2">
      <c r="B118" s="47"/>
    </row>
    <row r="119" spans="2:2">
      <c r="B119" s="47"/>
    </row>
    <row r="120" spans="2:2">
      <c r="B120" s="47"/>
    </row>
    <row r="121" spans="2:2">
      <c r="B121" s="47"/>
    </row>
    <row r="122" spans="2:2">
      <c r="B122" s="47"/>
    </row>
    <row r="123" spans="2:2">
      <c r="B123" s="47"/>
    </row>
    <row r="124" spans="2:2">
      <c r="B124" s="47"/>
    </row>
    <row r="125" spans="2:2">
      <c r="B125" s="47"/>
    </row>
    <row r="126" spans="2:2">
      <c r="B126" s="47"/>
    </row>
    <row r="127" spans="2:2">
      <c r="B127" s="47"/>
    </row>
    <row r="128" spans="2:2">
      <c r="B128" s="47"/>
    </row>
    <row r="129" spans="2:2">
      <c r="B129" s="47"/>
    </row>
    <row r="130" spans="2:2">
      <c r="B130" s="47"/>
    </row>
    <row r="131" spans="2:2">
      <c r="B131" s="47"/>
    </row>
    <row r="132" spans="2:2">
      <c r="B132" s="47"/>
    </row>
    <row r="133" spans="2:2">
      <c r="B133" s="47"/>
    </row>
    <row r="134" spans="2:2">
      <c r="B134" s="47"/>
    </row>
    <row r="135" spans="2:2">
      <c r="B135" s="47"/>
    </row>
    <row r="136" spans="2:2">
      <c r="B136" s="47"/>
    </row>
    <row r="137" spans="2:2">
      <c r="B137" s="47"/>
    </row>
    <row r="138" spans="2:2">
      <c r="B138" s="47"/>
    </row>
    <row r="139" spans="2:2">
      <c r="B139" s="47"/>
    </row>
    <row r="140" spans="2:2">
      <c r="B140" s="47"/>
    </row>
    <row r="141" spans="2:2">
      <c r="B141" s="47"/>
    </row>
    <row r="142" spans="2:2">
      <c r="B142" s="47"/>
    </row>
    <row r="143" spans="2:2">
      <c r="B143" s="47"/>
    </row>
    <row r="144" spans="2:2">
      <c r="B144" s="47"/>
    </row>
    <row r="145" spans="2:2">
      <c r="B145" s="47"/>
    </row>
    <row r="146" spans="2:2">
      <c r="B146" s="47"/>
    </row>
    <row r="147" spans="2:2">
      <c r="B147" s="47"/>
    </row>
    <row r="148" spans="2:2">
      <c r="B148" s="47"/>
    </row>
    <row r="149" spans="2:2">
      <c r="B149" s="47"/>
    </row>
    <row r="150" spans="2:2">
      <c r="B150" s="47"/>
    </row>
    <row r="151" spans="2:2">
      <c r="B151" s="47"/>
    </row>
    <row r="152" spans="2:2">
      <c r="B152" s="47"/>
    </row>
    <row r="153" spans="2:2">
      <c r="B153" s="47"/>
    </row>
    <row r="154" spans="2:2">
      <c r="B154" s="47"/>
    </row>
    <row r="155" spans="2:2">
      <c r="B155" s="47"/>
    </row>
    <row r="156" spans="2:2">
      <c r="B156" s="47"/>
    </row>
    <row r="157" spans="2:2">
      <c r="B157" s="47"/>
    </row>
    <row r="158" spans="2:2">
      <c r="B158" s="47"/>
    </row>
    <row r="159" spans="2:2">
      <c r="B159" s="47"/>
    </row>
    <row r="160" spans="2:2">
      <c r="B160" s="47"/>
    </row>
    <row r="161" spans="2:2">
      <c r="B161" s="47"/>
    </row>
    <row r="162" spans="2:2">
      <c r="B162" s="47"/>
    </row>
    <row r="163" spans="2:2">
      <c r="B163" s="47"/>
    </row>
    <row r="164" spans="2:2">
      <c r="B164" s="47"/>
    </row>
    <row r="165" spans="2:2">
      <c r="B165" s="47"/>
    </row>
    <row r="166" spans="2:2">
      <c r="B166" s="47"/>
    </row>
    <row r="167" spans="2:2">
      <c r="B167" s="47"/>
    </row>
    <row r="168" spans="2:2">
      <c r="B168" s="47"/>
    </row>
  </sheetData>
  <mergeCells count="2">
    <mergeCell ref="C1:G1"/>
    <mergeCell ref="H1:L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69"/>
  <sheetViews>
    <sheetView tabSelected="1" workbookViewId="0">
      <pane xSplit="2" ySplit="2" topLeftCell="F15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defaultRowHeight="15"/>
  <cols>
    <col min="1" max="1" width="1.28515625" style="34" customWidth="1"/>
    <col min="2" max="2" width="50.7109375" style="34" customWidth="1"/>
    <col min="3" max="12" width="25.7109375" style="34" customWidth="1"/>
    <col min="13" max="16384" width="9.140625" style="34"/>
  </cols>
  <sheetData>
    <row r="1" spans="1:33" ht="36" customHeight="1">
      <c r="A1" s="36" t="s">
        <v>0</v>
      </c>
      <c r="B1" s="66"/>
      <c r="C1" s="136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</row>
    <row r="2" spans="1:33">
      <c r="A2" s="38"/>
      <c r="B2" s="67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</row>
    <row r="3" spans="1:33" ht="15.75" thickBot="1">
      <c r="B3" s="47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33" ht="15.75" thickBot="1">
      <c r="B4" s="43" t="s">
        <v>191</v>
      </c>
      <c r="C4" s="41">
        <f>'Revenue Projections'!C4</f>
        <v>7868.77</v>
      </c>
      <c r="D4" s="41">
        <f>'Revenue Projections'!D4</f>
        <v>7701.44</v>
      </c>
      <c r="E4" s="41">
        <f>'Revenue Projections'!E4</f>
        <v>7748.34</v>
      </c>
      <c r="F4" s="41">
        <f>'Revenue Projections'!F4</f>
        <v>8533.0499999999993</v>
      </c>
      <c r="G4" s="41">
        <f>'Revenue Projections'!G4</f>
        <v>8703.59</v>
      </c>
      <c r="H4" s="71">
        <f>'Revenue Projections'!H4</f>
        <v>8877.4946649616995</v>
      </c>
      <c r="I4" s="71">
        <f>'Revenue Projections'!I4</f>
        <v>9493.5925901599931</v>
      </c>
      <c r="J4" s="71">
        <f>'Revenue Projections'!J4</f>
        <v>10125.884775297494</v>
      </c>
      <c r="K4" s="71">
        <f>'Revenue Projections'!K4</f>
        <v>10836.527620818391</v>
      </c>
      <c r="L4" s="71">
        <f>'Revenue Projections'!L4</f>
        <v>11585.54621247405</v>
      </c>
    </row>
    <row r="5" spans="1:33" ht="15.75" thickBot="1">
      <c r="B5" s="47"/>
      <c r="C5" s="42"/>
      <c r="D5" s="42"/>
      <c r="E5" s="42"/>
      <c r="F5" s="42"/>
      <c r="G5" s="42"/>
      <c r="H5" s="70"/>
      <c r="I5" s="70"/>
      <c r="J5" s="70"/>
      <c r="K5" s="70"/>
      <c r="L5" s="70"/>
    </row>
    <row r="6" spans="1:33" ht="15.75" thickBot="1">
      <c r="B6" s="43" t="s">
        <v>197</v>
      </c>
      <c r="C6" s="41">
        <f t="shared" ref="C6:L6" si="0">C17+C23</f>
        <v>6262.1</v>
      </c>
      <c r="D6" s="41">
        <f t="shared" si="0"/>
        <v>6104.6500000000005</v>
      </c>
      <c r="E6" s="41">
        <f t="shared" si="0"/>
        <v>6104.4100000000008</v>
      </c>
      <c r="F6" s="41">
        <f t="shared" si="0"/>
        <v>6775.43</v>
      </c>
      <c r="G6" s="41">
        <f t="shared" si="0"/>
        <v>6892.2899999999991</v>
      </c>
      <c r="H6" s="71">
        <f t="shared" si="0"/>
        <v>6857.8764963190488</v>
      </c>
      <c r="I6" s="71">
        <f t="shared" si="0"/>
        <v>7392.7532159287421</v>
      </c>
      <c r="J6" s="71">
        <f t="shared" si="0"/>
        <v>7887.445962886748</v>
      </c>
      <c r="K6" s="71">
        <f t="shared" si="0"/>
        <v>8422.6180375623717</v>
      </c>
      <c r="L6" s="71">
        <f t="shared" si="0"/>
        <v>9035.6094967621666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>
      <c r="B7" s="47"/>
      <c r="C7" s="42"/>
      <c r="D7" s="42"/>
      <c r="E7" s="42"/>
      <c r="F7" s="42"/>
      <c r="G7" s="42"/>
      <c r="H7" s="70"/>
      <c r="I7" s="70"/>
      <c r="J7" s="70"/>
      <c r="K7" s="70"/>
      <c r="L7" s="70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>
      <c r="B8" s="47"/>
      <c r="C8" s="42"/>
      <c r="D8" s="42"/>
      <c r="E8" s="42"/>
      <c r="F8" s="42"/>
      <c r="G8" s="42"/>
      <c r="H8" s="70"/>
      <c r="I8" s="70"/>
      <c r="J8" s="70"/>
      <c r="K8" s="70"/>
      <c r="L8" s="70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>
      <c r="B9" s="47" t="s">
        <v>192</v>
      </c>
      <c r="C9" s="42">
        <v>1767.56</v>
      </c>
      <c r="D9" s="42">
        <v>1905.92</v>
      </c>
      <c r="E9" s="42">
        <v>2109.5500000000002</v>
      </c>
      <c r="F9" s="42">
        <v>2264.9699999999998</v>
      </c>
      <c r="G9" s="42">
        <v>2463.87</v>
      </c>
      <c r="H9" s="70">
        <f>H28*H$4</f>
        <v>2574.4734528388926</v>
      </c>
      <c r="I9" s="70">
        <f t="shared" ref="I9:L9" si="1">I28*I$4</f>
        <v>2800.6098140971976</v>
      </c>
      <c r="J9" s="70">
        <f t="shared" si="1"/>
        <v>3037.7654325892481</v>
      </c>
      <c r="K9" s="70">
        <f t="shared" si="1"/>
        <v>3305.1409243496091</v>
      </c>
      <c r="L9" s="70">
        <f t="shared" si="1"/>
        <v>3591.5193258669556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ht="15.75" thickBot="1">
      <c r="B10" s="47" t="s">
        <v>193</v>
      </c>
      <c r="C10" s="42">
        <v>1091.21</v>
      </c>
      <c r="D10" s="42">
        <v>1118.8399999999999</v>
      </c>
      <c r="E10" s="42">
        <v>1110.5</v>
      </c>
      <c r="F10" s="42">
        <v>1210.3800000000001</v>
      </c>
      <c r="G10" s="42">
        <v>1267.8399999999999</v>
      </c>
      <c r="H10" s="70">
        <f>H29*H$4</f>
        <v>1269.1063047201364</v>
      </c>
      <c r="I10" s="70">
        <f t="shared" ref="I10:L10" si="2">I29*I$4</f>
        <v>1357.1822530257075</v>
      </c>
      <c r="J10" s="70">
        <f t="shared" si="2"/>
        <v>1447.5732956416409</v>
      </c>
      <c r="K10" s="70">
        <f t="shared" si="2"/>
        <v>1549.165169215436</v>
      </c>
      <c r="L10" s="70">
        <f t="shared" si="2"/>
        <v>1656.2431515627106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ht="15.75" thickBot="1">
      <c r="B11" s="43" t="s">
        <v>16</v>
      </c>
      <c r="C11" s="41">
        <f>SUM(C9:C10)</f>
        <v>2858.77</v>
      </c>
      <c r="D11" s="41">
        <f t="shared" ref="D11:L11" si="3">SUM(D9:D10)</f>
        <v>3024.76</v>
      </c>
      <c r="E11" s="41">
        <f t="shared" si="3"/>
        <v>3220.05</v>
      </c>
      <c r="F11" s="41">
        <f t="shared" si="3"/>
        <v>3475.35</v>
      </c>
      <c r="G11" s="41">
        <f t="shared" si="3"/>
        <v>3731.71</v>
      </c>
      <c r="H11" s="71">
        <f t="shared" si="3"/>
        <v>3843.5797575590291</v>
      </c>
      <c r="I11" s="71">
        <f t="shared" si="3"/>
        <v>4157.7920671229049</v>
      </c>
      <c r="J11" s="71">
        <f t="shared" si="3"/>
        <v>4485.3387282308886</v>
      </c>
      <c r="K11" s="71">
        <f t="shared" si="3"/>
        <v>4854.3060935650446</v>
      </c>
      <c r="L11" s="71">
        <f t="shared" si="3"/>
        <v>5247.7624774296664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>
      <c r="B12" s="47"/>
      <c r="C12" s="42"/>
      <c r="D12" s="42"/>
      <c r="E12" s="42"/>
      <c r="F12" s="42"/>
      <c r="G12" s="42"/>
      <c r="H12" s="70"/>
      <c r="I12" s="70"/>
      <c r="J12" s="70"/>
      <c r="K12" s="70"/>
      <c r="L12" s="70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>
      <c r="B13" s="47"/>
      <c r="C13" s="42"/>
      <c r="D13" s="42"/>
      <c r="E13" s="42"/>
      <c r="F13" s="42"/>
      <c r="G13" s="42"/>
      <c r="H13" s="70"/>
      <c r="I13" s="70"/>
      <c r="J13" s="70"/>
      <c r="K13" s="70"/>
      <c r="L13" s="70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>
      <c r="B14" s="47" t="s">
        <v>17</v>
      </c>
      <c r="C14" s="42">
        <v>972.21</v>
      </c>
      <c r="D14" s="42">
        <v>753.63</v>
      </c>
      <c r="E14" s="42">
        <v>665.8</v>
      </c>
      <c r="F14" s="42">
        <v>802.98</v>
      </c>
      <c r="G14" s="42">
        <v>674.62</v>
      </c>
      <c r="H14" s="70">
        <f>H32*H$4</f>
        <v>621.42462654731901</v>
      </c>
      <c r="I14" s="70">
        <f>I32*I$4</f>
        <v>664.55148131119961</v>
      </c>
      <c r="J14" s="70">
        <f>J32*J$4</f>
        <v>708.81193427082462</v>
      </c>
      <c r="K14" s="70">
        <f>K32*K$4</f>
        <v>758.55693345728741</v>
      </c>
      <c r="L14" s="70">
        <f>L32*L$4</f>
        <v>810.98823487318361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>
      <c r="B15" s="47" t="s">
        <v>18</v>
      </c>
      <c r="C15" s="42">
        <v>-70.53</v>
      </c>
      <c r="D15" s="42">
        <v>-23.02</v>
      </c>
      <c r="E15" s="42">
        <v>-65.930000000000007</v>
      </c>
      <c r="F15" s="42">
        <v>12.64</v>
      </c>
      <c r="G15" s="42">
        <v>-65.040000000000006</v>
      </c>
      <c r="H15" s="70">
        <f>H33*H4</f>
        <v>-66.33955103688352</v>
      </c>
      <c r="I15" s="70">
        <f>I33*I4</f>
        <v>-45.046985224036234</v>
      </c>
      <c r="J15" s="70">
        <f>J33*J4</f>
        <v>-48.047204208647472</v>
      </c>
      <c r="K15" s="70">
        <f>K33*K4</f>
        <v>-51.419196155608347</v>
      </c>
      <c r="L15" s="70">
        <f>L33*L4</f>
        <v>-54.973280566794593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ht="15.75" thickBot="1">
      <c r="B16" s="47" t="s">
        <v>19</v>
      </c>
      <c r="C16" s="42">
        <v>259.98</v>
      </c>
      <c r="D16" s="42">
        <v>257.05</v>
      </c>
      <c r="E16" s="42">
        <v>281.12</v>
      </c>
      <c r="F16" s="42">
        <v>318.26</v>
      </c>
      <c r="G16" s="42">
        <v>348.52</v>
      </c>
      <c r="H16" s="70">
        <f>H34*H$4</f>
        <v>359.92245470293966</v>
      </c>
      <c r="I16" s="70">
        <f>I34*I$4</f>
        <v>389.64786106128059</v>
      </c>
      <c r="J16" s="70">
        <f>J34*J$4</f>
        <v>420.66212747772238</v>
      </c>
      <c r="K16" s="70">
        <f>K34*K$4</f>
        <v>455.6028022089946</v>
      </c>
      <c r="L16" s="70">
        <f>L34*L$4</f>
        <v>492.88674861408032</v>
      </c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2:33" ht="15.75" thickBot="1">
      <c r="B17" s="43" t="s">
        <v>194</v>
      </c>
      <c r="C17" s="41">
        <f>SUM(C11,C14:C16)</f>
        <v>4020.43</v>
      </c>
      <c r="D17" s="41">
        <f t="shared" ref="D17:L17" si="4">SUM(D11,D14:D16)</f>
        <v>4012.4200000000005</v>
      </c>
      <c r="E17" s="41">
        <f t="shared" si="4"/>
        <v>4101.0400000000009</v>
      </c>
      <c r="F17" s="41">
        <f t="shared" si="4"/>
        <v>4609.2300000000005</v>
      </c>
      <c r="G17" s="41">
        <f t="shared" si="4"/>
        <v>4689.8099999999995</v>
      </c>
      <c r="H17" s="71">
        <f t="shared" si="4"/>
        <v>4758.5872877724041</v>
      </c>
      <c r="I17" s="71">
        <f t="shared" si="4"/>
        <v>5166.944424271348</v>
      </c>
      <c r="J17" s="71">
        <f t="shared" si="4"/>
        <v>5566.7655857707887</v>
      </c>
      <c r="K17" s="71">
        <f t="shared" si="4"/>
        <v>6017.046633075719</v>
      </c>
      <c r="L17" s="71">
        <f t="shared" si="4"/>
        <v>6496.6641803501361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2:33">
      <c r="B18" s="47"/>
      <c r="C18" s="42"/>
      <c r="D18" s="42"/>
      <c r="E18" s="42"/>
      <c r="F18" s="42"/>
      <c r="G18" s="42"/>
      <c r="H18" s="70"/>
      <c r="I18" s="70"/>
      <c r="J18" s="70"/>
      <c r="K18" s="70"/>
      <c r="L18" s="70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2:33">
      <c r="B19" s="47"/>
      <c r="C19" s="42"/>
      <c r="D19" s="42"/>
      <c r="E19" s="42"/>
      <c r="F19" s="42"/>
      <c r="G19" s="42"/>
      <c r="H19" s="70"/>
      <c r="I19" s="70"/>
      <c r="J19" s="70"/>
      <c r="K19" s="70"/>
      <c r="L19" s="70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2:33">
      <c r="B20" s="47" t="s">
        <v>21</v>
      </c>
      <c r="C20" s="42">
        <v>794.82</v>
      </c>
      <c r="D20" s="42">
        <v>789.61</v>
      </c>
      <c r="E20" s="42">
        <v>792.79</v>
      </c>
      <c r="F20" s="42">
        <v>937.91</v>
      </c>
      <c r="G20" s="42">
        <v>947.74</v>
      </c>
      <c r="H20" s="70">
        <f>H41</f>
        <v>945.21490210162358</v>
      </c>
      <c r="I20" s="70">
        <f t="shared" ref="I20:L20" si="5">I41</f>
        <v>991.64175493659548</v>
      </c>
      <c r="J20" s="70">
        <f t="shared" si="5"/>
        <v>1004.3153563272856</v>
      </c>
      <c r="K20" s="70">
        <f t="shared" si="5"/>
        <v>1023.9141328323084</v>
      </c>
      <c r="L20" s="70">
        <f t="shared" si="5"/>
        <v>1061.7881743215889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2:33">
      <c r="B21" s="47" t="s">
        <v>22</v>
      </c>
      <c r="C21" s="42">
        <v>771.63</v>
      </c>
      <c r="D21" s="42">
        <v>646.14</v>
      </c>
      <c r="E21" s="42">
        <v>606.71</v>
      </c>
      <c r="F21" s="42">
        <v>608.33000000000004</v>
      </c>
      <c r="G21" s="42">
        <v>649.98</v>
      </c>
      <c r="H21" s="70">
        <f t="shared" ref="H21:L22" si="6">H37*H$4</f>
        <v>577.03715322251048</v>
      </c>
      <c r="I21" s="70">
        <f t="shared" si="6"/>
        <v>617.08351836039958</v>
      </c>
      <c r="J21" s="70">
        <f t="shared" si="6"/>
        <v>658.1825103943371</v>
      </c>
      <c r="K21" s="70">
        <f t="shared" si="6"/>
        <v>677.28297630114946</v>
      </c>
      <c r="L21" s="70">
        <f t="shared" si="6"/>
        <v>724.09663827962811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2:33" ht="15.75" thickBot="1">
      <c r="B22" s="47" t="s">
        <v>23</v>
      </c>
      <c r="C22" s="42">
        <v>675.22</v>
      </c>
      <c r="D22" s="42">
        <v>656.48</v>
      </c>
      <c r="E22" s="42">
        <v>603.87</v>
      </c>
      <c r="F22" s="42">
        <v>619.96</v>
      </c>
      <c r="G22" s="42">
        <v>604.76</v>
      </c>
      <c r="H22" s="70">
        <f t="shared" si="6"/>
        <v>577.03715322251048</v>
      </c>
      <c r="I22" s="70">
        <f t="shared" si="6"/>
        <v>617.08351836039958</v>
      </c>
      <c r="J22" s="70">
        <f t="shared" si="6"/>
        <v>658.1825103943371</v>
      </c>
      <c r="K22" s="70">
        <f t="shared" si="6"/>
        <v>704.37429535319541</v>
      </c>
      <c r="L22" s="70">
        <f t="shared" si="6"/>
        <v>753.06050381081332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2:33" ht="15.75" thickBot="1">
      <c r="B23" s="43" t="s">
        <v>195</v>
      </c>
      <c r="C23" s="41">
        <f>SUM(C20:C22)</f>
        <v>2241.67</v>
      </c>
      <c r="D23" s="41">
        <f t="shared" ref="D23:L23" si="7">SUM(D20:D22)</f>
        <v>2092.23</v>
      </c>
      <c r="E23" s="41">
        <f t="shared" si="7"/>
        <v>2003.37</v>
      </c>
      <c r="F23" s="41">
        <f t="shared" si="7"/>
        <v>2166.1999999999998</v>
      </c>
      <c r="G23" s="41">
        <f t="shared" si="7"/>
        <v>2202.48</v>
      </c>
      <c r="H23" s="71">
        <f t="shared" si="7"/>
        <v>2099.2892085466447</v>
      </c>
      <c r="I23" s="71">
        <f t="shared" si="7"/>
        <v>2225.8087916573945</v>
      </c>
      <c r="J23" s="71">
        <f t="shared" si="7"/>
        <v>2320.6803771159598</v>
      </c>
      <c r="K23" s="71">
        <f t="shared" si="7"/>
        <v>2405.5714044866531</v>
      </c>
      <c r="L23" s="71">
        <f t="shared" si="7"/>
        <v>2538.9453164120305</v>
      </c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2:33" ht="15.75" thickBot="1">
      <c r="B24" s="53"/>
      <c r="C24" s="53"/>
      <c r="D24" s="53"/>
      <c r="E24" s="53"/>
      <c r="F24" s="53"/>
      <c r="G24" s="53"/>
      <c r="H24" s="80"/>
      <c r="I24" s="80"/>
      <c r="J24" s="80"/>
      <c r="K24" s="80"/>
      <c r="L24" s="80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2:33">
      <c r="B25" s="47"/>
      <c r="C25" s="42"/>
      <c r="D25" s="42"/>
      <c r="E25" s="42"/>
      <c r="F25" s="42"/>
      <c r="G25" s="42"/>
      <c r="H25" s="70"/>
      <c r="I25" s="70"/>
      <c r="J25" s="70"/>
      <c r="K25" s="70"/>
      <c r="L25" s="70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2:33" ht="15.75" thickBot="1">
      <c r="B26" s="43" t="s">
        <v>196</v>
      </c>
      <c r="C26" s="42"/>
      <c r="D26" s="42"/>
      <c r="E26" s="42"/>
      <c r="F26" s="42"/>
      <c r="G26" s="42"/>
      <c r="H26" s="70"/>
      <c r="I26" s="70"/>
      <c r="J26" s="70"/>
      <c r="K26" s="70"/>
      <c r="L26" s="70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2:33">
      <c r="B27" s="47"/>
      <c r="C27" s="42"/>
      <c r="D27" s="42"/>
      <c r="E27" s="42"/>
      <c r="F27" s="42"/>
      <c r="G27" s="42"/>
      <c r="H27" s="70"/>
      <c r="I27" s="70"/>
      <c r="J27" s="70"/>
      <c r="K27" s="70"/>
      <c r="L27" s="70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2:33">
      <c r="B28" s="47" t="s">
        <v>192</v>
      </c>
      <c r="C28" s="64">
        <f>C9/C$4</f>
        <v>0.22462977059947106</v>
      </c>
      <c r="D28" s="64">
        <f t="shared" ref="D28:G28" si="8">D9/D$4</f>
        <v>0.24747579673411726</v>
      </c>
      <c r="E28" s="64">
        <f t="shared" si="8"/>
        <v>0.27225831597477657</v>
      </c>
      <c r="F28" s="64">
        <f t="shared" si="8"/>
        <v>0.26543498514599118</v>
      </c>
      <c r="G28" s="64">
        <f t="shared" si="8"/>
        <v>0.28308663436581916</v>
      </c>
      <c r="H28" s="82">
        <v>0.28999999999999998</v>
      </c>
      <c r="I28" s="82">
        <f>H28+0.005</f>
        <v>0.29499999999999998</v>
      </c>
      <c r="J28" s="82">
        <f t="shared" ref="J28:L28" si="9">I28+0.005</f>
        <v>0.3</v>
      </c>
      <c r="K28" s="82">
        <f t="shared" si="9"/>
        <v>0.30499999999999999</v>
      </c>
      <c r="L28" s="82">
        <f t="shared" si="9"/>
        <v>0.31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2:33">
      <c r="B29" s="47" t="s">
        <v>193</v>
      </c>
      <c r="C29" s="64">
        <f t="shared" ref="C29:G29" si="10">C10/C$4</f>
        <v>0.13867605737618457</v>
      </c>
      <c r="D29" s="64">
        <f t="shared" si="10"/>
        <v>0.14527672746914863</v>
      </c>
      <c r="E29" s="64">
        <f t="shared" si="10"/>
        <v>0.14332102101869562</v>
      </c>
      <c r="F29" s="64">
        <f t="shared" si="10"/>
        <v>0.14184611598431981</v>
      </c>
      <c r="G29" s="64">
        <f t="shared" si="10"/>
        <v>0.14566862639439587</v>
      </c>
      <c r="H29" s="82">
        <f>AVERAGE($C$29:$G$29)</f>
        <v>0.1429577096485489</v>
      </c>
      <c r="I29" s="82">
        <f t="shared" ref="I29:L29" si="11">AVERAGE($C$29:$G$29)</f>
        <v>0.1429577096485489</v>
      </c>
      <c r="J29" s="82">
        <f t="shared" si="11"/>
        <v>0.1429577096485489</v>
      </c>
      <c r="K29" s="82">
        <f t="shared" si="11"/>
        <v>0.1429577096485489</v>
      </c>
      <c r="L29" s="82">
        <f t="shared" si="11"/>
        <v>0.1429577096485489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2:33">
      <c r="B30" s="47"/>
      <c r="C30" s="64"/>
      <c r="D30" s="64"/>
      <c r="E30" s="64"/>
      <c r="F30" s="64"/>
      <c r="G30" s="64"/>
      <c r="H30" s="74"/>
      <c r="I30" s="74"/>
      <c r="J30" s="74"/>
      <c r="K30" s="74"/>
      <c r="L30" s="74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2:33">
      <c r="B31" s="47"/>
      <c r="C31" s="64"/>
      <c r="D31" s="64"/>
      <c r="E31" s="64"/>
      <c r="F31" s="64"/>
      <c r="G31" s="64"/>
      <c r="H31" s="70"/>
      <c r="I31" s="70"/>
      <c r="J31" s="70"/>
      <c r="K31" s="70"/>
      <c r="L31" s="70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>
      <c r="B32" s="47" t="s">
        <v>17</v>
      </c>
      <c r="C32" s="64">
        <f t="shared" ref="C32:G32" si="12">C14/C$4</f>
        <v>0.12355298223229297</v>
      </c>
      <c r="D32" s="64">
        <f t="shared" si="12"/>
        <v>9.785572568246978E-2</v>
      </c>
      <c r="E32" s="64">
        <f t="shared" si="12"/>
        <v>8.592808266028594E-2</v>
      </c>
      <c r="F32" s="64">
        <f t="shared" si="12"/>
        <v>9.4102343241865463E-2</v>
      </c>
      <c r="G32" s="64">
        <f t="shared" si="12"/>
        <v>7.7510544499453674E-2</v>
      </c>
      <c r="H32" s="82">
        <v>7.0000000000000007E-2</v>
      </c>
      <c r="I32" s="82">
        <v>7.0000000000000007E-2</v>
      </c>
      <c r="J32" s="82">
        <v>7.0000000000000007E-2</v>
      </c>
      <c r="K32" s="82">
        <v>7.0000000000000007E-2</v>
      </c>
      <c r="L32" s="82">
        <v>7.0000000000000007E-2</v>
      </c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2:33">
      <c r="B33" s="47" t="s">
        <v>18</v>
      </c>
      <c r="C33" s="64">
        <f t="shared" ref="C33:G33" si="13">C15/C$4</f>
        <v>-8.9632814277199602E-3</v>
      </c>
      <c r="D33" s="64">
        <f t="shared" si="13"/>
        <v>-2.9890513981800809E-3</v>
      </c>
      <c r="E33" s="64">
        <f t="shared" si="13"/>
        <v>-8.5089193298177428E-3</v>
      </c>
      <c r="F33" s="64">
        <f t="shared" si="13"/>
        <v>1.4812991837619611E-3</v>
      </c>
      <c r="G33" s="64">
        <f t="shared" si="13"/>
        <v>-7.4727784741698547E-3</v>
      </c>
      <c r="H33" s="74">
        <f>G33</f>
        <v>-7.4727784741698547E-3</v>
      </c>
      <c r="I33" s="74">
        <f>AVERAGE(C33:F33)</f>
        <v>-4.7449882429889557E-3</v>
      </c>
      <c r="J33" s="74">
        <f>I33</f>
        <v>-4.7449882429889557E-3</v>
      </c>
      <c r="K33" s="74">
        <f t="shared" ref="K33:L33" si="14">J33</f>
        <v>-4.7449882429889557E-3</v>
      </c>
      <c r="L33" s="74">
        <f t="shared" si="14"/>
        <v>-4.7449882429889557E-3</v>
      </c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2:33">
      <c r="B34" s="47" t="s">
        <v>19</v>
      </c>
      <c r="C34" s="64">
        <f t="shared" ref="C34:G34" si="15">C16/C$4</f>
        <v>3.3039471226125557E-2</v>
      </c>
      <c r="D34" s="64">
        <f t="shared" si="15"/>
        <v>3.3376874974030836E-2</v>
      </c>
      <c r="E34" s="64">
        <f t="shared" si="15"/>
        <v>3.628131961168457E-2</v>
      </c>
      <c r="F34" s="64">
        <f t="shared" si="15"/>
        <v>3.7297332137981143E-2</v>
      </c>
      <c r="G34" s="64">
        <f t="shared" si="15"/>
        <v>4.0043246522412014E-2</v>
      </c>
      <c r="H34" s="82">
        <f>G34+0.0005</f>
        <v>4.0543246522412014E-2</v>
      </c>
      <c r="I34" s="82">
        <f t="shared" ref="I34:L34" si="16">H34+0.0005</f>
        <v>4.1043246522412015E-2</v>
      </c>
      <c r="J34" s="82">
        <f t="shared" si="16"/>
        <v>4.1543246522412015E-2</v>
      </c>
      <c r="K34" s="82">
        <f t="shared" si="16"/>
        <v>4.2043246522412016E-2</v>
      </c>
      <c r="L34" s="82">
        <f t="shared" si="16"/>
        <v>4.2543246522412016E-2</v>
      </c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2:33">
      <c r="B35" s="47"/>
      <c r="C35" s="64"/>
      <c r="D35" s="64"/>
      <c r="E35" s="64"/>
      <c r="F35" s="64"/>
      <c r="G35" s="64"/>
      <c r="H35" s="70"/>
      <c r="I35" s="70"/>
      <c r="J35" s="70"/>
      <c r="K35" s="70"/>
      <c r="L35" s="70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2:33">
      <c r="B36" s="47"/>
      <c r="C36" s="64"/>
      <c r="D36" s="64"/>
      <c r="E36" s="64"/>
      <c r="F36" s="64"/>
      <c r="G36" s="64"/>
      <c r="H36" s="70"/>
      <c r="I36" s="70"/>
      <c r="J36" s="70"/>
      <c r="K36" s="70"/>
      <c r="L36" s="70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2:33">
      <c r="B37" s="47" t="s">
        <v>22</v>
      </c>
      <c r="C37" s="64">
        <f>C21/C$4</f>
        <v>9.806234011160575E-2</v>
      </c>
      <c r="D37" s="64">
        <f t="shared" ref="D37:G37" si="17">D21/D$4</f>
        <v>8.3898595587318742E-2</v>
      </c>
      <c r="E37" s="64">
        <f t="shared" si="17"/>
        <v>7.8301933059210099E-2</v>
      </c>
      <c r="F37" s="64">
        <f t="shared" si="17"/>
        <v>7.1291038960277983E-2</v>
      </c>
      <c r="G37" s="64">
        <f t="shared" si="17"/>
        <v>7.4679528792142097E-2</v>
      </c>
      <c r="H37" s="74">
        <v>6.5000000000000002E-2</v>
      </c>
      <c r="I37" s="74">
        <v>6.5000000000000002E-2</v>
      </c>
      <c r="J37" s="74">
        <v>6.5000000000000002E-2</v>
      </c>
      <c r="K37" s="74">
        <v>6.25E-2</v>
      </c>
      <c r="L37" s="74">
        <v>6.25E-2</v>
      </c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2:33">
      <c r="B38" s="47" t="s">
        <v>23</v>
      </c>
      <c r="C38" s="64">
        <f>C22/C$4</f>
        <v>8.5810107551752057E-2</v>
      </c>
      <c r="D38" s="64">
        <f t="shared" ref="D38:G38" si="18">D22/D$4</f>
        <v>8.5241201645406578E-2</v>
      </c>
      <c r="E38" s="64">
        <f t="shared" si="18"/>
        <v>7.7935402937919604E-2</v>
      </c>
      <c r="F38" s="64">
        <f t="shared" si="18"/>
        <v>7.2653974839008331E-2</v>
      </c>
      <c r="G38" s="64">
        <f t="shared" si="18"/>
        <v>6.9483971556564592E-2</v>
      </c>
      <c r="H38" s="74">
        <v>6.5000000000000002E-2</v>
      </c>
      <c r="I38" s="74">
        <v>6.5000000000000002E-2</v>
      </c>
      <c r="J38" s="74">
        <v>6.5000000000000002E-2</v>
      </c>
      <c r="K38" s="74">
        <v>6.5000000000000002E-2</v>
      </c>
      <c r="L38" s="74">
        <v>6.5000000000000002E-2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2:33">
      <c r="B39" s="47"/>
      <c r="C39" s="64"/>
      <c r="D39" s="64"/>
      <c r="E39" s="64"/>
      <c r="F39" s="64"/>
      <c r="G39" s="64"/>
      <c r="H39" s="70"/>
      <c r="I39" s="70"/>
      <c r="J39" s="70"/>
      <c r="K39" s="70"/>
      <c r="L39" s="70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2:33">
      <c r="B40" s="47"/>
      <c r="C40" s="42"/>
      <c r="D40" s="42"/>
      <c r="E40" s="42"/>
      <c r="F40" s="42"/>
      <c r="G40" s="42"/>
      <c r="H40" s="70"/>
      <c r="I40" s="70"/>
      <c r="J40" s="70"/>
      <c r="K40" s="70"/>
      <c r="L40" s="7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2:33">
      <c r="B41" s="47" t="s">
        <v>21</v>
      </c>
      <c r="C41" s="42" t="s">
        <v>217</v>
      </c>
      <c r="D41" s="42" t="s">
        <v>217</v>
      </c>
      <c r="E41" s="42">
        <v>792.79</v>
      </c>
      <c r="F41" s="42">
        <v>937.91</v>
      </c>
      <c r="G41" s="42">
        <v>947.74</v>
      </c>
      <c r="H41" s="70">
        <f>H42*H44</f>
        <v>945.21490210162358</v>
      </c>
      <c r="I41" s="70">
        <f t="shared" ref="I41:L41" si="19">I42*I44</f>
        <v>991.64175493659548</v>
      </c>
      <c r="J41" s="70">
        <f t="shared" si="19"/>
        <v>1004.3153563272856</v>
      </c>
      <c r="K41" s="70">
        <f t="shared" si="19"/>
        <v>1023.9141328323084</v>
      </c>
      <c r="L41" s="70">
        <f t="shared" si="19"/>
        <v>1061.7881743215889</v>
      </c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2:33">
      <c r="B42" s="47" t="s">
        <v>198</v>
      </c>
      <c r="C42" s="42" t="s">
        <v>217</v>
      </c>
      <c r="D42" s="42" t="s">
        <v>217</v>
      </c>
      <c r="E42" s="42">
        <v>7144</v>
      </c>
      <c r="F42" s="42">
        <v>7458</v>
      </c>
      <c r="G42" s="42">
        <v>7740</v>
      </c>
      <c r="H42" s="70">
        <f>G42*(1+H43)</f>
        <v>7894.8</v>
      </c>
      <c r="I42" s="70">
        <f t="shared" ref="I42:L42" si="20">H42*(1+I43)</f>
        <v>8052.6959999999999</v>
      </c>
      <c r="J42" s="70">
        <f t="shared" si="20"/>
        <v>8213.7499200000002</v>
      </c>
      <c r="K42" s="70">
        <f t="shared" si="20"/>
        <v>8378.0249184000004</v>
      </c>
      <c r="L42" s="70">
        <f t="shared" si="20"/>
        <v>8629.3656659520002</v>
      </c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2:33">
      <c r="B43" s="47" t="s">
        <v>216</v>
      </c>
      <c r="C43" s="42"/>
      <c r="D43" s="42"/>
      <c r="E43" s="42" t="s">
        <v>217</v>
      </c>
      <c r="F43" s="64">
        <f>F42/E42-1</f>
        <v>4.3952967525195952E-2</v>
      </c>
      <c r="G43" s="64">
        <f>G42/F42-1</f>
        <v>3.7811745776347605E-2</v>
      </c>
      <c r="H43" s="82">
        <v>0.02</v>
      </c>
      <c r="I43" s="82">
        <v>0.02</v>
      </c>
      <c r="J43" s="82">
        <v>0.02</v>
      </c>
      <c r="K43" s="82">
        <v>0.02</v>
      </c>
      <c r="L43" s="82">
        <v>0.03</v>
      </c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2:33">
      <c r="B44" s="47" t="s">
        <v>199</v>
      </c>
      <c r="C44" s="42" t="s">
        <v>217</v>
      </c>
      <c r="D44" s="42" t="s">
        <v>217</v>
      </c>
      <c r="E44" s="65">
        <f>E41/E42</f>
        <v>0.11097284434490481</v>
      </c>
      <c r="F44" s="65">
        <f>F41/F42</f>
        <v>0.12575891659962457</v>
      </c>
      <c r="G44" s="65">
        <f>G41/G42</f>
        <v>0.12244702842377261</v>
      </c>
      <c r="H44" s="70">
        <f>AVERAGE(E44:G44)</f>
        <v>0.11972626312276734</v>
      </c>
      <c r="I44" s="70">
        <f>AVERAGE(F44:H44)+0.0005</f>
        <v>0.12314406938205484</v>
      </c>
      <c r="J44" s="70">
        <f t="shared" ref="J44:L44" si="21">AVERAGE(G44:I44)+0.0005</f>
        <v>0.12227245364286493</v>
      </c>
      <c r="K44" s="70">
        <f t="shared" si="21"/>
        <v>0.12221426204922904</v>
      </c>
      <c r="L44" s="70">
        <f t="shared" si="21"/>
        <v>0.12304359502471628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2:33">
      <c r="B45" s="47"/>
      <c r="C45" s="42"/>
      <c r="D45" s="42"/>
      <c r="E45" s="42"/>
      <c r="F45" s="42"/>
      <c r="G45" s="42"/>
      <c r="H45" s="70"/>
      <c r="I45" s="70"/>
      <c r="J45" s="70"/>
      <c r="K45" s="70"/>
      <c r="L45" s="70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2:33">
      <c r="B46" s="47"/>
      <c r="C46" s="42"/>
      <c r="D46" s="42"/>
      <c r="E46" s="42"/>
      <c r="F46" s="42"/>
      <c r="G46" s="42"/>
      <c r="H46" s="70"/>
      <c r="I46" s="70"/>
      <c r="J46" s="70"/>
      <c r="K46" s="70"/>
      <c r="L46" s="70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2:33">
      <c r="B47" s="47" t="s">
        <v>200</v>
      </c>
      <c r="C47" s="42">
        <f>'Income Statement'!C25</f>
        <v>1553.0700000000004</v>
      </c>
      <c r="D47" s="42">
        <f>'Income Statement'!D25</f>
        <v>1610.649999999999</v>
      </c>
      <c r="E47" s="42">
        <f>'Income Statement'!E25</f>
        <v>1693.1199999999997</v>
      </c>
      <c r="F47" s="42">
        <f>'Income Statement'!F25</f>
        <v>1724.8699999999997</v>
      </c>
      <c r="G47" s="42">
        <f>'Income Statement'!G25</f>
        <v>1727.6399999999999</v>
      </c>
      <c r="H47" s="56">
        <f>'Income Statement'!H25</f>
        <v>1754.8344032356777</v>
      </c>
      <c r="I47" s="56">
        <f>'Income Statement'!I25</f>
        <v>1814.741036641653</v>
      </c>
      <c r="J47" s="56">
        <f>'Income Statement'!J25</f>
        <v>1929.7062126450985</v>
      </c>
      <c r="K47" s="56">
        <f>'Income Statement'!K25</f>
        <v>2081.0595015716444</v>
      </c>
      <c r="L47" s="56">
        <f>'Income Statement'!L25</f>
        <v>2191.4058363450663</v>
      </c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2:33">
      <c r="B48" s="47" t="s">
        <v>262</v>
      </c>
      <c r="C48" s="42">
        <f>'Income Statement'!C27</f>
        <v>299.89999999999998</v>
      </c>
      <c r="D48" s="42">
        <f>'Income Statement'!D27</f>
        <v>330.34</v>
      </c>
      <c r="E48" s="42">
        <f>'Income Statement'!E27</f>
        <v>335.34999999999997</v>
      </c>
      <c r="F48" s="42">
        <f>'Income Statement'!F27</f>
        <v>278.62</v>
      </c>
      <c r="G48" s="42">
        <f>'Income Statement'!G27</f>
        <v>279.72000000000003</v>
      </c>
      <c r="H48" s="56">
        <f>H47*H50</f>
        <v>322.78591188956233</v>
      </c>
      <c r="I48" s="56">
        <f t="shared" ref="I48:L48" si="22">I47*I50</f>
        <v>333.80519510883738</v>
      </c>
      <c r="J48" s="56">
        <f t="shared" si="22"/>
        <v>354.95199910549485</v>
      </c>
      <c r="K48" s="56">
        <f t="shared" si="22"/>
        <v>382.79206725868244</v>
      </c>
      <c r="L48" s="56">
        <f t="shared" si="22"/>
        <v>403.08927719930966</v>
      </c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2:33">
      <c r="B49" s="47" t="s">
        <v>201</v>
      </c>
      <c r="C49" s="42">
        <f>'Income Statement'!C25-'Income Statement'!C27</f>
        <v>1253.1700000000005</v>
      </c>
      <c r="D49" s="42">
        <f>'Income Statement'!D25-'Income Statement'!D27</f>
        <v>1280.309999999999</v>
      </c>
      <c r="E49" s="42">
        <f>'Income Statement'!E25-'Income Statement'!E27</f>
        <v>1357.7699999999998</v>
      </c>
      <c r="F49" s="42">
        <f>'Income Statement'!F25-'Income Statement'!F27</f>
        <v>1446.2499999999995</v>
      </c>
      <c r="G49" s="42">
        <f>'Income Statement'!G25-'Income Statement'!G27</f>
        <v>1447.9199999999998</v>
      </c>
      <c r="H49" s="70"/>
      <c r="I49" s="70"/>
      <c r="J49" s="70"/>
      <c r="K49" s="70"/>
      <c r="L49" s="70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2:33">
      <c r="B50" s="47" t="s">
        <v>202</v>
      </c>
      <c r="C50" s="64">
        <f>(C47-C49)/C47</f>
        <v>0.19310140560309566</v>
      </c>
      <c r="D50" s="64">
        <f t="shared" ref="D50:G50" si="23">(D47-D49)/D47</f>
        <v>0.20509732095737754</v>
      </c>
      <c r="E50" s="64">
        <f t="shared" si="23"/>
        <v>0.19806629181629179</v>
      </c>
      <c r="F50" s="64">
        <f t="shared" si="23"/>
        <v>0.16153101393148478</v>
      </c>
      <c r="G50" s="64">
        <f t="shared" si="23"/>
        <v>0.16190873098562203</v>
      </c>
      <c r="H50" s="82">
        <f>AVERAGE(C50:G50)</f>
        <v>0.18394095265877436</v>
      </c>
      <c r="I50" s="82">
        <f>H50</f>
        <v>0.18394095265877436</v>
      </c>
      <c r="J50" s="82">
        <f t="shared" ref="J50:L50" si="24">I50</f>
        <v>0.18394095265877436</v>
      </c>
      <c r="K50" s="82">
        <f t="shared" si="24"/>
        <v>0.18394095265877436</v>
      </c>
      <c r="L50" s="82">
        <f t="shared" si="24"/>
        <v>0.18394095265877436</v>
      </c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2:33" ht="15.75" thickBot="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2:33">
      <c r="B52" s="47"/>
      <c r="C52" s="42"/>
      <c r="D52" s="42"/>
      <c r="E52" s="42"/>
      <c r="F52" s="42"/>
      <c r="G52" s="42"/>
      <c r="H52" s="70"/>
      <c r="I52" s="70"/>
      <c r="J52" s="70"/>
      <c r="K52" s="70"/>
      <c r="L52" s="70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2:33">
      <c r="B53" s="47" t="s">
        <v>203</v>
      </c>
      <c r="C53" s="42">
        <f>-'Cashflow Statement'!C51</f>
        <v>351.65</v>
      </c>
      <c r="D53" s="42">
        <f>-'Cashflow Statement'!D51</f>
        <v>396.34</v>
      </c>
      <c r="E53" s="42">
        <f>-'Cashflow Statement'!E51</f>
        <v>396.34</v>
      </c>
      <c r="F53" s="42">
        <f>-'Cashflow Statement'!F51</f>
        <v>1324.71</v>
      </c>
      <c r="G53" s="42">
        <f>-'Cashflow Statement'!G51</f>
        <v>512.45000000000005</v>
      </c>
      <c r="H53" s="70">
        <f>H54*H55</f>
        <v>443.53387631916979</v>
      </c>
      <c r="I53" s="70">
        <f t="shared" ref="I53:L53" si="25">I54*I55</f>
        <v>458.67526019151188</v>
      </c>
      <c r="J53" s="70">
        <f t="shared" si="25"/>
        <v>487.73267441846309</v>
      </c>
      <c r="K53" s="70">
        <f t="shared" si="25"/>
        <v>525.98717342273778</v>
      </c>
      <c r="L53" s="70">
        <f t="shared" si="25"/>
        <v>553.87717689510282</v>
      </c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2:33">
      <c r="B54" s="47" t="s">
        <v>204</v>
      </c>
      <c r="C54" s="42">
        <f>'Income Statement'!C29</f>
        <v>1250.4300000000005</v>
      </c>
      <c r="D54" s="42">
        <f>'Income Statement'!D29</f>
        <v>1276.9399999999991</v>
      </c>
      <c r="E54" s="42">
        <f>'Income Statement'!E29</f>
        <v>1354.4199999999998</v>
      </c>
      <c r="F54" s="42">
        <f>'Income Statement'!F29</f>
        <v>1442.3299999999995</v>
      </c>
      <c r="G54" s="42">
        <f>'Income Statement'!G29</f>
        <v>1444.9599999999998</v>
      </c>
      <c r="H54" s="70">
        <f>'Income Statement'!H29</f>
        <v>1432.0484913461153</v>
      </c>
      <c r="I54" s="70">
        <f>'Income Statement'!I29</f>
        <v>1480.9358415328156</v>
      </c>
      <c r="J54" s="70">
        <f>'Income Statement'!J29</f>
        <v>1574.7542135396036</v>
      </c>
      <c r="K54" s="70">
        <f>'Income Statement'!K29</f>
        <v>1698.267434312962</v>
      </c>
      <c r="L54" s="70">
        <f>'Income Statement'!L29</f>
        <v>1788.3165591457566</v>
      </c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2:33">
      <c r="B55" s="47" t="s">
        <v>205</v>
      </c>
      <c r="C55" s="64">
        <f>C53/C54</f>
        <v>0.28122325919883545</v>
      </c>
      <c r="D55" s="64">
        <f t="shared" ref="D55:G55" si="26">D53/D54</f>
        <v>0.31038263348317091</v>
      </c>
      <c r="E55" s="64">
        <f t="shared" si="26"/>
        <v>0.29262710237592476</v>
      </c>
      <c r="F55" s="64">
        <f t="shared" si="26"/>
        <v>0.91845139461843028</v>
      </c>
      <c r="G55" s="64">
        <f t="shared" si="26"/>
        <v>0.35464649540471715</v>
      </c>
      <c r="H55" s="82">
        <f>AVERAGE(C55:E55,G55)</f>
        <v>0.30971987261566203</v>
      </c>
      <c r="I55" s="82">
        <f>H55</f>
        <v>0.30971987261566203</v>
      </c>
      <c r="J55" s="82">
        <f t="shared" ref="J55:L55" si="27">I55</f>
        <v>0.30971987261566203</v>
      </c>
      <c r="K55" s="82">
        <f t="shared" si="27"/>
        <v>0.30971987261566203</v>
      </c>
      <c r="L55" s="82">
        <f t="shared" si="27"/>
        <v>0.30971987261566203</v>
      </c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2:33">
      <c r="B56" s="47"/>
      <c r="C56" s="42"/>
      <c r="D56" s="42"/>
      <c r="E56" s="42"/>
      <c r="F56" s="42"/>
      <c r="G56" s="42"/>
      <c r="H56" s="70"/>
      <c r="I56" s="70"/>
      <c r="J56" s="70"/>
      <c r="K56" s="70"/>
      <c r="L56" s="70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2:33">
      <c r="B57" s="47"/>
      <c r="C57" s="42"/>
      <c r="D57" s="42"/>
      <c r="E57" s="42"/>
      <c r="F57" s="42"/>
      <c r="G57" s="42"/>
      <c r="H57" s="70"/>
      <c r="I57" s="70"/>
      <c r="J57" s="70"/>
      <c r="K57" s="70"/>
      <c r="L57" s="70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2:33">
      <c r="B58" s="47" t="s">
        <v>206</v>
      </c>
      <c r="C58" s="42">
        <f>-'Cashflow Statement'!C52</f>
        <v>71.599999999999994</v>
      </c>
      <c r="D58" s="42">
        <f>-'Cashflow Statement'!D52</f>
        <v>80.69</v>
      </c>
      <c r="E58" s="42">
        <f>-'Cashflow Statement'!E52</f>
        <v>80.69</v>
      </c>
      <c r="F58" s="42">
        <f>-'Cashflow Statement'!F52</f>
        <v>272.3</v>
      </c>
      <c r="G58" s="42">
        <f>-'Cashflow Statement'!G52</f>
        <v>105.33</v>
      </c>
      <c r="H58" s="70">
        <f>H53*H59</f>
        <v>90.648001526842876</v>
      </c>
      <c r="I58" s="70">
        <f t="shared" ref="I58:L58" si="28">I53*I59</f>
        <v>93.74254799028121</v>
      </c>
      <c r="J58" s="70">
        <f t="shared" si="28"/>
        <v>99.68120717697056</v>
      </c>
      <c r="K58" s="70">
        <f t="shared" si="28"/>
        <v>107.49953643949735</v>
      </c>
      <c r="L58" s="70">
        <f t="shared" si="28"/>
        <v>113.19960403822866</v>
      </c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2:33">
      <c r="B59" s="47" t="s">
        <v>207</v>
      </c>
      <c r="C59" s="64">
        <f>C58/C53</f>
        <v>0.20361154557088013</v>
      </c>
      <c r="D59" s="64">
        <f t="shared" ref="D59:G59" si="29">D58/D53</f>
        <v>0.20358782863198266</v>
      </c>
      <c r="E59" s="64">
        <f t="shared" si="29"/>
        <v>0.20358782863198266</v>
      </c>
      <c r="F59" s="64">
        <f t="shared" si="29"/>
        <v>0.20555442323225462</v>
      </c>
      <c r="G59" s="64">
        <f t="shared" si="29"/>
        <v>0.20554200409796075</v>
      </c>
      <c r="H59" s="82">
        <f>AVERAGE(C59:G59)</f>
        <v>0.20437672603301218</v>
      </c>
      <c r="I59" s="82">
        <f>H59</f>
        <v>0.20437672603301218</v>
      </c>
      <c r="J59" s="82">
        <f t="shared" ref="J59:L59" si="30">I59</f>
        <v>0.20437672603301218</v>
      </c>
      <c r="K59" s="82">
        <f t="shared" si="30"/>
        <v>0.20437672603301218</v>
      </c>
      <c r="L59" s="82">
        <f t="shared" si="30"/>
        <v>0.20437672603301218</v>
      </c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2:33" ht="15.75" thickBot="1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2:33">
      <c r="B61" s="47"/>
      <c r="C61" s="42"/>
      <c r="D61" s="42"/>
      <c r="E61" s="42"/>
      <c r="F61" s="42"/>
      <c r="G61" s="42"/>
      <c r="H61" s="70"/>
      <c r="I61" s="70"/>
      <c r="J61" s="70"/>
      <c r="K61" s="70"/>
      <c r="L61" s="70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2:33">
      <c r="B62" s="47" t="s">
        <v>209</v>
      </c>
      <c r="C62" s="42" t="s">
        <v>217</v>
      </c>
      <c r="D62" s="42">
        <f>(('Balance Sheet'!C55+'Balance Sheet'!C47)+('Balance Sheet'!D55+'Balance Sheet'!D47))/2</f>
        <v>851.36500000000001</v>
      </c>
      <c r="E62" s="42">
        <f>(('Balance Sheet'!D55+'Balance Sheet'!D47)+('Balance Sheet'!E55+'Balance Sheet'!E47))/2</f>
        <v>870.18499999999995</v>
      </c>
      <c r="F62" s="42">
        <f>(('Balance Sheet'!E55+'Balance Sheet'!E47)+('Balance Sheet'!F55+'Balance Sheet'!F47))/2</f>
        <v>676.55499999999995</v>
      </c>
      <c r="G62" s="42">
        <f>(('Balance Sheet'!F55+'Balance Sheet'!F47)+('Balance Sheet'!G55+'Balance Sheet'!G47))/2</f>
        <v>495.70499999999998</v>
      </c>
      <c r="H62" s="70">
        <f>G62</f>
        <v>495.70499999999998</v>
      </c>
      <c r="I62" s="70">
        <f t="shared" ref="I62:L62" si="31">H62</f>
        <v>495.70499999999998</v>
      </c>
      <c r="J62" s="70">
        <f t="shared" si="31"/>
        <v>495.70499999999998</v>
      </c>
      <c r="K62" s="70">
        <f t="shared" si="31"/>
        <v>495.70499999999998</v>
      </c>
      <c r="L62" s="70">
        <f t="shared" si="31"/>
        <v>495.70499999999998</v>
      </c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2:33">
      <c r="B63" s="47" t="s">
        <v>208</v>
      </c>
      <c r="C63" s="42" t="s">
        <v>217</v>
      </c>
      <c r="D63" s="42">
        <f>'Income Statement'!D24</f>
        <v>54.03</v>
      </c>
      <c r="E63" s="42">
        <f>'Income Statement'!E24</f>
        <v>53.05</v>
      </c>
      <c r="F63" s="42">
        <f>'Income Statement'!F24</f>
        <v>59.58</v>
      </c>
      <c r="G63" s="42">
        <f>'Income Statement'!G24</f>
        <v>49.54</v>
      </c>
      <c r="H63" s="70">
        <f>G63</f>
        <v>49.54</v>
      </c>
      <c r="I63" s="70">
        <f t="shared" ref="I63:L63" si="32">H63</f>
        <v>49.54</v>
      </c>
      <c r="J63" s="70">
        <f t="shared" si="32"/>
        <v>49.54</v>
      </c>
      <c r="K63" s="70">
        <f t="shared" si="32"/>
        <v>49.54</v>
      </c>
      <c r="L63" s="70">
        <f t="shared" si="32"/>
        <v>49.54</v>
      </c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2:33">
      <c r="B64" s="47" t="s">
        <v>210</v>
      </c>
      <c r="C64" s="42" t="s">
        <v>217</v>
      </c>
      <c r="D64" s="50">
        <f>D63/D62</f>
        <v>6.3462792104444041E-2</v>
      </c>
      <c r="E64" s="50">
        <f t="shared" ref="E64:G64" si="33">E63/E62</f>
        <v>6.0964047874877185E-2</v>
      </c>
      <c r="F64" s="50">
        <f t="shared" si="33"/>
        <v>8.8063793778776309E-2</v>
      </c>
      <c r="G64" s="50">
        <f t="shared" si="33"/>
        <v>9.9938471469926668E-2</v>
      </c>
      <c r="H64" s="70"/>
      <c r="I64" s="70"/>
      <c r="J64" s="70"/>
      <c r="K64" s="70"/>
      <c r="L64" s="70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2:33">
      <c r="B65" s="47"/>
      <c r="C65" s="42"/>
      <c r="D65" s="42"/>
      <c r="E65" s="42"/>
      <c r="F65" s="42"/>
      <c r="G65" s="42"/>
      <c r="H65" s="70"/>
      <c r="I65" s="70"/>
      <c r="J65" s="70"/>
      <c r="K65" s="70"/>
      <c r="L65" s="70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2:33" ht="15.75" thickBot="1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2:33">
      <c r="B67" s="47"/>
      <c r="C67" s="42"/>
      <c r="D67" s="42"/>
      <c r="E67" s="42"/>
      <c r="F67" s="42"/>
      <c r="G67" s="42"/>
      <c r="H67" s="70"/>
      <c r="I67" s="70"/>
      <c r="J67" s="70"/>
      <c r="K67" s="70"/>
      <c r="L67" s="70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2:33">
      <c r="B68" s="47"/>
      <c r="C68" s="42"/>
      <c r="D68" s="42"/>
      <c r="E68" s="42"/>
      <c r="F68" s="42"/>
      <c r="G68" s="42"/>
      <c r="H68" s="70"/>
      <c r="I68" s="70"/>
      <c r="J68" s="70"/>
      <c r="K68" s="70"/>
      <c r="L68" s="70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spans="2:33">
      <c r="B69" s="47"/>
      <c r="C69" s="42"/>
      <c r="D69" s="42"/>
      <c r="E69" s="42"/>
      <c r="F69" s="42"/>
      <c r="G69" s="42"/>
      <c r="H69" s="70"/>
      <c r="I69" s="70"/>
      <c r="J69" s="70"/>
      <c r="K69" s="70"/>
      <c r="L69" s="70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spans="2:33">
      <c r="B70" s="47"/>
      <c r="C70" s="42"/>
      <c r="D70" s="42"/>
      <c r="E70" s="42"/>
      <c r="F70" s="42"/>
      <c r="G70" s="42"/>
      <c r="H70" s="70"/>
      <c r="I70" s="70"/>
      <c r="J70" s="70"/>
      <c r="K70" s="70"/>
      <c r="L70" s="70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spans="2:33">
      <c r="B71" s="47"/>
      <c r="C71" s="42"/>
      <c r="D71" s="42"/>
      <c r="E71" s="42"/>
      <c r="F71" s="42"/>
      <c r="G71" s="42"/>
      <c r="H71" s="70"/>
      <c r="I71" s="70"/>
      <c r="J71" s="70"/>
      <c r="K71" s="70"/>
      <c r="L71" s="70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spans="2:33">
      <c r="B72" s="47"/>
      <c r="C72" s="42"/>
      <c r="D72" s="42"/>
      <c r="E72" s="42"/>
      <c r="F72" s="42"/>
      <c r="G72" s="42"/>
      <c r="H72" s="70"/>
      <c r="I72" s="70"/>
      <c r="J72" s="70"/>
      <c r="K72" s="70"/>
      <c r="L72" s="70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spans="2:33">
      <c r="B73" s="47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spans="2:33">
      <c r="B74" s="4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spans="2:33">
      <c r="B75" s="4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spans="2:33">
      <c r="B76" s="4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spans="2:33">
      <c r="B77" s="4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spans="2:33">
      <c r="B78" s="4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2:33">
      <c r="B79" s="4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spans="2:33">
      <c r="B80" s="47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spans="2:33">
      <c r="B81" s="47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spans="2:33">
      <c r="B82" s="47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spans="2:33">
      <c r="B83" s="47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spans="2:33">
      <c r="B84" s="47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spans="2:33">
      <c r="B85" s="47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spans="2:33">
      <c r="B86" s="47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2:33">
      <c r="B87" s="47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2:33">
      <c r="B88" s="47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spans="2:33">
      <c r="B89" s="47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2:33">
      <c r="B90" s="47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2:33">
      <c r="B91" s="47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2:33">
      <c r="B92" s="47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2:33">
      <c r="B93" s="47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spans="2:33">
      <c r="B94" s="47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2:33">
      <c r="B95" s="47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2:33">
      <c r="B96" s="47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2:33">
      <c r="B97" s="47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spans="2:33">
      <c r="B98" s="47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2:33">
      <c r="B99" s="47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spans="2:33">
      <c r="B100" s="47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spans="2:33">
      <c r="B101" s="47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spans="2:33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2:33"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2:33"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2:33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spans="2:33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2:33"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spans="2:33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spans="2:33"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 spans="2:33">
      <c r="B110" s="47"/>
    </row>
    <row r="111" spans="2:33">
      <c r="B111" s="47"/>
    </row>
    <row r="112" spans="2:33">
      <c r="B112" s="47"/>
    </row>
    <row r="113" spans="2:2">
      <c r="B113" s="47"/>
    </row>
    <row r="114" spans="2:2">
      <c r="B114" s="47"/>
    </row>
    <row r="115" spans="2:2">
      <c r="B115" s="47"/>
    </row>
    <row r="116" spans="2:2">
      <c r="B116" s="47"/>
    </row>
    <row r="117" spans="2:2">
      <c r="B117" s="47"/>
    </row>
    <row r="118" spans="2:2">
      <c r="B118" s="47"/>
    </row>
    <row r="119" spans="2:2">
      <c r="B119" s="47"/>
    </row>
    <row r="120" spans="2:2">
      <c r="B120" s="47"/>
    </row>
    <row r="121" spans="2:2">
      <c r="B121" s="47"/>
    </row>
    <row r="122" spans="2:2">
      <c r="B122" s="47"/>
    </row>
    <row r="123" spans="2:2">
      <c r="B123" s="47"/>
    </row>
    <row r="124" spans="2:2">
      <c r="B124" s="47"/>
    </row>
    <row r="125" spans="2:2">
      <c r="B125" s="47"/>
    </row>
    <row r="126" spans="2:2">
      <c r="B126" s="47"/>
    </row>
    <row r="127" spans="2:2">
      <c r="B127" s="47"/>
    </row>
    <row r="128" spans="2:2">
      <c r="B128" s="47"/>
    </row>
    <row r="129" spans="2:2">
      <c r="B129" s="47"/>
    </row>
    <row r="130" spans="2:2">
      <c r="B130" s="47"/>
    </row>
    <row r="131" spans="2:2">
      <c r="B131" s="47"/>
    </row>
    <row r="132" spans="2:2">
      <c r="B132" s="47"/>
    </row>
    <row r="133" spans="2:2">
      <c r="B133" s="47"/>
    </row>
    <row r="134" spans="2:2">
      <c r="B134" s="47"/>
    </row>
    <row r="135" spans="2:2">
      <c r="B135" s="47"/>
    </row>
    <row r="136" spans="2:2">
      <c r="B136" s="47"/>
    </row>
    <row r="137" spans="2:2">
      <c r="B137" s="47"/>
    </row>
    <row r="138" spans="2:2">
      <c r="B138" s="47"/>
    </row>
    <row r="139" spans="2:2">
      <c r="B139" s="47"/>
    </row>
    <row r="140" spans="2:2">
      <c r="B140" s="47"/>
    </row>
    <row r="141" spans="2:2">
      <c r="B141" s="47"/>
    </row>
    <row r="142" spans="2:2">
      <c r="B142" s="47"/>
    </row>
    <row r="143" spans="2:2">
      <c r="B143" s="47"/>
    </row>
    <row r="144" spans="2:2">
      <c r="B144" s="47"/>
    </row>
    <row r="145" spans="2:2">
      <c r="B145" s="47"/>
    </row>
    <row r="146" spans="2:2">
      <c r="B146" s="47"/>
    </row>
    <row r="147" spans="2:2">
      <c r="B147" s="47"/>
    </row>
    <row r="148" spans="2:2">
      <c r="B148" s="47"/>
    </row>
    <row r="149" spans="2:2">
      <c r="B149" s="47"/>
    </row>
    <row r="150" spans="2:2">
      <c r="B150" s="47"/>
    </row>
    <row r="151" spans="2:2">
      <c r="B151" s="47"/>
    </row>
    <row r="152" spans="2:2">
      <c r="B152" s="47"/>
    </row>
    <row r="153" spans="2:2">
      <c r="B153" s="47"/>
    </row>
    <row r="154" spans="2:2">
      <c r="B154" s="47"/>
    </row>
    <row r="155" spans="2:2">
      <c r="B155" s="47"/>
    </row>
    <row r="156" spans="2:2">
      <c r="B156" s="47"/>
    </row>
    <row r="157" spans="2:2">
      <c r="B157" s="47"/>
    </row>
    <row r="158" spans="2:2">
      <c r="B158" s="47"/>
    </row>
    <row r="159" spans="2:2">
      <c r="B159" s="47"/>
    </row>
    <row r="160" spans="2:2">
      <c r="B160" s="47"/>
    </row>
    <row r="161" spans="2:2">
      <c r="B161" s="47"/>
    </row>
    <row r="162" spans="2:2">
      <c r="B162" s="47"/>
    </row>
    <row r="163" spans="2:2">
      <c r="B163" s="47"/>
    </row>
    <row r="164" spans="2:2">
      <c r="B164" s="47"/>
    </row>
    <row r="165" spans="2:2">
      <c r="B165" s="47"/>
    </row>
    <row r="166" spans="2:2">
      <c r="B166" s="47"/>
    </row>
    <row r="167" spans="2:2">
      <c r="B167" s="47"/>
    </row>
    <row r="168" spans="2:2">
      <c r="B168" s="47"/>
    </row>
    <row r="169" spans="2:2">
      <c r="B169" s="47"/>
    </row>
  </sheetData>
  <mergeCells count="2">
    <mergeCell ref="C1:G1"/>
    <mergeCell ref="H1:L1"/>
  </mergeCells>
  <pageMargins left="0.7" right="0.7" top="0.75" bottom="0.75" header="0.3" footer="0.3"/>
  <pageSetup orientation="portrait" r:id="rId1"/>
  <ignoredErrors>
    <ignoredError sqref="H15:L19 I33:J3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G22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5"/>
  <cols>
    <col min="1" max="1" width="1.28515625" style="34" customWidth="1"/>
    <col min="2" max="2" width="50.7109375" style="34" customWidth="1"/>
    <col min="3" max="12" width="25.7109375" style="34" customWidth="1"/>
    <col min="13" max="16384" width="9.140625" style="34"/>
  </cols>
  <sheetData>
    <row r="1" spans="1:33" ht="36" customHeight="1">
      <c r="A1" s="36" t="s">
        <v>0</v>
      </c>
      <c r="B1" s="37"/>
      <c r="C1" s="136" t="s">
        <v>1</v>
      </c>
      <c r="D1" s="136"/>
      <c r="E1" s="136"/>
      <c r="F1" s="136"/>
      <c r="G1" s="136"/>
      <c r="H1" s="136" t="s">
        <v>2</v>
      </c>
      <c r="I1" s="136"/>
      <c r="J1" s="136"/>
      <c r="K1" s="136"/>
      <c r="L1" s="136"/>
    </row>
    <row r="2" spans="1:33">
      <c r="A2" s="38"/>
      <c r="B2" s="39"/>
      <c r="C2" s="61" t="s">
        <v>4</v>
      </c>
      <c r="D2" s="61" t="s">
        <v>5</v>
      </c>
      <c r="E2" s="61" t="s">
        <v>6</v>
      </c>
      <c r="F2" s="61" t="s">
        <v>7</v>
      </c>
      <c r="G2" s="61" t="s">
        <v>8</v>
      </c>
      <c r="H2" s="61" t="s">
        <v>9</v>
      </c>
      <c r="I2" s="61" t="s">
        <v>10</v>
      </c>
      <c r="J2" s="61" t="s">
        <v>11</v>
      </c>
      <c r="K2" s="61" t="s">
        <v>12</v>
      </c>
      <c r="L2" s="61" t="s">
        <v>13</v>
      </c>
    </row>
    <row r="3" spans="1:33" ht="15.75" thickBot="1">
      <c r="B3" s="47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33" ht="15.75" thickBot="1">
      <c r="B4" s="43" t="s">
        <v>191</v>
      </c>
      <c r="C4" s="41">
        <f>'Income Statement'!C4</f>
        <v>7868.77</v>
      </c>
      <c r="D4" s="41">
        <f>'Income Statement'!D4</f>
        <v>7701.44</v>
      </c>
      <c r="E4" s="41">
        <f>'Income Statement'!E4</f>
        <v>7748.34</v>
      </c>
      <c r="F4" s="41">
        <f>'Income Statement'!F4</f>
        <v>8533.0499999999993</v>
      </c>
      <c r="G4" s="41">
        <f>'Income Statement'!G4</f>
        <v>8703.59</v>
      </c>
      <c r="H4" s="71">
        <f>'Income Statement'!H4</f>
        <v>8877.4946649616995</v>
      </c>
      <c r="I4" s="71">
        <f>'Income Statement'!I4</f>
        <v>9493.5925901599931</v>
      </c>
      <c r="J4" s="71">
        <f>'Income Statement'!J4</f>
        <v>10125.884775297494</v>
      </c>
      <c r="K4" s="71">
        <f>'Income Statement'!K4</f>
        <v>10836.527620818391</v>
      </c>
      <c r="L4" s="71">
        <f>'Income Statement'!L4</f>
        <v>11585.54621247405</v>
      </c>
    </row>
    <row r="5" spans="1:33" ht="15.75" thickBot="1">
      <c r="B5" s="47"/>
      <c r="C5" s="47"/>
      <c r="D5" s="47"/>
      <c r="E5" s="47"/>
      <c r="F5" s="47"/>
      <c r="G5" s="47"/>
      <c r="H5" s="70"/>
      <c r="I5" s="70"/>
      <c r="J5" s="70"/>
      <c r="K5" s="70"/>
      <c r="L5" s="70"/>
    </row>
    <row r="6" spans="1:33" ht="15.75" thickBot="1">
      <c r="B6" s="43" t="s">
        <v>211</v>
      </c>
      <c r="C6" s="41">
        <f>-'Cashflow Statement'!C40</f>
        <v>200.48</v>
      </c>
      <c r="D6" s="41">
        <f>-'Cashflow Statement'!D40</f>
        <v>490.02</v>
      </c>
      <c r="E6" s="41">
        <f>-'Cashflow Statement'!E40</f>
        <v>206.96</v>
      </c>
      <c r="F6" s="41">
        <f>-'Cashflow Statement'!F40</f>
        <v>234.35</v>
      </c>
      <c r="G6" s="41">
        <f>-'Cashflow Statement'!G40</f>
        <v>417.46</v>
      </c>
      <c r="H6" s="71">
        <f>H4*H8</f>
        <v>339.55201118458211</v>
      </c>
      <c r="I6" s="71">
        <f t="shared" ref="I6:L6" si="0">I4*I8</f>
        <v>363.11691293703296</v>
      </c>
      <c r="J6" s="71">
        <f t="shared" si="0"/>
        <v>387.3012229504323</v>
      </c>
      <c r="K6" s="71">
        <f t="shared" si="0"/>
        <v>414.48233840442799</v>
      </c>
      <c r="L6" s="71">
        <f t="shared" si="0"/>
        <v>443.13127358375647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>
      <c r="B7" s="47"/>
      <c r="C7" s="42"/>
      <c r="D7" s="42"/>
      <c r="E7" s="42"/>
      <c r="F7" s="42"/>
      <c r="G7" s="42"/>
      <c r="H7" s="70"/>
      <c r="I7" s="70"/>
      <c r="J7" s="70"/>
      <c r="K7" s="70"/>
      <c r="L7" s="70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>
      <c r="B8" s="47" t="s">
        <v>212</v>
      </c>
      <c r="C8" s="64">
        <f>C6/C4</f>
        <v>2.547793365417975E-2</v>
      </c>
      <c r="D8" s="64">
        <f t="shared" ref="D8:G8" si="1">D6/D4</f>
        <v>6.362706195205052E-2</v>
      </c>
      <c r="E8" s="64">
        <f t="shared" si="1"/>
        <v>2.6710237289535567E-2</v>
      </c>
      <c r="F8" s="64">
        <f t="shared" si="1"/>
        <v>2.7463802509067686E-2</v>
      </c>
      <c r="G8" s="64">
        <f t="shared" si="1"/>
        <v>4.7964115956748876E-2</v>
      </c>
      <c r="H8" s="82">
        <f>AVERAGE(C8:G8)</f>
        <v>3.8248630272316481E-2</v>
      </c>
      <c r="I8" s="82">
        <f>H8</f>
        <v>3.8248630272316481E-2</v>
      </c>
      <c r="J8" s="82">
        <f t="shared" ref="J8:L8" si="2">I8</f>
        <v>3.8248630272316481E-2</v>
      </c>
      <c r="K8" s="82">
        <f t="shared" si="2"/>
        <v>3.8248630272316481E-2</v>
      </c>
      <c r="L8" s="82">
        <f t="shared" si="2"/>
        <v>3.8248630272316481E-2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ht="15.75" thickBot="1"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>
      <c r="B10" s="47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>
      <c r="B11" s="47" t="s">
        <v>213</v>
      </c>
      <c r="C11" s="42"/>
      <c r="D11" s="42"/>
      <c r="E11" s="42"/>
      <c r="F11" s="42"/>
      <c r="G11" s="42"/>
      <c r="H11" s="56">
        <f>G14</f>
        <v>1820.98</v>
      </c>
      <c r="I11" s="56">
        <f t="shared" ref="I11:L11" si="3">H14</f>
        <v>1974.7186653441686</v>
      </c>
      <c r="J11" s="56">
        <f t="shared" si="3"/>
        <v>2133.5062628097708</v>
      </c>
      <c r="K11" s="56">
        <f t="shared" si="3"/>
        <v>2296.7623386024216</v>
      </c>
      <c r="L11" s="56">
        <f t="shared" si="3"/>
        <v>2466.0544234308049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>
      <c r="B12" s="47" t="s">
        <v>214</v>
      </c>
      <c r="C12" s="42"/>
      <c r="D12" s="42"/>
      <c r="E12" s="42"/>
      <c r="F12" s="42"/>
      <c r="G12" s="42"/>
      <c r="H12" s="56">
        <f>SUM(H43:H50)</f>
        <v>327.63685434620038</v>
      </c>
      <c r="I12" s="56">
        <f t="shared" ref="I12:L12" si="4">SUM(I43:I50)</f>
        <v>350.3748444886096</v>
      </c>
      <c r="J12" s="56">
        <f t="shared" si="4"/>
        <v>373.71050735121628</v>
      </c>
      <c r="K12" s="56">
        <f t="shared" si="4"/>
        <v>399.93781530883859</v>
      </c>
      <c r="L12" s="56">
        <f t="shared" si="4"/>
        <v>427.58143600122452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ht="15.75" thickBot="1">
      <c r="B13" s="47" t="s">
        <v>215</v>
      </c>
      <c r="C13" s="42"/>
      <c r="D13" s="42"/>
      <c r="E13" s="42"/>
      <c r="F13" s="42"/>
      <c r="G13" s="42"/>
      <c r="H13" s="56">
        <f>H175</f>
        <v>173.89818900203184</v>
      </c>
      <c r="I13" s="56">
        <f t="shared" ref="I13:L13" si="5">I175</f>
        <v>191.58724702300754</v>
      </c>
      <c r="J13" s="56">
        <f t="shared" si="5"/>
        <v>210.4544315585652</v>
      </c>
      <c r="K13" s="56">
        <f t="shared" si="5"/>
        <v>230.6457304804554</v>
      </c>
      <c r="L13" s="56">
        <f t="shared" si="5"/>
        <v>252.23264788931533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ht="15.75" thickBot="1">
      <c r="B14" s="43" t="s">
        <v>256</v>
      </c>
      <c r="C14" s="41">
        <f>'Balance Sheet'!C6</f>
        <v>1238.77</v>
      </c>
      <c r="D14" s="41">
        <f>'Balance Sheet'!D6</f>
        <v>1479.02</v>
      </c>
      <c r="E14" s="41">
        <f>'Balance Sheet'!E6</f>
        <v>1552.1</v>
      </c>
      <c r="F14" s="41">
        <f>'Balance Sheet'!F6</f>
        <v>1547.97</v>
      </c>
      <c r="G14" s="41">
        <f>'Balance Sheet'!G6</f>
        <v>1820.98</v>
      </c>
      <c r="H14" s="71">
        <f>H11+H12-H13</f>
        <v>1974.7186653441686</v>
      </c>
      <c r="I14" s="71">
        <f t="shared" ref="I14:L14" si="6">I11+I12-I13</f>
        <v>2133.5062628097708</v>
      </c>
      <c r="J14" s="71">
        <f t="shared" si="6"/>
        <v>2296.7623386024216</v>
      </c>
      <c r="K14" s="71">
        <f t="shared" si="6"/>
        <v>2466.0544234308049</v>
      </c>
      <c r="L14" s="71">
        <f t="shared" si="6"/>
        <v>2641.4032115427144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>
      <c r="B15" s="47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>
      <c r="B16" s="47" t="s">
        <v>230</v>
      </c>
      <c r="C16" s="42"/>
      <c r="D16" s="42"/>
      <c r="E16" s="42"/>
      <c r="F16" s="42"/>
      <c r="G16" s="42"/>
      <c r="H16" s="56">
        <f>G19</f>
        <v>44.18</v>
      </c>
      <c r="I16" s="56">
        <f t="shared" ref="I16:L16" si="7">H19</f>
        <v>43.699580433440239</v>
      </c>
      <c r="J16" s="56">
        <f t="shared" si="7"/>
        <v>40.420558315274192</v>
      </c>
      <c r="K16" s="56">
        <f t="shared" si="7"/>
        <v>34.223105707406916</v>
      </c>
      <c r="L16" s="56">
        <f t="shared" si="7"/>
        <v>25.053277599076672</v>
      </c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2:33">
      <c r="B17" s="47" t="s">
        <v>214</v>
      </c>
      <c r="C17" s="42"/>
      <c r="D17" s="42"/>
      <c r="E17" s="42"/>
      <c r="F17" s="42"/>
      <c r="G17" s="42"/>
      <c r="H17" s="56">
        <f>SUM(H51:H52)</f>
        <v>21.915156838381762</v>
      </c>
      <c r="I17" s="56">
        <f t="shared" ref="I17:L17" si="8">SUM(I51:I52)</f>
        <v>22.742068448423367</v>
      </c>
      <c r="J17" s="56">
        <f t="shared" si="8"/>
        <v>23.59071559921599</v>
      </c>
      <c r="K17" s="56">
        <f t="shared" si="8"/>
        <v>24.544523095589398</v>
      </c>
      <c r="L17" s="56">
        <f t="shared" si="8"/>
        <v>25.549837582531921</v>
      </c>
      <c r="M17" s="56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2:33" ht="15.75" thickBot="1">
      <c r="B18" s="47" t="s">
        <v>231</v>
      </c>
      <c r="C18" s="42"/>
      <c r="D18" s="42"/>
      <c r="E18" s="42"/>
      <c r="F18" s="42"/>
      <c r="G18" s="42"/>
      <c r="H18" s="56">
        <f>H177</f>
        <v>22.395576404941529</v>
      </c>
      <c r="I18" s="56">
        <f t="shared" ref="I18:L18" si="9">I177</f>
        <v>26.021090566589422</v>
      </c>
      <c r="J18" s="56">
        <f t="shared" si="9"/>
        <v>29.78816820708326</v>
      </c>
      <c r="K18" s="56">
        <f t="shared" si="9"/>
        <v>33.714351203919641</v>
      </c>
      <c r="L18" s="56">
        <f t="shared" si="9"/>
        <v>37.808231477501586</v>
      </c>
      <c r="M18" s="56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2:33" ht="15.75" thickBot="1">
      <c r="B19" s="43" t="s">
        <v>232</v>
      </c>
      <c r="C19" s="41">
        <f>'Balance Sheet'!C10</f>
        <v>18.12</v>
      </c>
      <c r="D19" s="41">
        <f>'Balance Sheet'!D10</f>
        <v>13.86</v>
      </c>
      <c r="E19" s="41">
        <f>'Balance Sheet'!E10</f>
        <v>10.31</v>
      </c>
      <c r="F19" s="41">
        <f>'Balance Sheet'!F10</f>
        <v>32.92</v>
      </c>
      <c r="G19" s="41">
        <f>'Balance Sheet'!G10</f>
        <v>44.18</v>
      </c>
      <c r="H19" s="71">
        <f>H16+H17-H18</f>
        <v>43.699580433440239</v>
      </c>
      <c r="I19" s="71">
        <f t="shared" ref="I19:L19" si="10">I16+I17-I18</f>
        <v>40.420558315274192</v>
      </c>
      <c r="J19" s="71">
        <f t="shared" si="10"/>
        <v>34.223105707406916</v>
      </c>
      <c r="K19" s="71">
        <f t="shared" si="10"/>
        <v>25.053277599076672</v>
      </c>
      <c r="L19" s="71">
        <f t="shared" si="10"/>
        <v>12.794883704107008</v>
      </c>
      <c r="M19" s="56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2:33">
      <c r="B20" s="47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2:33" ht="15.75" thickBot="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2:33" ht="15.75" thickBot="1">
      <c r="B22" s="52"/>
      <c r="C22" s="12"/>
      <c r="D22" s="12"/>
      <c r="E22" s="1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2:33" ht="26.25" thickBot="1">
      <c r="B23" s="92" t="s">
        <v>257</v>
      </c>
      <c r="C23" s="92" t="s">
        <v>236</v>
      </c>
      <c r="D23" s="92" t="s">
        <v>258</v>
      </c>
      <c r="E23" s="92" t="s">
        <v>228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2:33">
      <c r="B24" s="85"/>
      <c r="C24" s="85"/>
      <c r="D24" s="85"/>
      <c r="E24" s="86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2:33">
      <c r="B25" s="85" t="s">
        <v>218</v>
      </c>
      <c r="C25" s="85">
        <v>34.93</v>
      </c>
      <c r="D25" s="87">
        <f>C25/$C$38</f>
        <v>1.081360539163331E-2</v>
      </c>
      <c r="E25" s="85" t="s">
        <v>235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2:33">
      <c r="B26" s="85" t="s">
        <v>219</v>
      </c>
      <c r="C26" s="85">
        <v>68.3</v>
      </c>
      <c r="D26" s="87">
        <f t="shared" ref="D26:D34" si="11">C26/$C$38</f>
        <v>2.1144267055498281E-2</v>
      </c>
      <c r="E26" s="85" t="s">
        <v>235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2:33">
      <c r="B27" s="85" t="s">
        <v>220</v>
      </c>
      <c r="C27" s="85">
        <v>835.51</v>
      </c>
      <c r="D27" s="87">
        <f t="shared" si="11"/>
        <v>0.25865661153059105</v>
      </c>
      <c r="E27" s="88">
        <v>60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2:33">
      <c r="B28" s="85" t="s">
        <v>221</v>
      </c>
      <c r="C28" s="85">
        <v>218.64</v>
      </c>
      <c r="D28" s="87">
        <f t="shared" si="11"/>
        <v>6.7686420922608265E-2</v>
      </c>
      <c r="E28" s="88">
        <v>60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2:33">
      <c r="B29" s="85" t="s">
        <v>222</v>
      </c>
      <c r="C29" s="85">
        <v>1718.56</v>
      </c>
      <c r="D29" s="87">
        <f t="shared" si="11"/>
        <v>0.53203062358560949</v>
      </c>
      <c r="E29" s="88">
        <v>15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2:33">
      <c r="B30" s="85" t="s">
        <v>223</v>
      </c>
      <c r="C30" s="85">
        <v>126.5</v>
      </c>
      <c r="D30" s="87">
        <f t="shared" si="11"/>
        <v>3.9161783053009262E-2</v>
      </c>
      <c r="E30" s="88">
        <v>10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2:33">
      <c r="B31" s="85" t="s">
        <v>224</v>
      </c>
      <c r="C31" s="85">
        <v>45.09</v>
      </c>
      <c r="D31" s="87">
        <f t="shared" si="11"/>
        <v>1.3958931208380931E-2</v>
      </c>
      <c r="E31" s="88">
        <v>8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>
      <c r="B32" s="85" t="s">
        <v>225</v>
      </c>
      <c r="C32" s="85">
        <v>69.31</v>
      </c>
      <c r="D32" s="87">
        <f t="shared" si="11"/>
        <v>2.1456942161297014E-2</v>
      </c>
      <c r="E32" s="88">
        <v>10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2:33">
      <c r="B33" s="85" t="s">
        <v>226</v>
      </c>
      <c r="C33" s="85">
        <v>37.619999999999997</v>
      </c>
      <c r="D33" s="87">
        <f t="shared" si="11"/>
        <v>1.1646373742721015E-2</v>
      </c>
      <c r="E33" s="88">
        <v>10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2:33" ht="15.75" thickBot="1">
      <c r="B34" s="89" t="s">
        <v>227</v>
      </c>
      <c r="C34" s="89">
        <v>75.73</v>
      </c>
      <c r="D34" s="90">
        <f t="shared" si="11"/>
        <v>2.344444134865132E-2</v>
      </c>
      <c r="E34" s="91">
        <v>5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2:33">
      <c r="B35" s="51"/>
      <c r="C35" s="51"/>
      <c r="D35" s="6"/>
      <c r="E35" s="6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2:33">
      <c r="B36" s="47"/>
      <c r="C36" s="47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2:33">
      <c r="B37" s="47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2:33" ht="15.75" thickBot="1">
      <c r="B38" s="43" t="s">
        <v>259</v>
      </c>
      <c r="C38" s="43">
        <f>SUM(C25:C34)</f>
        <v>3230.19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2:33">
      <c r="B39" s="47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2:33">
      <c r="B40" s="47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2:33" ht="15.75" thickBot="1">
      <c r="B41" s="47"/>
      <c r="C41" s="42"/>
      <c r="D41" s="42"/>
      <c r="E41" s="42"/>
      <c r="F41" s="96"/>
      <c r="G41" s="43" t="s">
        <v>229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2:33">
      <c r="B42" s="47"/>
      <c r="C42" s="42"/>
      <c r="D42" s="42"/>
      <c r="E42" s="42"/>
      <c r="F42" s="96"/>
      <c r="G42" s="47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2:33">
      <c r="B43" s="47"/>
      <c r="C43" s="42"/>
      <c r="D43" s="42"/>
      <c r="E43" s="42"/>
      <c r="F43" s="96"/>
      <c r="G43" s="47" t="s">
        <v>218</v>
      </c>
      <c r="H43" s="56">
        <f>$D25*H$6</f>
        <v>3.6717814588855311</v>
      </c>
      <c r="I43" s="56">
        <f t="shared" ref="I43:L43" si="12">$D25*I$6</f>
        <v>3.9266030075291427</v>
      </c>
      <c r="J43" s="56">
        <f t="shared" si="12"/>
        <v>4.1881225926829693</v>
      </c>
      <c r="K43" s="56">
        <f t="shared" si="12"/>
        <v>4.4820484493069044</v>
      </c>
      <c r="L43" s="56">
        <f t="shared" si="12"/>
        <v>4.791846729226644</v>
      </c>
      <c r="M43" s="47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2:33">
      <c r="B44" s="47"/>
      <c r="C44" s="42"/>
      <c r="D44" s="42"/>
      <c r="E44" s="42"/>
      <c r="F44" s="96"/>
      <c r="G44" s="47" t="s">
        <v>219</v>
      </c>
      <c r="H44" s="56">
        <f t="shared" ref="H44:L44" si="13">$D26*H$6</f>
        <v>7.1795784037183434</v>
      </c>
      <c r="I44" s="56">
        <f t="shared" si="13"/>
        <v>7.6778409795087432</v>
      </c>
      <c r="J44" s="56">
        <f t="shared" si="13"/>
        <v>8.189200488985021</v>
      </c>
      <c r="K44" s="56">
        <f t="shared" si="13"/>
        <v>8.7639252530106369</v>
      </c>
      <c r="L44" s="56">
        <f t="shared" si="13"/>
        <v>9.3696859892980182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2:33">
      <c r="B45" s="47"/>
      <c r="C45" s="42"/>
      <c r="D45" s="42"/>
      <c r="E45" s="42"/>
      <c r="F45" s="96"/>
      <c r="G45" s="47" t="s">
        <v>220</v>
      </c>
      <c r="H45" s="56">
        <f t="shared" ref="H45:L45" si="14">$D27*H$6</f>
        <v>87.827372651401362</v>
      </c>
      <c r="I45" s="56">
        <f t="shared" si="14"/>
        <v>93.922590289741592</v>
      </c>
      <c r="J45" s="56">
        <f t="shared" si="14"/>
        <v>100.17802197001281</v>
      </c>
      <c r="K45" s="56">
        <f t="shared" si="14"/>
        <v>107.20859719096511</v>
      </c>
      <c r="L45" s="56">
        <f t="shared" si="14"/>
        <v>114.61883368840977</v>
      </c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2:33">
      <c r="B46" s="47"/>
      <c r="C46" s="42"/>
      <c r="D46" s="42"/>
      <c r="E46" s="42"/>
      <c r="F46" s="96"/>
      <c r="G46" s="47" t="s">
        <v>221</v>
      </c>
      <c r="H46" s="56">
        <f t="shared" ref="H46:L46" si="15">$D28*H$6</f>
        <v>22.983060354157814</v>
      </c>
      <c r="I46" s="56">
        <f t="shared" si="15"/>
        <v>24.578084213174112</v>
      </c>
      <c r="J46" s="56">
        <f t="shared" si="15"/>
        <v>26.215033600463908</v>
      </c>
      <c r="K46" s="56">
        <f t="shared" si="15"/>
        <v>28.054826022229072</v>
      </c>
      <c r="L46" s="56">
        <f t="shared" si="15"/>
        <v>29.99396990776162</v>
      </c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2:33">
      <c r="B47" s="47"/>
      <c r="C47" s="42"/>
      <c r="D47" s="42"/>
      <c r="E47" s="42"/>
      <c r="F47" s="96"/>
      <c r="G47" s="47" t="s">
        <v>222</v>
      </c>
      <c r="H47" s="56">
        <f t="shared" ref="H47:L47" si="16">$D29*H$6</f>
        <v>180.65206825028108</v>
      </c>
      <c r="I47" s="56">
        <f t="shared" si="16"/>
        <v>193.18931762437111</v>
      </c>
      <c r="J47" s="56">
        <f t="shared" si="16"/>
        <v>206.05611116178767</v>
      </c>
      <c r="K47" s="56">
        <f t="shared" si="16"/>
        <v>220.51729696652944</v>
      </c>
      <c r="L47" s="56">
        <f t="shared" si="16"/>
        <v>235.75940781505128</v>
      </c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2:33">
      <c r="B48" s="47"/>
      <c r="C48" s="42"/>
      <c r="D48" s="42"/>
      <c r="E48" s="42"/>
      <c r="F48" s="96"/>
      <c r="G48" s="47" t="s">
        <v>223</v>
      </c>
      <c r="H48" s="56">
        <f t="shared" ref="H48:L48" si="17">$D30*H$6</f>
        <v>13.297462197223579</v>
      </c>
      <c r="I48" s="56">
        <f t="shared" si="17"/>
        <v>14.220305767318537</v>
      </c>
      <c r="J48" s="56">
        <f t="shared" si="17"/>
        <v>15.167406469350002</v>
      </c>
      <c r="K48" s="56">
        <f t="shared" si="17"/>
        <v>16.231867415898179</v>
      </c>
      <c r="L48" s="56">
        <f t="shared" si="17"/>
        <v>17.353810800090766</v>
      </c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2:33">
      <c r="B49" s="47"/>
      <c r="C49" s="42"/>
      <c r="D49" s="42"/>
      <c r="E49" s="42"/>
      <c r="F49" s="96"/>
      <c r="G49" s="47" t="s">
        <v>224</v>
      </c>
      <c r="H49" s="56">
        <f t="shared" ref="H49:L49" si="18">$D31*H$6</f>
        <v>4.7397831657929741</v>
      </c>
      <c r="I49" s="56">
        <f t="shared" si="18"/>
        <v>5.068724008287691</v>
      </c>
      <c r="J49" s="56">
        <f t="shared" si="18"/>
        <v>5.406311128086891</v>
      </c>
      <c r="K49" s="56">
        <f t="shared" si="18"/>
        <v>5.7857304488762757</v>
      </c>
      <c r="L49" s="56">
        <f t="shared" si="18"/>
        <v>6.1856389642378868</v>
      </c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2:33">
      <c r="B50" s="47"/>
      <c r="C50" s="42"/>
      <c r="D50" s="42"/>
      <c r="E50" s="42"/>
      <c r="F50" s="96"/>
      <c r="G50" s="47" t="s">
        <v>225</v>
      </c>
      <c r="H50" s="56">
        <f t="shared" ref="H50:L50" si="19">$D32*H$6</f>
        <v>7.2857478647396547</v>
      </c>
      <c r="I50" s="56">
        <f t="shared" si="19"/>
        <v>7.7913785986786399</v>
      </c>
      <c r="J50" s="56">
        <f t="shared" si="19"/>
        <v>8.3102999398470256</v>
      </c>
      <c r="K50" s="56">
        <f t="shared" si="19"/>
        <v>8.8935235620229474</v>
      </c>
      <c r="L50" s="56">
        <f t="shared" si="19"/>
        <v>9.5082421071485452</v>
      </c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2:33">
      <c r="B51" s="47"/>
      <c r="C51" s="42"/>
      <c r="D51" s="42"/>
      <c r="E51" s="42"/>
      <c r="F51" s="96"/>
      <c r="G51" s="47" t="s">
        <v>226</v>
      </c>
      <c r="H51" s="56">
        <f>($D33*H$6)+5</f>
        <v>8.9545496273482286</v>
      </c>
      <c r="I51" s="56">
        <f t="shared" ref="I51:L51" si="20">($D33*I$6)+5</f>
        <v>9.2289952803677728</v>
      </c>
      <c r="J51" s="56">
        <f t="shared" si="20"/>
        <v>9.5106547934936536</v>
      </c>
      <c r="K51" s="56">
        <f t="shared" si="20"/>
        <v>9.8272162228149362</v>
      </c>
      <c r="L51" s="56">
        <f t="shared" si="20"/>
        <v>10.160872429244383</v>
      </c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2:33" ht="15.75" thickBot="1">
      <c r="B52" s="47"/>
      <c r="C52" s="42"/>
      <c r="D52" s="42"/>
      <c r="E52" s="42"/>
      <c r="F52" s="96"/>
      <c r="G52" s="101" t="s">
        <v>227</v>
      </c>
      <c r="H52" s="102">
        <f>($D34*H$6)+5</f>
        <v>12.960607211033533</v>
      </c>
      <c r="I52" s="102">
        <f t="shared" ref="I52:L52" si="21">($D34*I$6)+5</f>
        <v>13.513073168055596</v>
      </c>
      <c r="J52" s="102">
        <f t="shared" si="21"/>
        <v>14.080060805722338</v>
      </c>
      <c r="K52" s="102">
        <f t="shared" si="21"/>
        <v>14.71730687277446</v>
      </c>
      <c r="L52" s="102">
        <f t="shared" si="21"/>
        <v>15.38896515328754</v>
      </c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2:33">
      <c r="B53" s="47"/>
      <c r="C53" s="42"/>
      <c r="D53" s="42"/>
      <c r="E53" s="42"/>
      <c r="F53" s="42"/>
      <c r="G53" s="6"/>
      <c r="H53" s="6"/>
      <c r="I53" s="6"/>
      <c r="J53" s="6"/>
      <c r="K53" s="6"/>
      <c r="L53" s="6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2:33">
      <c r="B54" s="47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2:33" ht="15.75" thickBot="1">
      <c r="B55" s="43" t="s">
        <v>220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2:33">
      <c r="B56" s="47" t="s">
        <v>233</v>
      </c>
      <c r="C56" s="42"/>
      <c r="D56" s="93">
        <f>E27</f>
        <v>60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2:33">
      <c r="B57" s="47" t="s">
        <v>220</v>
      </c>
      <c r="C57" s="42"/>
      <c r="D57" s="42">
        <f>C27</f>
        <v>835.51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2:33">
      <c r="B58" s="47" t="s">
        <v>234</v>
      </c>
      <c r="C58" s="42"/>
      <c r="D58" s="42"/>
      <c r="E58" s="42"/>
      <c r="F58" s="42"/>
      <c r="G58" s="42"/>
      <c r="H58" s="56">
        <f>$D$57/$D$56</f>
        <v>13.925166666666666</v>
      </c>
      <c r="I58" s="56">
        <f t="shared" ref="I58:L58" si="22">$D$57/$D$56</f>
        <v>13.925166666666666</v>
      </c>
      <c r="J58" s="56">
        <f t="shared" si="22"/>
        <v>13.925166666666666</v>
      </c>
      <c r="K58" s="56">
        <f t="shared" si="22"/>
        <v>13.925166666666666</v>
      </c>
      <c r="L58" s="56">
        <f t="shared" si="22"/>
        <v>13.925166666666666</v>
      </c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2:33">
      <c r="B59" s="47"/>
      <c r="C59" s="42"/>
      <c r="D59" s="42"/>
      <c r="E59" s="42"/>
      <c r="F59" s="42"/>
      <c r="G59" s="42"/>
      <c r="H59" s="56"/>
      <c r="I59" s="56"/>
      <c r="J59" s="56"/>
      <c r="K59" s="56"/>
      <c r="L59" s="56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2:33">
      <c r="B60" s="47"/>
      <c r="C60" s="42"/>
      <c r="D60" s="84" t="s">
        <v>242</v>
      </c>
      <c r="E60" s="84" t="s">
        <v>233</v>
      </c>
      <c r="F60" s="42"/>
      <c r="G60" s="42"/>
      <c r="H60" s="56"/>
      <c r="I60" s="56"/>
      <c r="J60" s="56"/>
      <c r="K60" s="56"/>
      <c r="L60" s="56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2:33">
      <c r="B61" s="69" t="s">
        <v>237</v>
      </c>
      <c r="C61" s="42"/>
      <c r="D61" s="94">
        <f t="array" ref="D61:D65">TRANSPOSE(H45:L45)</f>
        <v>87.827372651401362</v>
      </c>
      <c r="E61" s="97">
        <f>$D$56</f>
        <v>60</v>
      </c>
      <c r="F61" s="42"/>
      <c r="G61" s="42"/>
      <c r="H61" s="56">
        <f>$D61/$E61</f>
        <v>1.4637895441900226</v>
      </c>
      <c r="I61" s="56">
        <f t="shared" ref="I61:L65" si="23">$D61/$E61</f>
        <v>1.4637895441900226</v>
      </c>
      <c r="J61" s="56">
        <f t="shared" si="23"/>
        <v>1.4637895441900226</v>
      </c>
      <c r="K61" s="56">
        <f t="shared" si="23"/>
        <v>1.4637895441900226</v>
      </c>
      <c r="L61" s="56">
        <f t="shared" si="23"/>
        <v>1.4637895441900226</v>
      </c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2:33">
      <c r="B62" s="69" t="s">
        <v>238</v>
      </c>
      <c r="C62" s="42"/>
      <c r="D62" s="42">
        <v>93.922590289741592</v>
      </c>
      <c r="E62" s="93">
        <f t="shared" ref="E62:E65" si="24">$D$56</f>
        <v>60</v>
      </c>
      <c r="F62" s="42"/>
      <c r="G62" s="42"/>
      <c r="H62" s="56"/>
      <c r="I62" s="56">
        <f t="shared" si="23"/>
        <v>1.5653765048290265</v>
      </c>
      <c r="J62" s="56">
        <f t="shared" si="23"/>
        <v>1.5653765048290265</v>
      </c>
      <c r="K62" s="56">
        <f t="shared" si="23"/>
        <v>1.5653765048290265</v>
      </c>
      <c r="L62" s="56">
        <f t="shared" si="23"/>
        <v>1.5653765048290265</v>
      </c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2:33">
      <c r="B63" s="69" t="s">
        <v>239</v>
      </c>
      <c r="C63" s="42"/>
      <c r="D63" s="42">
        <v>100.17802197001281</v>
      </c>
      <c r="E63" s="93">
        <f t="shared" si="24"/>
        <v>60</v>
      </c>
      <c r="F63" s="42"/>
      <c r="G63" s="42"/>
      <c r="H63" s="56"/>
      <c r="I63" s="56"/>
      <c r="J63" s="56">
        <f t="shared" si="23"/>
        <v>1.6696336995002135</v>
      </c>
      <c r="K63" s="56">
        <f t="shared" si="23"/>
        <v>1.6696336995002135</v>
      </c>
      <c r="L63" s="56">
        <f t="shared" si="23"/>
        <v>1.6696336995002135</v>
      </c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2:33">
      <c r="B64" s="69" t="s">
        <v>240</v>
      </c>
      <c r="C64" s="42"/>
      <c r="D64" s="42">
        <v>107.20859719096511</v>
      </c>
      <c r="E64" s="93">
        <f t="shared" si="24"/>
        <v>60</v>
      </c>
      <c r="F64" s="42"/>
      <c r="G64" s="42"/>
      <c r="H64" s="56"/>
      <c r="I64" s="56"/>
      <c r="J64" s="56"/>
      <c r="K64" s="56">
        <f t="shared" si="23"/>
        <v>1.7868099531827517</v>
      </c>
      <c r="L64" s="56">
        <f t="shared" si="23"/>
        <v>1.7868099531827517</v>
      </c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2:33" ht="15.75" thickBot="1">
      <c r="B65" s="98" t="s">
        <v>241</v>
      </c>
      <c r="C65" s="42"/>
      <c r="D65" s="42">
        <v>114.61883368840977</v>
      </c>
      <c r="E65" s="93">
        <f t="shared" si="24"/>
        <v>60</v>
      </c>
      <c r="F65" s="42"/>
      <c r="G65" s="42"/>
      <c r="H65" s="56"/>
      <c r="I65" s="56"/>
      <c r="J65" s="56"/>
      <c r="K65" s="56"/>
      <c r="L65" s="56">
        <f t="shared" si="23"/>
        <v>1.9103138948068294</v>
      </c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2:33">
      <c r="B66" s="83" t="s">
        <v>243</v>
      </c>
      <c r="C66" s="42"/>
      <c r="D66" s="42"/>
      <c r="E66" s="42"/>
      <c r="F66" s="42"/>
      <c r="G66" s="42"/>
      <c r="H66" s="41">
        <f>SUM(H61:H65,H58)</f>
        <v>15.388956210856689</v>
      </c>
      <c r="I66" s="41">
        <f t="shared" ref="I66:L66" si="25">SUM(I61:I65,I58)</f>
        <v>16.954332715685716</v>
      </c>
      <c r="J66" s="41">
        <f t="shared" si="25"/>
        <v>18.623966415185929</v>
      </c>
      <c r="K66" s="41">
        <f t="shared" si="25"/>
        <v>20.41077636836868</v>
      </c>
      <c r="L66" s="41">
        <f t="shared" si="25"/>
        <v>22.32109026317551</v>
      </c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2:33">
      <c r="B67" s="47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2:33">
      <c r="B68" s="47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spans="2:33">
      <c r="B69" s="47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spans="2:33" ht="15.75" thickBot="1">
      <c r="B70" s="43" t="s">
        <v>221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spans="2:33">
      <c r="B71" s="47" t="s">
        <v>233</v>
      </c>
      <c r="C71" s="42"/>
      <c r="D71" s="93">
        <f>E28</f>
        <v>60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spans="2:33">
      <c r="B72" s="47" t="s">
        <v>220</v>
      </c>
      <c r="C72" s="42"/>
      <c r="D72" s="42">
        <f>C28</f>
        <v>218.64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spans="2:33">
      <c r="B73" s="47" t="s">
        <v>234</v>
      </c>
      <c r="C73" s="42"/>
      <c r="D73" s="42"/>
      <c r="E73" s="42"/>
      <c r="F73" s="42"/>
      <c r="G73" s="42"/>
      <c r="H73" s="56">
        <f>$D$72/$D$71</f>
        <v>3.6439999999999997</v>
      </c>
      <c r="I73" s="56">
        <f t="shared" ref="I73:L73" si="26">$D$72/$D$71</f>
        <v>3.6439999999999997</v>
      </c>
      <c r="J73" s="56">
        <f t="shared" si="26"/>
        <v>3.6439999999999997</v>
      </c>
      <c r="K73" s="56">
        <f t="shared" si="26"/>
        <v>3.6439999999999997</v>
      </c>
      <c r="L73" s="56">
        <f t="shared" si="26"/>
        <v>3.6439999999999997</v>
      </c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spans="2:33">
      <c r="B74" s="47"/>
      <c r="C74" s="42"/>
      <c r="D74" s="42"/>
      <c r="E74" s="42"/>
      <c r="F74" s="42"/>
      <c r="G74" s="42"/>
      <c r="H74" s="56"/>
      <c r="I74" s="56"/>
      <c r="J74" s="56"/>
      <c r="K74" s="56"/>
      <c r="L74" s="56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spans="2:33">
      <c r="B75" s="47"/>
      <c r="C75" s="42"/>
      <c r="D75" s="84" t="s">
        <v>242</v>
      </c>
      <c r="E75" s="84" t="s">
        <v>233</v>
      </c>
      <c r="F75" s="42"/>
      <c r="G75" s="42"/>
      <c r="H75" s="56"/>
      <c r="I75" s="56"/>
      <c r="J75" s="56"/>
      <c r="K75" s="56"/>
      <c r="L75" s="56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spans="2:33">
      <c r="B76" s="69" t="s">
        <v>237</v>
      </c>
      <c r="C76" s="42"/>
      <c r="D76" s="94">
        <f t="array" ref="D76:D80">TRANSPOSE(H46:L46)</f>
        <v>22.983060354157814</v>
      </c>
      <c r="E76" s="97">
        <f>$D$71</f>
        <v>60</v>
      </c>
      <c r="F76" s="42"/>
      <c r="G76" s="42"/>
      <c r="H76" s="56">
        <f>$D76/$E76</f>
        <v>0.38305100590263025</v>
      </c>
      <c r="I76" s="56">
        <f t="shared" ref="I76:L80" si="27">$D76/$E76</f>
        <v>0.38305100590263025</v>
      </c>
      <c r="J76" s="56">
        <f t="shared" si="27"/>
        <v>0.38305100590263025</v>
      </c>
      <c r="K76" s="56">
        <f t="shared" si="27"/>
        <v>0.38305100590263025</v>
      </c>
      <c r="L76" s="56">
        <f t="shared" si="27"/>
        <v>0.38305100590263025</v>
      </c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spans="2:33">
      <c r="B77" s="69" t="s">
        <v>238</v>
      </c>
      <c r="C77" s="42"/>
      <c r="D77" s="42">
        <v>24.578084213174112</v>
      </c>
      <c r="E77" s="93">
        <f t="shared" ref="E77:E80" si="28">$D$71</f>
        <v>60</v>
      </c>
      <c r="F77" s="42"/>
      <c r="G77" s="42"/>
      <c r="H77" s="56"/>
      <c r="I77" s="56">
        <f t="shared" si="27"/>
        <v>0.4096347368862352</v>
      </c>
      <c r="J77" s="56">
        <f t="shared" si="27"/>
        <v>0.4096347368862352</v>
      </c>
      <c r="K77" s="56">
        <f t="shared" si="27"/>
        <v>0.4096347368862352</v>
      </c>
      <c r="L77" s="56">
        <f t="shared" si="27"/>
        <v>0.4096347368862352</v>
      </c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spans="2:33">
      <c r="B78" s="69" t="s">
        <v>239</v>
      </c>
      <c r="C78" s="42"/>
      <c r="D78" s="42">
        <v>26.215033600463908</v>
      </c>
      <c r="E78" s="93">
        <f t="shared" si="28"/>
        <v>60</v>
      </c>
      <c r="F78" s="42"/>
      <c r="G78" s="42"/>
      <c r="H78" s="56"/>
      <c r="I78" s="56"/>
      <c r="J78" s="56">
        <f t="shared" si="27"/>
        <v>0.43691722667439847</v>
      </c>
      <c r="K78" s="56">
        <f t="shared" si="27"/>
        <v>0.43691722667439847</v>
      </c>
      <c r="L78" s="56">
        <f t="shared" si="27"/>
        <v>0.43691722667439847</v>
      </c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2:33">
      <c r="B79" s="69" t="s">
        <v>240</v>
      </c>
      <c r="C79" s="42"/>
      <c r="D79" s="42">
        <v>28.054826022229072</v>
      </c>
      <c r="E79" s="93">
        <f t="shared" si="28"/>
        <v>60</v>
      </c>
      <c r="F79" s="42"/>
      <c r="G79" s="42"/>
      <c r="H79" s="56"/>
      <c r="I79" s="56"/>
      <c r="J79" s="56"/>
      <c r="K79" s="56">
        <f t="shared" si="27"/>
        <v>0.46758043370381785</v>
      </c>
      <c r="L79" s="56">
        <f t="shared" si="27"/>
        <v>0.46758043370381785</v>
      </c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spans="2:33" ht="15.75" thickBot="1">
      <c r="B80" s="98" t="s">
        <v>241</v>
      </c>
      <c r="C80" s="42"/>
      <c r="D80" s="42">
        <v>29.99396990776162</v>
      </c>
      <c r="E80" s="93">
        <f t="shared" si="28"/>
        <v>60</v>
      </c>
      <c r="F80" s="42"/>
      <c r="G80" s="42"/>
      <c r="H80" s="56"/>
      <c r="I80" s="56"/>
      <c r="J80" s="56"/>
      <c r="K80" s="56"/>
      <c r="L80" s="56">
        <f t="shared" si="27"/>
        <v>0.49989949846269366</v>
      </c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spans="2:33">
      <c r="B81" s="83" t="s">
        <v>244</v>
      </c>
      <c r="C81" s="42"/>
      <c r="D81" s="42"/>
      <c r="E81" s="42"/>
      <c r="F81" s="42"/>
      <c r="G81" s="42"/>
      <c r="H81" s="41">
        <f>SUM(H76:H80,H73)</f>
        <v>4.0270510059026297</v>
      </c>
      <c r="I81" s="41">
        <f t="shared" ref="I81:L81" si="29">SUM(I76:I80,I73)</f>
        <v>4.4366857427888649</v>
      </c>
      <c r="J81" s="41">
        <f t="shared" si="29"/>
        <v>4.8736029694632634</v>
      </c>
      <c r="K81" s="41">
        <f t="shared" si="29"/>
        <v>5.3411834031670811</v>
      </c>
      <c r="L81" s="41">
        <f t="shared" si="29"/>
        <v>5.8410829016297754</v>
      </c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spans="2:33">
      <c r="B82" s="47"/>
      <c r="C82" s="42"/>
      <c r="D82" s="42"/>
      <c r="E82" s="42"/>
      <c r="F82" s="42"/>
      <c r="G82" s="42"/>
      <c r="H82" s="56"/>
      <c r="I82" s="56"/>
      <c r="J82" s="56"/>
      <c r="K82" s="56"/>
      <c r="L82" s="56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spans="2:33">
      <c r="B83" s="47"/>
      <c r="C83" s="42"/>
      <c r="D83" s="42"/>
      <c r="E83" s="42"/>
      <c r="F83" s="42"/>
      <c r="G83" s="42"/>
      <c r="H83" s="56"/>
      <c r="I83" s="56"/>
      <c r="J83" s="56"/>
      <c r="K83" s="56"/>
      <c r="L83" s="56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spans="2:33">
      <c r="B84" s="47"/>
      <c r="C84" s="42"/>
      <c r="D84" s="42"/>
      <c r="E84" s="42"/>
      <c r="F84" s="42"/>
      <c r="G84" s="42"/>
      <c r="H84" s="56"/>
      <c r="I84" s="56"/>
      <c r="J84" s="56"/>
      <c r="K84" s="56"/>
      <c r="L84" s="56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spans="2:33" ht="15.75" thickBot="1">
      <c r="B85" s="43" t="s">
        <v>222</v>
      </c>
      <c r="C85" s="42"/>
      <c r="D85" s="42"/>
      <c r="E85" s="42"/>
      <c r="F85" s="42"/>
      <c r="G85" s="42"/>
      <c r="H85" s="56"/>
      <c r="I85" s="56"/>
      <c r="J85" s="56"/>
      <c r="K85" s="56"/>
      <c r="L85" s="56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spans="2:33">
      <c r="B86" s="47" t="s">
        <v>233</v>
      </c>
      <c r="C86" s="42"/>
      <c r="D86" s="42">
        <f>E29</f>
        <v>15</v>
      </c>
      <c r="E86" s="42"/>
      <c r="F86" s="42"/>
      <c r="G86" s="42"/>
      <c r="H86" s="56"/>
      <c r="I86" s="56"/>
      <c r="J86" s="56"/>
      <c r="K86" s="56"/>
      <c r="L86" s="56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2:33">
      <c r="B87" s="47" t="s">
        <v>220</v>
      </c>
      <c r="C87" s="42"/>
      <c r="D87" s="42">
        <f>C29</f>
        <v>1718.56</v>
      </c>
      <c r="E87" s="42"/>
      <c r="F87" s="42"/>
      <c r="G87" s="42"/>
      <c r="H87" s="56"/>
      <c r="I87" s="56"/>
      <c r="J87" s="56"/>
      <c r="K87" s="56"/>
      <c r="L87" s="56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2:33">
      <c r="B88" s="47" t="s">
        <v>234</v>
      </c>
      <c r="C88" s="42"/>
      <c r="D88" s="42"/>
      <c r="E88" s="42"/>
      <c r="F88" s="42"/>
      <c r="G88" s="42"/>
      <c r="H88" s="56">
        <f>$D$87/$D$86</f>
        <v>114.57066666666667</v>
      </c>
      <c r="I88" s="56">
        <f t="shared" ref="I88:L88" si="30">$D$87/$D$86</f>
        <v>114.57066666666667</v>
      </c>
      <c r="J88" s="56">
        <f t="shared" si="30"/>
        <v>114.57066666666667</v>
      </c>
      <c r="K88" s="56">
        <f t="shared" si="30"/>
        <v>114.57066666666667</v>
      </c>
      <c r="L88" s="56">
        <f t="shared" si="30"/>
        <v>114.57066666666667</v>
      </c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spans="2:33">
      <c r="B89" s="47"/>
      <c r="C89" s="42"/>
      <c r="D89" s="42"/>
      <c r="E89" s="42"/>
      <c r="F89" s="42"/>
      <c r="G89" s="42"/>
      <c r="H89" s="56"/>
      <c r="I89" s="56"/>
      <c r="J89" s="56"/>
      <c r="K89" s="56"/>
      <c r="L89" s="56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2:33">
      <c r="B90" s="47"/>
      <c r="C90" s="42"/>
      <c r="D90" s="84" t="s">
        <v>242</v>
      </c>
      <c r="E90" s="84" t="s">
        <v>233</v>
      </c>
      <c r="F90" s="42"/>
      <c r="G90" s="42"/>
      <c r="H90" s="56"/>
      <c r="I90" s="56"/>
      <c r="J90" s="56"/>
      <c r="K90" s="56"/>
      <c r="L90" s="56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2:33">
      <c r="B91" s="69" t="s">
        <v>237</v>
      </c>
      <c r="C91" s="42"/>
      <c r="D91" s="94">
        <f t="array" ref="D91:D95">TRANSPOSE(H47:L47)</f>
        <v>180.65206825028108</v>
      </c>
      <c r="E91" s="93">
        <f>$D$86</f>
        <v>15</v>
      </c>
      <c r="F91" s="42"/>
      <c r="G91" s="42"/>
      <c r="H91" s="56">
        <f>$D91/$E91</f>
        <v>12.043471216685406</v>
      </c>
      <c r="I91" s="56">
        <f t="shared" ref="I91:L95" si="31">$D91/$E91</f>
        <v>12.043471216685406</v>
      </c>
      <c r="J91" s="56">
        <f t="shared" si="31"/>
        <v>12.043471216685406</v>
      </c>
      <c r="K91" s="56">
        <f t="shared" si="31"/>
        <v>12.043471216685406</v>
      </c>
      <c r="L91" s="56">
        <f t="shared" si="31"/>
        <v>12.043471216685406</v>
      </c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2:33">
      <c r="B92" s="69" t="s">
        <v>238</v>
      </c>
      <c r="C92" s="42"/>
      <c r="D92" s="42">
        <v>193.18931762437111</v>
      </c>
      <c r="E92" s="93">
        <f t="shared" ref="E92:E95" si="32">$D$86</f>
        <v>15</v>
      </c>
      <c r="F92" s="42"/>
      <c r="G92" s="42"/>
      <c r="H92" s="56"/>
      <c r="I92" s="56">
        <f t="shared" si="31"/>
        <v>12.879287841624741</v>
      </c>
      <c r="J92" s="56">
        <f t="shared" si="31"/>
        <v>12.879287841624741</v>
      </c>
      <c r="K92" s="56">
        <f t="shared" si="31"/>
        <v>12.879287841624741</v>
      </c>
      <c r="L92" s="56">
        <f t="shared" si="31"/>
        <v>12.879287841624741</v>
      </c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2:33">
      <c r="B93" s="69" t="s">
        <v>239</v>
      </c>
      <c r="C93" s="42"/>
      <c r="D93" s="42">
        <v>206.05611116178767</v>
      </c>
      <c r="E93" s="93">
        <f t="shared" si="32"/>
        <v>15</v>
      </c>
      <c r="F93" s="42"/>
      <c r="G93" s="42"/>
      <c r="H93" s="56"/>
      <c r="I93" s="56"/>
      <c r="J93" s="56">
        <f t="shared" si="31"/>
        <v>13.737074077452512</v>
      </c>
      <c r="K93" s="56">
        <f t="shared" si="31"/>
        <v>13.737074077452512</v>
      </c>
      <c r="L93" s="56">
        <f t="shared" si="31"/>
        <v>13.737074077452512</v>
      </c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spans="2:33">
      <c r="B94" s="69" t="s">
        <v>240</v>
      </c>
      <c r="C94" s="42"/>
      <c r="D94" s="42">
        <v>220.51729696652944</v>
      </c>
      <c r="E94" s="93">
        <f t="shared" si="32"/>
        <v>15</v>
      </c>
      <c r="F94" s="42"/>
      <c r="G94" s="42"/>
      <c r="H94" s="56"/>
      <c r="I94" s="56"/>
      <c r="J94" s="56"/>
      <c r="K94" s="56">
        <f t="shared" si="31"/>
        <v>14.701153131101963</v>
      </c>
      <c r="L94" s="56">
        <f t="shared" si="31"/>
        <v>14.701153131101963</v>
      </c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2:33" ht="15.75" thickBot="1">
      <c r="B95" s="98" t="s">
        <v>241</v>
      </c>
      <c r="C95" s="42"/>
      <c r="D95" s="42">
        <v>235.75940781505128</v>
      </c>
      <c r="E95" s="93">
        <f t="shared" si="32"/>
        <v>15</v>
      </c>
      <c r="F95" s="42"/>
      <c r="G95" s="42"/>
      <c r="H95" s="56"/>
      <c r="I95" s="56"/>
      <c r="J95" s="56"/>
      <c r="K95" s="56"/>
      <c r="L95" s="56">
        <f t="shared" si="31"/>
        <v>15.717293854336752</v>
      </c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2:33">
      <c r="B96" s="83" t="s">
        <v>245</v>
      </c>
      <c r="C96" s="42"/>
      <c r="D96" s="42"/>
      <c r="E96" s="42"/>
      <c r="F96" s="42"/>
      <c r="G96" s="42"/>
      <c r="H96" s="41">
        <f>SUM(H91:H95,H88)</f>
        <v>126.61413788335207</v>
      </c>
      <c r="I96" s="41">
        <f t="shared" ref="I96" si="33">SUM(I91:I95,I88)</f>
        <v>139.49342572497682</v>
      </c>
      <c r="J96" s="41">
        <f t="shared" ref="J96" si="34">SUM(J91:J95,J88)</f>
        <v>153.23049980242934</v>
      </c>
      <c r="K96" s="41">
        <f t="shared" ref="K96" si="35">SUM(K91:K95,K88)</f>
        <v>167.9316529335313</v>
      </c>
      <c r="L96" s="41">
        <f t="shared" ref="L96" si="36">SUM(L91:L95,L88)</f>
        <v>183.64894678786806</v>
      </c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2:33">
      <c r="B97" s="47"/>
      <c r="C97" s="42"/>
      <c r="D97" s="42"/>
      <c r="E97" s="42"/>
      <c r="F97" s="42"/>
      <c r="G97" s="42"/>
      <c r="H97" s="56"/>
      <c r="I97" s="56"/>
      <c r="J97" s="56"/>
      <c r="K97" s="56"/>
      <c r="L97" s="56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spans="2:33">
      <c r="B98" s="47"/>
      <c r="C98" s="42"/>
      <c r="D98" s="42"/>
      <c r="E98" s="42"/>
      <c r="F98" s="42"/>
      <c r="G98" s="42"/>
      <c r="H98" s="56"/>
      <c r="I98" s="56"/>
      <c r="J98" s="56"/>
      <c r="K98" s="56"/>
      <c r="L98" s="56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2:33">
      <c r="B99" s="47"/>
      <c r="C99" s="42"/>
      <c r="D99" s="42"/>
      <c r="E99" s="42"/>
      <c r="F99" s="42"/>
      <c r="G99" s="42"/>
      <c r="H99" s="56"/>
      <c r="I99" s="56"/>
      <c r="J99" s="56"/>
      <c r="K99" s="56"/>
      <c r="L99" s="56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spans="2:33" ht="15.75" thickBot="1">
      <c r="B100" s="43" t="s">
        <v>223</v>
      </c>
      <c r="C100" s="42"/>
      <c r="D100" s="42"/>
      <c r="E100" s="42"/>
      <c r="F100" s="42"/>
      <c r="G100" s="42"/>
      <c r="H100" s="56"/>
      <c r="I100" s="56"/>
      <c r="J100" s="56"/>
      <c r="K100" s="56"/>
      <c r="L100" s="56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spans="2:33">
      <c r="B101" s="47" t="s">
        <v>233</v>
      </c>
      <c r="C101" s="42"/>
      <c r="D101" s="42">
        <f>E30</f>
        <v>10</v>
      </c>
      <c r="E101" s="42"/>
      <c r="F101" s="42"/>
      <c r="G101" s="42"/>
      <c r="H101" s="56"/>
      <c r="I101" s="56"/>
      <c r="J101" s="56"/>
      <c r="K101" s="56"/>
      <c r="L101" s="56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spans="2:33">
      <c r="B102" s="47" t="s">
        <v>220</v>
      </c>
      <c r="C102" s="42"/>
      <c r="D102" s="42">
        <f>C30</f>
        <v>126.5</v>
      </c>
      <c r="E102" s="42"/>
      <c r="F102" s="42"/>
      <c r="G102" s="42"/>
      <c r="H102" s="56"/>
      <c r="I102" s="56"/>
      <c r="J102" s="56"/>
      <c r="K102" s="56"/>
      <c r="L102" s="56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2:33">
      <c r="B103" s="47" t="s">
        <v>234</v>
      </c>
      <c r="C103" s="42"/>
      <c r="D103" s="42"/>
      <c r="E103" s="42"/>
      <c r="F103" s="42"/>
      <c r="G103" s="42"/>
      <c r="H103" s="56">
        <f>$D$102/$D$101</f>
        <v>12.65</v>
      </c>
      <c r="I103" s="56">
        <f t="shared" ref="I103:L103" si="37">$D$102/$D$101</f>
        <v>12.65</v>
      </c>
      <c r="J103" s="56">
        <f t="shared" si="37"/>
        <v>12.65</v>
      </c>
      <c r="K103" s="56">
        <f t="shared" si="37"/>
        <v>12.65</v>
      </c>
      <c r="L103" s="56">
        <f t="shared" si="37"/>
        <v>12.65</v>
      </c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2:33">
      <c r="B104" s="47"/>
      <c r="C104" s="42"/>
      <c r="D104" s="42"/>
      <c r="E104" s="42"/>
      <c r="F104" s="42"/>
      <c r="G104" s="42"/>
      <c r="H104" s="56"/>
      <c r="I104" s="56"/>
      <c r="J104" s="56"/>
      <c r="K104" s="56"/>
      <c r="L104" s="56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2:33">
      <c r="B105" s="47"/>
      <c r="C105" s="42"/>
      <c r="D105" s="84" t="s">
        <v>242</v>
      </c>
      <c r="E105" s="84" t="s">
        <v>233</v>
      </c>
      <c r="F105" s="42"/>
      <c r="G105" s="42"/>
      <c r="H105" s="56"/>
      <c r="I105" s="56"/>
      <c r="J105" s="56"/>
      <c r="K105" s="56"/>
      <c r="L105" s="56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spans="2:33">
      <c r="B106" s="69" t="s">
        <v>237</v>
      </c>
      <c r="C106" s="42"/>
      <c r="D106" s="94">
        <f t="array" ref="D106:D110">TRANSPOSE(H48:L48)</f>
        <v>13.297462197223579</v>
      </c>
      <c r="E106" s="93">
        <f>$D$101</f>
        <v>10</v>
      </c>
      <c r="F106" s="42"/>
      <c r="G106" s="42"/>
      <c r="H106" s="56">
        <f>$D106/$E106</f>
        <v>1.329746219722358</v>
      </c>
      <c r="I106" s="56">
        <f t="shared" ref="I106:L110" si="38">$D106/$E106</f>
        <v>1.329746219722358</v>
      </c>
      <c r="J106" s="56">
        <f t="shared" si="38"/>
        <v>1.329746219722358</v>
      </c>
      <c r="K106" s="56">
        <f t="shared" si="38"/>
        <v>1.329746219722358</v>
      </c>
      <c r="L106" s="56">
        <f t="shared" si="38"/>
        <v>1.329746219722358</v>
      </c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2:33">
      <c r="B107" s="69" t="s">
        <v>238</v>
      </c>
      <c r="C107" s="42"/>
      <c r="D107" s="42">
        <v>14.220305767318537</v>
      </c>
      <c r="E107" s="93">
        <f t="shared" ref="E107:E110" si="39">$D$101</f>
        <v>10</v>
      </c>
      <c r="F107" s="42"/>
      <c r="G107" s="42"/>
      <c r="H107" s="56"/>
      <c r="I107" s="56">
        <f t="shared" si="38"/>
        <v>1.4220305767318537</v>
      </c>
      <c r="J107" s="56">
        <f t="shared" si="38"/>
        <v>1.4220305767318537</v>
      </c>
      <c r="K107" s="56">
        <f t="shared" si="38"/>
        <v>1.4220305767318537</v>
      </c>
      <c r="L107" s="56">
        <f t="shared" si="38"/>
        <v>1.4220305767318537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spans="2:33">
      <c r="B108" s="69" t="s">
        <v>239</v>
      </c>
      <c r="C108" s="42"/>
      <c r="D108" s="42">
        <v>15.167406469350002</v>
      </c>
      <c r="E108" s="93">
        <f t="shared" si="39"/>
        <v>10</v>
      </c>
      <c r="F108" s="42"/>
      <c r="G108" s="42"/>
      <c r="H108" s="56"/>
      <c r="I108" s="56"/>
      <c r="J108" s="56">
        <f t="shared" si="38"/>
        <v>1.5167406469350002</v>
      </c>
      <c r="K108" s="56">
        <f t="shared" si="38"/>
        <v>1.5167406469350002</v>
      </c>
      <c r="L108" s="56">
        <f t="shared" si="38"/>
        <v>1.5167406469350002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spans="2:33">
      <c r="B109" s="69" t="s">
        <v>240</v>
      </c>
      <c r="C109" s="42"/>
      <c r="D109" s="42">
        <v>16.231867415898179</v>
      </c>
      <c r="E109" s="93">
        <f t="shared" si="39"/>
        <v>10</v>
      </c>
      <c r="F109" s="42"/>
      <c r="G109" s="42"/>
      <c r="H109" s="56"/>
      <c r="I109" s="56"/>
      <c r="J109" s="56"/>
      <c r="K109" s="56">
        <f t="shared" si="38"/>
        <v>1.623186741589818</v>
      </c>
      <c r="L109" s="56">
        <f t="shared" si="38"/>
        <v>1.623186741589818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 spans="2:33" ht="15.75" thickBot="1">
      <c r="B110" s="98" t="s">
        <v>241</v>
      </c>
      <c r="C110" s="42"/>
      <c r="D110" s="42">
        <v>17.353810800090766</v>
      </c>
      <c r="E110" s="93">
        <f t="shared" si="39"/>
        <v>10</v>
      </c>
      <c r="F110" s="42"/>
      <c r="G110" s="42"/>
      <c r="H110" s="56"/>
      <c r="I110" s="56"/>
      <c r="J110" s="56"/>
      <c r="K110" s="56"/>
      <c r="L110" s="56">
        <f t="shared" si="38"/>
        <v>1.7353810800090765</v>
      </c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spans="2:33">
      <c r="B111" s="83" t="s">
        <v>246</v>
      </c>
      <c r="C111" s="42"/>
      <c r="D111" s="42"/>
      <c r="E111" s="42"/>
      <c r="F111" s="42"/>
      <c r="G111" s="42"/>
      <c r="H111" s="41">
        <f>SUM(H106:H110,H103)</f>
        <v>13.979746219722358</v>
      </c>
      <c r="I111" s="41">
        <f t="shared" ref="I111" si="40">SUM(I106:I110,I103)</f>
        <v>15.401776796454211</v>
      </c>
      <c r="J111" s="41">
        <f t="shared" ref="J111" si="41">SUM(J106:J110,J103)</f>
        <v>16.918517443389213</v>
      </c>
      <c r="K111" s="41">
        <f t="shared" ref="K111" si="42">SUM(K106:K110,K103)</f>
        <v>18.541704184979032</v>
      </c>
      <c r="L111" s="41">
        <f t="shared" ref="L111" si="43">SUM(L106:L110,L103)</f>
        <v>20.277085264988109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 spans="2:33">
      <c r="B112" s="47"/>
      <c r="C112" s="42"/>
      <c r="D112" s="42"/>
      <c r="E112" s="42"/>
      <c r="F112" s="42"/>
      <c r="G112" s="42"/>
      <c r="H112" s="56"/>
      <c r="I112" s="56"/>
      <c r="J112" s="56"/>
      <c r="K112" s="56"/>
      <c r="L112" s="56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</row>
    <row r="113" spans="2:33">
      <c r="B113" s="47"/>
      <c r="C113" s="42"/>
      <c r="D113" s="42"/>
      <c r="E113" s="42"/>
      <c r="F113" s="42"/>
      <c r="G113" s="42"/>
      <c r="H113" s="56"/>
      <c r="I113" s="56"/>
      <c r="J113" s="56"/>
      <c r="K113" s="56"/>
      <c r="L113" s="56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 spans="2:33">
      <c r="B114" s="47"/>
      <c r="C114" s="42"/>
      <c r="D114" s="42"/>
      <c r="E114" s="42"/>
      <c r="F114" s="42"/>
      <c r="G114" s="42"/>
      <c r="H114" s="56"/>
      <c r="I114" s="56"/>
      <c r="J114" s="56"/>
      <c r="K114" s="56"/>
      <c r="L114" s="56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</row>
    <row r="115" spans="2:33" ht="15.75" thickBot="1">
      <c r="B115" s="43" t="s">
        <v>247</v>
      </c>
      <c r="C115" s="42"/>
      <c r="D115" s="42"/>
      <c r="E115" s="42"/>
      <c r="F115" s="42"/>
      <c r="G115" s="42"/>
      <c r="H115" s="56"/>
      <c r="I115" s="56"/>
      <c r="J115" s="56"/>
      <c r="K115" s="56"/>
      <c r="L115" s="56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</row>
    <row r="116" spans="2:33">
      <c r="B116" s="47" t="s">
        <v>233</v>
      </c>
      <c r="C116" s="42"/>
      <c r="D116" s="42">
        <f>E31</f>
        <v>8</v>
      </c>
      <c r="E116" s="42"/>
      <c r="F116" s="42"/>
      <c r="G116" s="42"/>
      <c r="H116" s="56"/>
      <c r="I116" s="56"/>
      <c r="J116" s="56"/>
      <c r="K116" s="56"/>
      <c r="L116" s="56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</row>
    <row r="117" spans="2:33">
      <c r="B117" s="47" t="s">
        <v>220</v>
      </c>
      <c r="C117" s="42"/>
      <c r="D117" s="42">
        <f>C31</f>
        <v>45.09</v>
      </c>
      <c r="E117" s="42"/>
      <c r="F117" s="42"/>
      <c r="G117" s="42"/>
      <c r="H117" s="56"/>
      <c r="I117" s="56"/>
      <c r="J117" s="56"/>
      <c r="K117" s="56"/>
      <c r="L117" s="56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</row>
    <row r="118" spans="2:33">
      <c r="B118" s="47" t="s">
        <v>234</v>
      </c>
      <c r="C118" s="42"/>
      <c r="D118" s="42"/>
      <c r="E118" s="42"/>
      <c r="F118" s="42"/>
      <c r="G118" s="42"/>
      <c r="H118" s="56">
        <f>$D$117/$D$116</f>
        <v>5.6362500000000004</v>
      </c>
      <c r="I118" s="56">
        <f t="shared" ref="I118:L118" si="44">$D$117/$D$116</f>
        <v>5.6362500000000004</v>
      </c>
      <c r="J118" s="56">
        <f t="shared" si="44"/>
        <v>5.6362500000000004</v>
      </c>
      <c r="K118" s="56">
        <f t="shared" si="44"/>
        <v>5.6362500000000004</v>
      </c>
      <c r="L118" s="56">
        <f t="shared" si="44"/>
        <v>5.6362500000000004</v>
      </c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</row>
    <row r="119" spans="2:33">
      <c r="B119" s="47"/>
      <c r="C119" s="42"/>
      <c r="D119" s="42"/>
      <c r="E119" s="42"/>
      <c r="F119" s="42"/>
      <c r="G119" s="42"/>
      <c r="H119" s="56"/>
      <c r="I119" s="56"/>
      <c r="J119" s="56"/>
      <c r="K119" s="56"/>
      <c r="L119" s="56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</row>
    <row r="120" spans="2:33">
      <c r="B120" s="47"/>
      <c r="C120" s="42"/>
      <c r="D120" s="84" t="s">
        <v>242</v>
      </c>
      <c r="E120" s="84" t="s">
        <v>233</v>
      </c>
      <c r="F120" s="42"/>
      <c r="G120" s="42"/>
      <c r="H120" s="56"/>
      <c r="I120" s="56"/>
      <c r="J120" s="56"/>
      <c r="K120" s="56"/>
      <c r="L120" s="56"/>
    </row>
    <row r="121" spans="2:33">
      <c r="B121" s="69" t="s">
        <v>237</v>
      </c>
      <c r="C121" s="42"/>
      <c r="D121" s="94">
        <f t="array" ref="D121:D125">TRANSPOSE(H49:L49)</f>
        <v>4.7397831657929741</v>
      </c>
      <c r="E121" s="93">
        <f>$D$116</f>
        <v>8</v>
      </c>
      <c r="F121" s="42"/>
      <c r="G121" s="42"/>
      <c r="H121" s="56">
        <f>$D121/$E121</f>
        <v>0.59247289572412176</v>
      </c>
      <c r="I121" s="56">
        <f t="shared" ref="I121:L125" si="45">$D121/$E121</f>
        <v>0.59247289572412176</v>
      </c>
      <c r="J121" s="56">
        <f t="shared" si="45"/>
        <v>0.59247289572412176</v>
      </c>
      <c r="K121" s="56">
        <f t="shared" si="45"/>
        <v>0.59247289572412176</v>
      </c>
      <c r="L121" s="56">
        <f t="shared" si="45"/>
        <v>0.59247289572412176</v>
      </c>
    </row>
    <row r="122" spans="2:33">
      <c r="B122" s="69" t="s">
        <v>238</v>
      </c>
      <c r="C122" s="42"/>
      <c r="D122" s="42">
        <v>5.068724008287691</v>
      </c>
      <c r="E122" s="93">
        <f t="shared" ref="E122:E125" si="46">$D$116</f>
        <v>8</v>
      </c>
      <c r="F122" s="42"/>
      <c r="G122" s="42"/>
      <c r="H122" s="56"/>
      <c r="I122" s="56">
        <f t="shared" si="45"/>
        <v>0.63359050103596137</v>
      </c>
      <c r="J122" s="56">
        <f t="shared" si="45"/>
        <v>0.63359050103596137</v>
      </c>
      <c r="K122" s="56">
        <f t="shared" si="45"/>
        <v>0.63359050103596137</v>
      </c>
      <c r="L122" s="56">
        <f t="shared" si="45"/>
        <v>0.63359050103596137</v>
      </c>
    </row>
    <row r="123" spans="2:33">
      <c r="B123" s="69" t="s">
        <v>239</v>
      </c>
      <c r="C123" s="42"/>
      <c r="D123" s="42">
        <v>5.406311128086891</v>
      </c>
      <c r="E123" s="93">
        <f t="shared" si="46"/>
        <v>8</v>
      </c>
      <c r="F123" s="42"/>
      <c r="G123" s="42"/>
      <c r="H123" s="56"/>
      <c r="I123" s="56"/>
      <c r="J123" s="56">
        <f t="shared" si="45"/>
        <v>0.67578889101086137</v>
      </c>
      <c r="K123" s="56">
        <f t="shared" si="45"/>
        <v>0.67578889101086137</v>
      </c>
      <c r="L123" s="56">
        <f t="shared" si="45"/>
        <v>0.67578889101086137</v>
      </c>
    </row>
    <row r="124" spans="2:33">
      <c r="B124" s="69" t="s">
        <v>240</v>
      </c>
      <c r="C124" s="42"/>
      <c r="D124" s="42">
        <v>5.7857304488762757</v>
      </c>
      <c r="E124" s="93">
        <f t="shared" si="46"/>
        <v>8</v>
      </c>
      <c r="F124" s="42"/>
      <c r="G124" s="42"/>
      <c r="H124" s="56"/>
      <c r="I124" s="56"/>
      <c r="J124" s="56"/>
      <c r="K124" s="56">
        <f t="shared" si="45"/>
        <v>0.72321630610953447</v>
      </c>
      <c r="L124" s="56">
        <f t="shared" si="45"/>
        <v>0.72321630610953447</v>
      </c>
    </row>
    <row r="125" spans="2:33" ht="15.75" thickBot="1">
      <c r="B125" s="98" t="s">
        <v>241</v>
      </c>
      <c r="C125" s="42"/>
      <c r="D125" s="42">
        <v>6.1856389642378868</v>
      </c>
      <c r="E125" s="93">
        <f t="shared" si="46"/>
        <v>8</v>
      </c>
      <c r="F125" s="42"/>
      <c r="G125" s="42"/>
      <c r="H125" s="56"/>
      <c r="I125" s="56"/>
      <c r="J125" s="56"/>
      <c r="K125" s="56"/>
      <c r="L125" s="56">
        <f t="shared" si="45"/>
        <v>0.77320487052973585</v>
      </c>
    </row>
    <row r="126" spans="2:33">
      <c r="B126" s="83" t="s">
        <v>248</v>
      </c>
      <c r="C126" s="42"/>
      <c r="D126" s="42"/>
      <c r="E126" s="42"/>
      <c r="F126" s="42"/>
      <c r="G126" s="42"/>
      <c r="H126" s="41">
        <f>SUM(H121:H125,H118)</f>
        <v>6.2287228957241219</v>
      </c>
      <c r="I126" s="41">
        <f t="shared" ref="I126" si="47">SUM(I121:I125,I118)</f>
        <v>6.8623133967600838</v>
      </c>
      <c r="J126" s="41">
        <f t="shared" ref="J126" si="48">SUM(J121:J125,J118)</f>
        <v>7.5381022877709452</v>
      </c>
      <c r="K126" s="41">
        <f t="shared" ref="K126" si="49">SUM(K121:K125,K118)</f>
        <v>8.2613185938804783</v>
      </c>
      <c r="L126" s="41">
        <f t="shared" ref="L126" si="50">SUM(L121:L125,L118)</f>
        <v>9.0345234644102153</v>
      </c>
    </row>
    <row r="127" spans="2:33">
      <c r="B127" s="47"/>
      <c r="C127" s="42"/>
      <c r="D127" s="42"/>
      <c r="E127" s="42"/>
      <c r="F127" s="42"/>
      <c r="G127" s="42"/>
      <c r="H127" s="56"/>
      <c r="I127" s="56"/>
      <c r="J127" s="56"/>
      <c r="K127" s="56"/>
      <c r="L127" s="56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2:33">
      <c r="B128" s="47"/>
      <c r="C128" s="42"/>
      <c r="D128" s="42"/>
      <c r="E128" s="42"/>
      <c r="F128" s="42"/>
      <c r="G128" s="42"/>
      <c r="H128" s="56"/>
      <c r="I128" s="56"/>
      <c r="J128" s="56"/>
      <c r="K128" s="56"/>
      <c r="L128" s="56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2:25">
      <c r="B129" s="47"/>
      <c r="C129" s="42"/>
      <c r="D129" s="42"/>
      <c r="E129" s="42"/>
      <c r="F129" s="42"/>
      <c r="G129" s="42"/>
      <c r="H129" s="56"/>
      <c r="I129" s="56"/>
      <c r="J129" s="56"/>
      <c r="K129" s="56"/>
      <c r="L129" s="56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2:25" ht="15.75" thickBot="1">
      <c r="B130" s="43" t="s">
        <v>225</v>
      </c>
      <c r="C130" s="42"/>
      <c r="D130" s="42"/>
      <c r="E130" s="42"/>
      <c r="F130" s="42"/>
      <c r="G130" s="42"/>
      <c r="H130" s="56"/>
      <c r="I130" s="56"/>
      <c r="J130" s="56"/>
      <c r="K130" s="56"/>
      <c r="L130" s="56"/>
    </row>
    <row r="131" spans="2:25">
      <c r="B131" s="47" t="s">
        <v>233</v>
      </c>
      <c r="C131" s="42"/>
      <c r="D131" s="42">
        <f>E32</f>
        <v>10</v>
      </c>
      <c r="E131" s="42"/>
      <c r="F131" s="42"/>
      <c r="G131" s="42"/>
      <c r="H131" s="56"/>
      <c r="I131" s="56"/>
      <c r="J131" s="56"/>
      <c r="K131" s="56"/>
      <c r="L131" s="56"/>
    </row>
    <row r="132" spans="2:25">
      <c r="B132" s="47" t="s">
        <v>220</v>
      </c>
      <c r="C132" s="42"/>
      <c r="D132" s="42">
        <f>C32</f>
        <v>69.31</v>
      </c>
      <c r="E132" s="42"/>
      <c r="F132" s="42"/>
      <c r="G132" s="42"/>
      <c r="H132" s="56"/>
      <c r="I132" s="56"/>
      <c r="J132" s="56"/>
      <c r="K132" s="56"/>
      <c r="L132" s="56"/>
    </row>
    <row r="133" spans="2:25">
      <c r="B133" s="47" t="s">
        <v>234</v>
      </c>
      <c r="C133" s="42"/>
      <c r="D133" s="42"/>
      <c r="E133" s="42"/>
      <c r="F133" s="42"/>
      <c r="G133" s="42"/>
      <c r="H133" s="56">
        <f>$D$132/$D$131</f>
        <v>6.931</v>
      </c>
      <c r="I133" s="56">
        <f t="shared" ref="I133:L133" si="51">$D$132/$D$131</f>
        <v>6.931</v>
      </c>
      <c r="J133" s="56">
        <f t="shared" si="51"/>
        <v>6.931</v>
      </c>
      <c r="K133" s="56">
        <f t="shared" si="51"/>
        <v>6.931</v>
      </c>
      <c r="L133" s="56">
        <f t="shared" si="51"/>
        <v>6.931</v>
      </c>
    </row>
    <row r="134" spans="2:25">
      <c r="B134" s="47"/>
      <c r="C134" s="42"/>
      <c r="D134" s="42"/>
      <c r="E134" s="42"/>
      <c r="F134" s="42"/>
      <c r="G134" s="42"/>
      <c r="H134" s="56"/>
      <c r="I134" s="56"/>
      <c r="J134" s="56"/>
      <c r="K134" s="56"/>
      <c r="L134" s="56"/>
    </row>
    <row r="135" spans="2:25">
      <c r="B135" s="47"/>
      <c r="C135" s="42"/>
      <c r="D135" s="84" t="s">
        <v>242</v>
      </c>
      <c r="E135" s="84" t="s">
        <v>233</v>
      </c>
      <c r="F135" s="42"/>
      <c r="G135" s="42"/>
      <c r="H135" s="56"/>
      <c r="I135" s="56"/>
      <c r="J135" s="56"/>
      <c r="K135" s="56"/>
      <c r="L135" s="56"/>
    </row>
    <row r="136" spans="2:25">
      <c r="B136" s="69" t="s">
        <v>237</v>
      </c>
      <c r="C136" s="42"/>
      <c r="D136" s="94">
        <f t="array" ref="D136:D140">TRANSPOSE(H50:L50)</f>
        <v>7.2857478647396547</v>
      </c>
      <c r="E136" s="93">
        <f>$D$131</f>
        <v>10</v>
      </c>
      <c r="F136" s="42"/>
      <c r="G136" s="42"/>
      <c r="H136" s="56">
        <f>$D136/$E136</f>
        <v>0.72857478647396545</v>
      </c>
      <c r="I136" s="56">
        <f t="shared" ref="I136:L140" si="52">$D136/$E136</f>
        <v>0.72857478647396545</v>
      </c>
      <c r="J136" s="56">
        <f t="shared" si="52"/>
        <v>0.72857478647396545</v>
      </c>
      <c r="K136" s="56">
        <f t="shared" si="52"/>
        <v>0.72857478647396545</v>
      </c>
      <c r="L136" s="56">
        <f t="shared" si="52"/>
        <v>0.72857478647396545</v>
      </c>
    </row>
    <row r="137" spans="2:25">
      <c r="B137" s="69" t="s">
        <v>238</v>
      </c>
      <c r="C137" s="42"/>
      <c r="D137" s="42">
        <v>7.7913785986786399</v>
      </c>
      <c r="E137" s="93">
        <f t="shared" ref="E137:E140" si="53">$D$131</f>
        <v>10</v>
      </c>
      <c r="F137" s="42"/>
      <c r="G137" s="42"/>
      <c r="H137" s="56"/>
      <c r="I137" s="56">
        <f t="shared" si="52"/>
        <v>0.77913785986786399</v>
      </c>
      <c r="J137" s="56">
        <f t="shared" si="52"/>
        <v>0.77913785986786399</v>
      </c>
      <c r="K137" s="56">
        <f t="shared" si="52"/>
        <v>0.77913785986786399</v>
      </c>
      <c r="L137" s="56">
        <f t="shared" si="52"/>
        <v>0.77913785986786399</v>
      </c>
    </row>
    <row r="138" spans="2:25">
      <c r="B138" s="69" t="s">
        <v>239</v>
      </c>
      <c r="C138" s="42"/>
      <c r="D138" s="42">
        <v>8.3102999398470256</v>
      </c>
      <c r="E138" s="93">
        <f t="shared" si="53"/>
        <v>10</v>
      </c>
      <c r="F138" s="42"/>
      <c r="G138" s="42"/>
      <c r="H138" s="56"/>
      <c r="I138" s="56"/>
      <c r="J138" s="56">
        <f t="shared" si="52"/>
        <v>0.83102999398470256</v>
      </c>
      <c r="K138" s="56">
        <f t="shared" si="52"/>
        <v>0.83102999398470256</v>
      </c>
      <c r="L138" s="56">
        <f t="shared" si="52"/>
        <v>0.83102999398470256</v>
      </c>
    </row>
    <row r="139" spans="2:25">
      <c r="B139" s="69" t="s">
        <v>240</v>
      </c>
      <c r="C139" s="42"/>
      <c r="D139" s="42">
        <v>8.8935235620229474</v>
      </c>
      <c r="E139" s="93">
        <f t="shared" si="53"/>
        <v>10</v>
      </c>
      <c r="F139" s="42"/>
      <c r="G139" s="42"/>
      <c r="H139" s="56"/>
      <c r="I139" s="56"/>
      <c r="J139" s="56"/>
      <c r="K139" s="56">
        <f t="shared" si="52"/>
        <v>0.88935235620229469</v>
      </c>
      <c r="L139" s="56">
        <f t="shared" si="52"/>
        <v>0.88935235620229469</v>
      </c>
    </row>
    <row r="140" spans="2:25" ht="15.75" thickBot="1">
      <c r="B140" s="98" t="s">
        <v>241</v>
      </c>
      <c r="C140" s="42"/>
      <c r="D140" s="42">
        <v>9.5082421071485452</v>
      </c>
      <c r="E140" s="93">
        <f t="shared" si="53"/>
        <v>10</v>
      </c>
      <c r="F140" s="42"/>
      <c r="G140" s="42"/>
      <c r="H140" s="56"/>
      <c r="I140" s="56"/>
      <c r="J140" s="56"/>
      <c r="K140" s="56"/>
      <c r="L140" s="56">
        <f t="shared" si="52"/>
        <v>0.95082421071485457</v>
      </c>
    </row>
    <row r="141" spans="2:25">
      <c r="B141" s="83" t="s">
        <v>249</v>
      </c>
      <c r="C141" s="42"/>
      <c r="D141" s="42"/>
      <c r="E141" s="42"/>
      <c r="F141" s="42"/>
      <c r="G141" s="42"/>
      <c r="H141" s="41">
        <f>SUM(H136:H140,H133)</f>
        <v>7.6595747864739652</v>
      </c>
      <c r="I141" s="41">
        <f t="shared" ref="I141" si="54">SUM(I136:I140,I133)</f>
        <v>8.4387126463418305</v>
      </c>
      <c r="J141" s="41">
        <f t="shared" ref="J141" si="55">SUM(J136:J140,J133)</f>
        <v>9.2697426403265322</v>
      </c>
      <c r="K141" s="41">
        <f t="shared" ref="K141" si="56">SUM(K136:K140,K133)</f>
        <v>10.159094996528827</v>
      </c>
      <c r="L141" s="41">
        <f t="shared" ref="L141" si="57">SUM(L136:L140,L133)</f>
        <v>11.109919207243681</v>
      </c>
    </row>
    <row r="142" spans="2:25">
      <c r="B142" s="47"/>
      <c r="C142" s="47"/>
      <c r="D142" s="47"/>
      <c r="E142" s="47"/>
      <c r="F142" s="47"/>
      <c r="G142" s="47"/>
      <c r="H142" s="55"/>
      <c r="I142" s="55"/>
      <c r="J142" s="55"/>
      <c r="K142" s="55"/>
      <c r="L142" s="55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</row>
    <row r="143" spans="2:25" ht="15.75" thickBot="1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</row>
    <row r="144" spans="2:25">
      <c r="B144" s="47"/>
      <c r="C144" s="47"/>
      <c r="D144" s="47"/>
      <c r="E144" s="47"/>
      <c r="F144" s="47"/>
      <c r="G144" s="47"/>
      <c r="H144" s="55"/>
      <c r="I144" s="55"/>
      <c r="J144" s="55"/>
      <c r="K144" s="55"/>
      <c r="L144" s="55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</row>
    <row r="145" spans="2:28" ht="15.75" thickBot="1">
      <c r="B145" s="43" t="s">
        <v>226</v>
      </c>
      <c r="C145" s="42"/>
      <c r="D145" s="42"/>
      <c r="E145" s="42"/>
      <c r="F145" s="42"/>
      <c r="G145" s="42"/>
      <c r="H145" s="56"/>
      <c r="I145" s="56"/>
      <c r="J145" s="56"/>
      <c r="K145" s="56"/>
      <c r="L145" s="56"/>
    </row>
    <row r="146" spans="2:28">
      <c r="B146" s="47" t="s">
        <v>233</v>
      </c>
      <c r="C146" s="42"/>
      <c r="D146" s="42">
        <f>E33</f>
        <v>10</v>
      </c>
      <c r="E146" s="42"/>
      <c r="F146" s="42"/>
      <c r="G146" s="42"/>
      <c r="H146" s="56"/>
      <c r="I146" s="56"/>
      <c r="J146" s="56"/>
      <c r="K146" s="56"/>
      <c r="L146" s="56"/>
    </row>
    <row r="147" spans="2:28">
      <c r="B147" s="47" t="s">
        <v>220</v>
      </c>
      <c r="C147" s="42"/>
      <c r="D147" s="42">
        <f>C33</f>
        <v>37.619999999999997</v>
      </c>
      <c r="E147" s="42"/>
      <c r="F147" s="42"/>
      <c r="G147" s="42"/>
      <c r="H147" s="56"/>
      <c r="I147" s="56"/>
      <c r="J147" s="56"/>
      <c r="K147" s="56"/>
      <c r="L147" s="56"/>
    </row>
    <row r="148" spans="2:28">
      <c r="B148" s="47" t="s">
        <v>250</v>
      </c>
      <c r="C148" s="42"/>
      <c r="D148" s="42"/>
      <c r="E148" s="42"/>
      <c r="F148" s="42"/>
      <c r="G148" s="42"/>
      <c r="H148" s="56">
        <f>$D$147/$D$146</f>
        <v>3.7619999999999996</v>
      </c>
      <c r="I148" s="56">
        <f t="shared" ref="I148:L148" si="58">$D$147/$D$146</f>
        <v>3.7619999999999996</v>
      </c>
      <c r="J148" s="56">
        <f t="shared" si="58"/>
        <v>3.7619999999999996</v>
      </c>
      <c r="K148" s="56">
        <f t="shared" si="58"/>
        <v>3.7619999999999996</v>
      </c>
      <c r="L148" s="56">
        <f t="shared" si="58"/>
        <v>3.7619999999999996</v>
      </c>
    </row>
    <row r="149" spans="2:28">
      <c r="B149" s="47"/>
      <c r="C149" s="42"/>
      <c r="D149" s="42"/>
      <c r="E149" s="42"/>
      <c r="F149" s="42"/>
      <c r="G149" s="42"/>
      <c r="H149" s="56"/>
      <c r="I149" s="56"/>
      <c r="J149" s="56"/>
      <c r="K149" s="56"/>
      <c r="L149" s="56"/>
    </row>
    <row r="150" spans="2:28">
      <c r="B150" s="47"/>
      <c r="C150" s="42"/>
      <c r="D150" s="84" t="s">
        <v>242</v>
      </c>
      <c r="E150" s="84" t="s">
        <v>233</v>
      </c>
      <c r="F150" s="42"/>
      <c r="G150" s="42"/>
      <c r="H150" s="56"/>
      <c r="I150" s="56"/>
      <c r="J150" s="56"/>
      <c r="K150" s="56"/>
      <c r="L150" s="56"/>
    </row>
    <row r="151" spans="2:28">
      <c r="B151" s="69" t="s">
        <v>237</v>
      </c>
      <c r="C151" s="42"/>
      <c r="D151" s="94">
        <f t="array" ref="D151:D155">TRANSPOSE($H$51:$L$51)</f>
        <v>8.9545496273482286</v>
      </c>
      <c r="E151" s="93">
        <f>$D$146</f>
        <v>10</v>
      </c>
      <c r="F151" s="42"/>
      <c r="G151" s="42"/>
      <c r="H151" s="56">
        <f>$D151/$E151</f>
        <v>0.89545496273482283</v>
      </c>
      <c r="I151" s="56">
        <f t="shared" ref="I151:L155" si="59">$D151/$E151</f>
        <v>0.89545496273482283</v>
      </c>
      <c r="J151" s="56">
        <f t="shared" si="59"/>
        <v>0.89545496273482283</v>
      </c>
      <c r="K151" s="56">
        <f t="shared" si="59"/>
        <v>0.89545496273482283</v>
      </c>
      <c r="L151" s="56">
        <f t="shared" si="59"/>
        <v>0.89545496273482283</v>
      </c>
    </row>
    <row r="152" spans="2:28">
      <c r="B152" s="69" t="s">
        <v>238</v>
      </c>
      <c r="C152" s="42"/>
      <c r="D152" s="42">
        <v>9.2289952803677728</v>
      </c>
      <c r="E152" s="93">
        <f t="shared" ref="E152:E155" si="60">$D$146</f>
        <v>10</v>
      </c>
      <c r="F152" s="42"/>
      <c r="G152" s="42"/>
      <c r="H152" s="56"/>
      <c r="I152" s="56">
        <f t="shared" si="59"/>
        <v>0.92289952803677733</v>
      </c>
      <c r="J152" s="56">
        <f t="shared" si="59"/>
        <v>0.92289952803677733</v>
      </c>
      <c r="K152" s="56">
        <f t="shared" si="59"/>
        <v>0.92289952803677733</v>
      </c>
      <c r="L152" s="56">
        <f t="shared" si="59"/>
        <v>0.92289952803677733</v>
      </c>
    </row>
    <row r="153" spans="2:28">
      <c r="B153" s="69" t="s">
        <v>239</v>
      </c>
      <c r="C153" s="42"/>
      <c r="D153" s="42">
        <v>9.5106547934936536</v>
      </c>
      <c r="E153" s="93">
        <f t="shared" si="60"/>
        <v>10</v>
      </c>
      <c r="F153" s="42"/>
      <c r="G153" s="42"/>
      <c r="H153" s="56"/>
      <c r="I153" s="56"/>
      <c r="J153" s="56">
        <f t="shared" si="59"/>
        <v>0.95106547934936536</v>
      </c>
      <c r="K153" s="56">
        <f t="shared" si="59"/>
        <v>0.95106547934936536</v>
      </c>
      <c r="L153" s="56">
        <f t="shared" si="59"/>
        <v>0.95106547934936536</v>
      </c>
    </row>
    <row r="154" spans="2:28">
      <c r="B154" s="69" t="s">
        <v>240</v>
      </c>
      <c r="C154" s="42"/>
      <c r="D154" s="42">
        <v>9.8272162228149362</v>
      </c>
      <c r="E154" s="93">
        <f t="shared" si="60"/>
        <v>10</v>
      </c>
      <c r="F154" s="42"/>
      <c r="G154" s="42"/>
      <c r="H154" s="56"/>
      <c r="I154" s="56"/>
      <c r="J154" s="56"/>
      <c r="K154" s="56">
        <f t="shared" si="59"/>
        <v>0.98272162228149362</v>
      </c>
      <c r="L154" s="56">
        <f t="shared" si="59"/>
        <v>0.98272162228149362</v>
      </c>
    </row>
    <row r="155" spans="2:28" ht="15.75" thickBot="1">
      <c r="B155" s="98" t="s">
        <v>241</v>
      </c>
      <c r="C155" s="42"/>
      <c r="D155" s="42">
        <v>10.160872429244383</v>
      </c>
      <c r="E155" s="93">
        <f t="shared" si="60"/>
        <v>10</v>
      </c>
      <c r="F155" s="42"/>
      <c r="G155" s="42"/>
      <c r="H155" s="56"/>
      <c r="I155" s="56"/>
      <c r="J155" s="56"/>
      <c r="K155" s="56"/>
      <c r="L155" s="56">
        <f t="shared" si="59"/>
        <v>1.0160872429244383</v>
      </c>
    </row>
    <row r="156" spans="2:28">
      <c r="B156" s="83" t="s">
        <v>252</v>
      </c>
      <c r="C156" s="42"/>
      <c r="D156" s="42"/>
      <c r="E156" s="42"/>
      <c r="F156" s="42"/>
      <c r="G156" s="42"/>
      <c r="H156" s="41">
        <f>SUM(H151:H155,H148)</f>
        <v>4.6574549627348221</v>
      </c>
      <c r="I156" s="41">
        <f t="shared" ref="I156" si="61">SUM(I151:I155,I148)</f>
        <v>5.5803544907715992</v>
      </c>
      <c r="J156" s="41">
        <f t="shared" ref="J156" si="62">SUM(J151:J155,J148)</f>
        <v>6.5314199701209645</v>
      </c>
      <c r="K156" s="41">
        <f t="shared" ref="K156" si="63">SUM(K151:K155,K148)</f>
        <v>7.5141415924024582</v>
      </c>
      <c r="L156" s="41">
        <f t="shared" ref="L156" si="64">SUM(L151:L155,L148)</f>
        <v>8.5302288353268967</v>
      </c>
    </row>
    <row r="157" spans="2:28">
      <c r="B157" s="47"/>
      <c r="C157" s="42"/>
      <c r="D157" s="42"/>
      <c r="E157" s="42"/>
      <c r="F157" s="42"/>
      <c r="G157" s="42"/>
      <c r="H157" s="56"/>
      <c r="I157" s="56"/>
      <c r="J157" s="56"/>
      <c r="K157" s="56"/>
      <c r="L157" s="56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 spans="2:28">
      <c r="B158" s="47"/>
      <c r="C158" s="42"/>
      <c r="D158" s="42"/>
      <c r="E158" s="42"/>
      <c r="F158" s="42"/>
      <c r="G158" s="42"/>
      <c r="H158" s="56"/>
      <c r="I158" s="56"/>
      <c r="J158" s="56"/>
      <c r="K158" s="56"/>
      <c r="L158" s="56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 spans="2:28">
      <c r="B159" s="47"/>
      <c r="C159" s="42"/>
      <c r="D159" s="42"/>
      <c r="E159" s="42"/>
      <c r="F159" s="42"/>
      <c r="G159" s="42"/>
      <c r="H159" s="56"/>
      <c r="I159" s="56"/>
      <c r="J159" s="56"/>
      <c r="K159" s="56"/>
      <c r="L159" s="56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 spans="2:28" ht="15.75" thickBot="1">
      <c r="B160" s="43" t="s">
        <v>227</v>
      </c>
      <c r="C160" s="42"/>
      <c r="D160" s="42"/>
      <c r="E160" s="42"/>
      <c r="F160" s="42"/>
      <c r="G160" s="42"/>
      <c r="H160" s="56"/>
      <c r="I160" s="56"/>
      <c r="J160" s="56"/>
      <c r="K160" s="56"/>
      <c r="L160" s="56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 spans="2:29">
      <c r="B161" s="47" t="s">
        <v>233</v>
      </c>
      <c r="C161" s="42"/>
      <c r="D161" s="42">
        <f>E34</f>
        <v>5</v>
      </c>
      <c r="E161" s="42"/>
      <c r="F161" s="42"/>
      <c r="G161" s="42"/>
      <c r="H161" s="56"/>
      <c r="I161" s="56"/>
      <c r="J161" s="56"/>
      <c r="K161" s="56"/>
      <c r="L161" s="56"/>
    </row>
    <row r="162" spans="2:29">
      <c r="B162" s="47" t="s">
        <v>220</v>
      </c>
      <c r="C162" s="42"/>
      <c r="D162" s="42">
        <f>C34</f>
        <v>75.73</v>
      </c>
      <c r="E162" s="42"/>
      <c r="F162" s="42"/>
      <c r="G162" s="42"/>
      <c r="H162" s="56"/>
      <c r="I162" s="56"/>
      <c r="J162" s="56"/>
      <c r="K162" s="56"/>
      <c r="L162" s="56"/>
    </row>
    <row r="163" spans="2:29">
      <c r="B163" s="47" t="s">
        <v>250</v>
      </c>
      <c r="C163" s="42"/>
      <c r="D163" s="42"/>
      <c r="E163" s="42"/>
      <c r="F163" s="42"/>
      <c r="G163" s="42"/>
      <c r="H163" s="56">
        <f>$D$162/$D$161</f>
        <v>15.146000000000001</v>
      </c>
      <c r="I163" s="56">
        <f t="shared" ref="I163:L163" si="65">$D$162/$D$161</f>
        <v>15.146000000000001</v>
      </c>
      <c r="J163" s="56">
        <f t="shared" si="65"/>
        <v>15.146000000000001</v>
      </c>
      <c r="K163" s="56">
        <f t="shared" si="65"/>
        <v>15.146000000000001</v>
      </c>
      <c r="L163" s="56">
        <f t="shared" si="65"/>
        <v>15.146000000000001</v>
      </c>
    </row>
    <row r="164" spans="2:29">
      <c r="B164" s="47"/>
      <c r="C164" s="42"/>
      <c r="D164" s="42"/>
      <c r="E164" s="42"/>
      <c r="F164" s="42"/>
      <c r="G164" s="42"/>
      <c r="H164" s="56"/>
      <c r="I164" s="56"/>
      <c r="J164" s="56"/>
      <c r="K164" s="56"/>
      <c r="L164" s="56"/>
    </row>
    <row r="165" spans="2:29">
      <c r="B165" s="47"/>
      <c r="C165" s="42"/>
      <c r="D165" s="84" t="s">
        <v>242</v>
      </c>
      <c r="E165" s="84" t="s">
        <v>233</v>
      </c>
      <c r="F165" s="42"/>
      <c r="G165" s="42"/>
      <c r="H165" s="56"/>
      <c r="I165" s="56"/>
      <c r="J165" s="56"/>
      <c r="K165" s="56"/>
      <c r="L165" s="56"/>
    </row>
    <row r="166" spans="2:29">
      <c r="B166" s="69" t="s">
        <v>237</v>
      </c>
      <c r="C166" s="42"/>
      <c r="D166" s="94">
        <f t="array" ref="D166:D170">TRANSPOSE($H$52:$L$52)</f>
        <v>12.960607211033533</v>
      </c>
      <c r="E166" s="93">
        <f>$D$161</f>
        <v>5</v>
      </c>
      <c r="F166" s="42"/>
      <c r="G166" s="42"/>
      <c r="H166" s="56">
        <f>$D166/$E166</f>
        <v>2.5921214422067065</v>
      </c>
      <c r="I166" s="56">
        <f t="shared" ref="I166:L170" si="66">$D166/$E166</f>
        <v>2.5921214422067065</v>
      </c>
      <c r="J166" s="56">
        <f t="shared" si="66"/>
        <v>2.5921214422067065</v>
      </c>
      <c r="K166" s="56">
        <f t="shared" si="66"/>
        <v>2.5921214422067065</v>
      </c>
      <c r="L166" s="56">
        <f t="shared" si="66"/>
        <v>2.5921214422067065</v>
      </c>
    </row>
    <row r="167" spans="2:29">
      <c r="B167" s="69" t="s">
        <v>238</v>
      </c>
      <c r="C167" s="42"/>
      <c r="D167" s="42">
        <v>13.513073168055596</v>
      </c>
      <c r="E167" s="93">
        <f t="shared" ref="E167:E170" si="67">$D$161</f>
        <v>5</v>
      </c>
      <c r="F167" s="42"/>
      <c r="G167" s="42"/>
      <c r="H167" s="56"/>
      <c r="I167" s="56">
        <f t="shared" si="66"/>
        <v>2.7026146336111192</v>
      </c>
      <c r="J167" s="56">
        <f t="shared" si="66"/>
        <v>2.7026146336111192</v>
      </c>
      <c r="K167" s="56">
        <f t="shared" si="66"/>
        <v>2.7026146336111192</v>
      </c>
      <c r="L167" s="56">
        <f t="shared" si="66"/>
        <v>2.7026146336111192</v>
      </c>
    </row>
    <row r="168" spans="2:29">
      <c r="B168" s="69" t="s">
        <v>239</v>
      </c>
      <c r="C168" s="42"/>
      <c r="D168" s="42">
        <v>14.080060805722338</v>
      </c>
      <c r="E168" s="93">
        <f t="shared" si="67"/>
        <v>5</v>
      </c>
      <c r="F168" s="42"/>
      <c r="G168" s="42"/>
      <c r="H168" s="56"/>
      <c r="I168" s="56"/>
      <c r="J168" s="56">
        <f t="shared" si="66"/>
        <v>2.8160121611444677</v>
      </c>
      <c r="K168" s="56">
        <f t="shared" si="66"/>
        <v>2.8160121611444677</v>
      </c>
      <c r="L168" s="56">
        <f t="shared" si="66"/>
        <v>2.8160121611444677</v>
      </c>
    </row>
    <row r="169" spans="2:29">
      <c r="B169" s="69" t="s">
        <v>240</v>
      </c>
      <c r="C169" s="42"/>
      <c r="D169" s="42">
        <v>14.71730687277446</v>
      </c>
      <c r="E169" s="93">
        <f t="shared" si="67"/>
        <v>5</v>
      </c>
      <c r="F169" s="42"/>
      <c r="G169" s="42"/>
      <c r="H169" s="56"/>
      <c r="I169" s="56"/>
      <c r="J169" s="56"/>
      <c r="K169" s="56">
        <f t="shared" si="66"/>
        <v>2.9434613745548921</v>
      </c>
      <c r="L169" s="56">
        <f t="shared" si="66"/>
        <v>2.9434613745548921</v>
      </c>
    </row>
    <row r="170" spans="2:29" ht="15.75" thickBot="1">
      <c r="B170" s="98" t="s">
        <v>241</v>
      </c>
      <c r="C170" s="42"/>
      <c r="D170" s="42">
        <v>15.38896515328754</v>
      </c>
      <c r="E170" s="93">
        <f t="shared" si="67"/>
        <v>5</v>
      </c>
      <c r="F170" s="42"/>
      <c r="G170" s="42"/>
      <c r="H170" s="56"/>
      <c r="I170" s="56"/>
      <c r="J170" s="56"/>
      <c r="K170" s="56"/>
      <c r="L170" s="56">
        <f t="shared" si="66"/>
        <v>3.0777930306575079</v>
      </c>
    </row>
    <row r="171" spans="2:29">
      <c r="B171" s="83" t="s">
        <v>251</v>
      </c>
      <c r="C171" s="42"/>
      <c r="D171" s="42"/>
      <c r="E171" s="42"/>
      <c r="F171" s="42"/>
      <c r="G171" s="42"/>
      <c r="H171" s="41">
        <f>SUM(H166:H170,H163)</f>
        <v>17.738121442206708</v>
      </c>
      <c r="I171" s="41">
        <f t="shared" ref="I171" si="68">SUM(I166:I170,I163)</f>
        <v>20.440736075817824</v>
      </c>
      <c r="J171" s="41">
        <f t="shared" ref="J171" si="69">SUM(J166:J170,J163)</f>
        <v>23.256748236962295</v>
      </c>
      <c r="K171" s="41">
        <f t="shared" ref="K171" si="70">SUM(K166:K170,K163)</f>
        <v>26.200209611517185</v>
      </c>
      <c r="L171" s="41">
        <f t="shared" ref="L171" si="71">SUM(L166:L170,L163)</f>
        <v>29.278002642174691</v>
      </c>
    </row>
    <row r="172" spans="2:29">
      <c r="B172" s="47"/>
      <c r="C172" s="42"/>
      <c r="D172" s="42"/>
      <c r="E172" s="42"/>
      <c r="F172" s="42"/>
      <c r="G172" s="42"/>
      <c r="H172" s="56"/>
      <c r="I172" s="56"/>
      <c r="J172" s="56"/>
      <c r="K172" s="56"/>
      <c r="L172" s="56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spans="2:29" ht="15.75" thickBot="1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spans="2:29" ht="15.75" thickBot="1">
      <c r="B174" s="47"/>
      <c r="C174" s="42"/>
      <c r="D174" s="42"/>
      <c r="E174" s="42"/>
      <c r="F174" s="42"/>
      <c r="G174" s="42"/>
      <c r="H174" s="99"/>
      <c r="I174" s="56"/>
      <c r="J174" s="56"/>
      <c r="K174" s="56"/>
      <c r="L174" s="56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spans="2:29" ht="15.75" thickBot="1">
      <c r="B175" s="43" t="s">
        <v>254</v>
      </c>
      <c r="C175" s="42"/>
      <c r="D175" s="42"/>
      <c r="E175" s="42"/>
      <c r="F175" s="42"/>
      <c r="G175" s="42"/>
      <c r="H175" s="100">
        <f>SUM(H66,H81,H111,H126,H141,H96)</f>
        <v>173.89818900203184</v>
      </c>
      <c r="I175" s="100">
        <f t="shared" ref="I175:L175" si="72">SUM(I66,I81,I111,I126,I141,I96)</f>
        <v>191.58724702300754</v>
      </c>
      <c r="J175" s="100">
        <f t="shared" si="72"/>
        <v>210.4544315585652</v>
      </c>
      <c r="K175" s="100">
        <f t="shared" si="72"/>
        <v>230.6457304804554</v>
      </c>
      <c r="L175" s="100">
        <f t="shared" si="72"/>
        <v>252.23264788931533</v>
      </c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spans="2:29" ht="15.75" thickBot="1">
      <c r="B176" s="47"/>
      <c r="C176" s="42"/>
      <c r="D176" s="42"/>
      <c r="E176" s="42"/>
      <c r="F176" s="42"/>
      <c r="G176" s="42"/>
      <c r="H176" s="56"/>
      <c r="I176" s="56"/>
      <c r="J176" s="56"/>
      <c r="K176" s="56"/>
      <c r="L176" s="56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spans="2:29" ht="15.75" thickBot="1">
      <c r="B177" s="43" t="s">
        <v>253</v>
      </c>
      <c r="C177" s="42"/>
      <c r="D177" s="42"/>
      <c r="E177" s="42"/>
      <c r="F177" s="42"/>
      <c r="G177" s="42"/>
      <c r="H177" s="100">
        <f>SUM(H156,H171)</f>
        <v>22.395576404941529</v>
      </c>
      <c r="I177" s="100">
        <f t="shared" ref="I177:L177" si="73">SUM(I156,I171)</f>
        <v>26.021090566589422</v>
      </c>
      <c r="J177" s="100">
        <f t="shared" si="73"/>
        <v>29.78816820708326</v>
      </c>
      <c r="K177" s="100">
        <f t="shared" si="73"/>
        <v>33.714351203919641</v>
      </c>
      <c r="L177" s="100">
        <f t="shared" si="73"/>
        <v>37.808231477501586</v>
      </c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spans="2:29">
      <c r="B178" s="95" t="s">
        <v>255</v>
      </c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spans="2:29" ht="15.75" thickBot="1">
      <c r="B179" s="47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spans="2:29" ht="15.75" thickBot="1">
      <c r="B180" s="43" t="s">
        <v>260</v>
      </c>
      <c r="C180" s="42"/>
      <c r="D180" s="42"/>
      <c r="E180" s="42"/>
      <c r="F180" s="42"/>
      <c r="G180" s="42"/>
      <c r="H180" s="100">
        <f>H177+H175</f>
        <v>196.29376540697336</v>
      </c>
      <c r="I180" s="100">
        <f t="shared" ref="I180:L180" si="74">I177+I175</f>
        <v>217.60833758959694</v>
      </c>
      <c r="J180" s="100">
        <f t="shared" si="74"/>
        <v>240.24259976564846</v>
      </c>
      <c r="K180" s="100">
        <f t="shared" si="74"/>
        <v>264.36008168437502</v>
      </c>
      <c r="L180" s="100">
        <f t="shared" si="74"/>
        <v>290.04087936681691</v>
      </c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spans="2:29">
      <c r="B181" s="47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spans="2:29">
      <c r="B182" s="47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spans="2:29">
      <c r="B183" s="47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spans="2:29">
      <c r="B184" s="47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spans="2:29">
      <c r="B185" s="47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spans="2:29">
      <c r="B186" s="47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spans="2:29">
      <c r="B187" s="47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spans="2:29">
      <c r="B188" s="47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spans="2:29">
      <c r="B189" s="47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spans="2:29">
      <c r="B190" s="47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spans="2:29">
      <c r="B191" s="47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spans="2:29">
      <c r="B192" s="47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spans="2:29">
      <c r="B193" s="47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spans="2:29">
      <c r="B194" s="47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spans="2:29">
      <c r="B195" s="47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spans="2:29">
      <c r="B196" s="47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spans="2:29">
      <c r="B197" s="47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spans="2:29">
      <c r="B198" s="47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spans="2:29">
      <c r="B199" s="47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spans="2:29">
      <c r="B200" s="47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spans="2:29">
      <c r="B201" s="47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spans="2:29">
      <c r="B202" s="47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spans="2:29">
      <c r="B203" s="47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spans="2:29">
      <c r="B204" s="47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spans="2:29">
      <c r="B205" s="47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spans="2:29">
      <c r="B206" s="47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spans="2:29">
      <c r="B207" s="47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spans="2:29"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spans="3:29"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spans="3:29"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spans="3:29"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spans="3:29"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spans="3:29"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spans="3:29"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spans="3:29"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spans="3:29"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spans="3:29"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spans="3:29"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spans="3:29"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spans="3:29"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spans="3:29"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spans="3:29"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spans="3:29"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spans="3:29"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spans="3:29"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spans="3:29"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spans="3:29"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</sheetData>
  <mergeCells count="2">
    <mergeCell ref="C1:G1"/>
    <mergeCell ref="H1:L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64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/>
  <cols>
    <col min="1" max="1" width="1.28515625" style="10" customWidth="1"/>
    <col min="2" max="2" width="11.42578125" style="109" customWidth="1"/>
    <col min="3" max="10" width="25.7109375" style="42" customWidth="1"/>
    <col min="11" max="11" width="10.7109375" style="42" customWidth="1"/>
    <col min="12" max="19" width="25.7109375" style="42" customWidth="1"/>
    <col min="20" max="20" width="10.7109375" style="42" customWidth="1"/>
    <col min="21" max="21" width="25.7109375" style="42" customWidth="1"/>
    <col min="22" max="28" width="15.7109375" style="42" customWidth="1"/>
    <col min="29" max="29" width="30.140625" style="42" customWidth="1"/>
    <col min="30" max="16384" width="9.140625" style="42"/>
  </cols>
  <sheetData>
    <row r="1" spans="1:30" ht="17.25">
      <c r="A1" s="42"/>
      <c r="B1" s="110"/>
      <c r="C1" s="138" t="s">
        <v>300</v>
      </c>
      <c r="D1" s="139"/>
      <c r="E1" s="139"/>
      <c r="F1" s="139"/>
      <c r="G1" s="139"/>
      <c r="H1" s="139"/>
      <c r="I1" s="139"/>
      <c r="J1" s="140"/>
      <c r="K1" s="10"/>
      <c r="L1" s="138" t="s">
        <v>301</v>
      </c>
      <c r="M1" s="139"/>
      <c r="N1" s="139"/>
      <c r="O1" s="139"/>
      <c r="P1" s="139"/>
      <c r="Q1" s="139"/>
      <c r="R1" s="139"/>
      <c r="S1" s="140"/>
      <c r="T1" s="111"/>
      <c r="U1" s="10"/>
      <c r="V1" s="138" t="s">
        <v>302</v>
      </c>
      <c r="W1" s="139"/>
      <c r="X1" s="139"/>
      <c r="Y1" s="139"/>
      <c r="Z1" s="139"/>
      <c r="AA1" s="139"/>
      <c r="AB1" s="140"/>
      <c r="AC1" s="111"/>
    </row>
    <row r="2" spans="1:30" ht="27.75" customHeight="1" thickBot="1">
      <c r="B2" s="110" t="s">
        <v>291</v>
      </c>
      <c r="C2" s="113" t="s">
        <v>292</v>
      </c>
      <c r="D2" s="114" t="s">
        <v>297</v>
      </c>
      <c r="E2" s="114" t="s">
        <v>293</v>
      </c>
      <c r="F2" s="114" t="s">
        <v>296</v>
      </c>
      <c r="G2" s="114" t="s">
        <v>299</v>
      </c>
      <c r="H2" s="114" t="s">
        <v>298</v>
      </c>
      <c r="I2" s="114" t="s">
        <v>294</v>
      </c>
      <c r="J2" s="115" t="s">
        <v>295</v>
      </c>
      <c r="K2" s="10"/>
      <c r="L2" s="113" t="s">
        <v>292</v>
      </c>
      <c r="M2" s="114" t="s">
        <v>297</v>
      </c>
      <c r="N2" s="114" t="s">
        <v>293</v>
      </c>
      <c r="O2" s="114" t="s">
        <v>296</v>
      </c>
      <c r="P2" s="114" t="s">
        <v>299</v>
      </c>
      <c r="Q2" s="114" t="s">
        <v>298</v>
      </c>
      <c r="R2" s="114" t="s">
        <v>294</v>
      </c>
      <c r="S2" s="115" t="s">
        <v>295</v>
      </c>
      <c r="T2" s="10"/>
      <c r="U2" s="10"/>
      <c r="V2" s="113" t="s">
        <v>297</v>
      </c>
      <c r="W2" s="114" t="s">
        <v>293</v>
      </c>
      <c r="X2" s="114" t="s">
        <v>296</v>
      </c>
      <c r="Y2" s="114" t="s">
        <v>299</v>
      </c>
      <c r="Z2" s="114" t="s">
        <v>298</v>
      </c>
      <c r="AA2" s="114" t="s">
        <v>294</v>
      </c>
      <c r="AB2" s="115" t="s">
        <v>295</v>
      </c>
      <c r="AC2" s="10"/>
    </row>
    <row r="3" spans="1:30">
      <c r="B3" s="112">
        <v>42226</v>
      </c>
      <c r="C3" s="6">
        <v>28067.310547000001</v>
      </c>
      <c r="D3" s="6">
        <v>803.79303000000004</v>
      </c>
      <c r="E3" s="6">
        <v>5780.5610349999997</v>
      </c>
      <c r="F3" s="6">
        <v>1593.0649410000001</v>
      </c>
      <c r="G3" s="6">
        <v>5845.2841799999997</v>
      </c>
      <c r="H3" s="6">
        <v>401.55230699999998</v>
      </c>
      <c r="I3" s="6">
        <v>192.594437</v>
      </c>
      <c r="J3" s="6">
        <v>601.59234600000002</v>
      </c>
      <c r="K3" s="6"/>
      <c r="L3" s="6" t="s">
        <v>217</v>
      </c>
      <c r="M3" s="6" t="s">
        <v>217</v>
      </c>
      <c r="N3" s="6" t="s">
        <v>217</v>
      </c>
      <c r="O3" s="6" t="s">
        <v>217</v>
      </c>
      <c r="P3" s="6" t="s">
        <v>217</v>
      </c>
      <c r="Q3" s="6" t="s">
        <v>217</v>
      </c>
      <c r="R3" s="6" t="s">
        <v>217</v>
      </c>
      <c r="S3" s="6" t="s">
        <v>217</v>
      </c>
      <c r="U3" s="6"/>
      <c r="V3" s="6"/>
      <c r="W3" s="6"/>
      <c r="X3" s="6"/>
      <c r="Y3" s="6"/>
      <c r="Z3" s="6"/>
      <c r="AA3" s="6"/>
      <c r="AB3" s="6"/>
    </row>
    <row r="4" spans="1:30">
      <c r="B4" s="112">
        <v>42233</v>
      </c>
      <c r="C4" s="42">
        <v>27366.070313</v>
      </c>
      <c r="D4" s="42">
        <v>816.35015899999996</v>
      </c>
      <c r="E4" s="42">
        <v>5616.3784180000002</v>
      </c>
      <c r="F4" s="42">
        <v>1524.268433</v>
      </c>
      <c r="G4" s="42">
        <v>5778.595703</v>
      </c>
      <c r="H4" s="42">
        <v>406.45107999999999</v>
      </c>
      <c r="I4" s="42">
        <v>198.49491900000001</v>
      </c>
      <c r="J4" s="42">
        <v>604.08941700000003</v>
      </c>
      <c r="L4" s="50">
        <f>C4/C3-1</f>
        <v>-2.498423327114796E-2</v>
      </c>
      <c r="M4" s="50">
        <f t="shared" ref="M4:S4" si="0">D4/D3-1</f>
        <v>1.5622341238763715E-2</v>
      </c>
      <c r="N4" s="50">
        <f t="shared" si="0"/>
        <v>-2.8402540169701673E-2</v>
      </c>
      <c r="O4" s="50">
        <f t="shared" si="0"/>
        <v>-4.3184999072803154E-2</v>
      </c>
      <c r="P4" s="50">
        <f t="shared" si="0"/>
        <v>-1.140893666524867E-2</v>
      </c>
      <c r="Q4" s="50">
        <f t="shared" si="0"/>
        <v>1.2199588732533462E-2</v>
      </c>
      <c r="R4" s="50">
        <f t="shared" si="0"/>
        <v>3.0636824676301577E-2</v>
      </c>
      <c r="S4" s="50">
        <f t="shared" si="0"/>
        <v>4.1507692320275069E-3</v>
      </c>
      <c r="T4" s="50"/>
      <c r="U4" s="70" t="s">
        <v>303</v>
      </c>
      <c r="V4" s="42">
        <f>SLOPE(M4:M264,$L$4:$L$264)</f>
        <v>0.519043999082893</v>
      </c>
      <c r="W4" s="42">
        <f t="shared" ref="W4:AB4" si="1">SLOPE(N4:N264,$L$4:$L$264)</f>
        <v>0.66114766781475476</v>
      </c>
      <c r="X4" s="42">
        <f t="shared" si="1"/>
        <v>0.75906594645302827</v>
      </c>
      <c r="Y4" s="42">
        <f t="shared" si="1"/>
        <v>0.36352527127613388</v>
      </c>
      <c r="Z4" s="42">
        <f t="shared" si="1"/>
        <v>0.85642999826981081</v>
      </c>
      <c r="AA4" s="42">
        <f t="shared" si="1"/>
        <v>0.45411528787876609</v>
      </c>
      <c r="AB4" s="42">
        <f t="shared" si="1"/>
        <v>0.68181058112093496</v>
      </c>
    </row>
    <row r="5" spans="1:30">
      <c r="B5" s="112">
        <v>42240</v>
      </c>
      <c r="C5" s="42">
        <v>26392.380859000001</v>
      </c>
      <c r="D5" s="42">
        <v>788.97381600000006</v>
      </c>
      <c r="E5" s="42">
        <v>5629.1948240000002</v>
      </c>
      <c r="F5" s="42">
        <v>1416.8051760000001</v>
      </c>
      <c r="G5" s="42">
        <v>5830.5322269999997</v>
      </c>
      <c r="H5" s="42">
        <v>406.63757299999997</v>
      </c>
      <c r="I5" s="42">
        <v>189.50595100000001</v>
      </c>
      <c r="J5" s="42">
        <v>549.73132299999997</v>
      </c>
      <c r="L5" s="50">
        <f t="shared" ref="L5:L68" si="2">C5/C4-1</f>
        <v>-3.5580170731983274E-2</v>
      </c>
      <c r="M5" s="50">
        <f t="shared" ref="M5:M68" si="3">D5/D4-1</f>
        <v>-3.3535049510537207E-2</v>
      </c>
      <c r="N5" s="50">
        <f t="shared" ref="N5:N68" si="4">E5/E4-1</f>
        <v>2.281969811529061E-3</v>
      </c>
      <c r="O5" s="50">
        <f t="shared" ref="O5:O68" si="5">F5/F4-1</f>
        <v>-7.0501530224893028E-2</v>
      </c>
      <c r="P5" s="50">
        <f t="shared" ref="P5:P68" si="6">G5/G4-1</f>
        <v>8.9877414287760082E-3</v>
      </c>
      <c r="Q5" s="50">
        <f t="shared" ref="Q5:Q68" si="7">H5/H4-1</f>
        <v>4.5883258570755814E-4</v>
      </c>
      <c r="R5" s="50">
        <f t="shared" ref="R5:R68" si="8">I5/I4-1</f>
        <v>-4.5285632726951519E-2</v>
      </c>
      <c r="S5" s="50">
        <f t="shared" ref="S5:S68" si="9">J5/J4-1</f>
        <v>-8.9983523084960826E-2</v>
      </c>
      <c r="T5" s="50"/>
      <c r="U5" s="70" t="s">
        <v>304</v>
      </c>
      <c r="V5" s="42">
        <f>SLOPE(M56:M264, $L$56:$L$264)</f>
        <v>0.49559020576612883</v>
      </c>
      <c r="W5" s="42">
        <f t="shared" ref="W5:AB5" si="10">SLOPE(N56:N264, $L$56:$L$264)</f>
        <v>0.68791361642287552</v>
      </c>
      <c r="X5" s="42">
        <f t="shared" si="10"/>
        <v>0.73563711876252214</v>
      </c>
      <c r="Y5" s="42">
        <f t="shared" si="10"/>
        <v>0.42115430147894134</v>
      </c>
      <c r="Z5" s="42">
        <f t="shared" si="10"/>
        <v>0.88630239392394117</v>
      </c>
      <c r="AA5" s="42">
        <f t="shared" si="10"/>
        <v>0.4971755781334613</v>
      </c>
      <c r="AB5" s="42">
        <f t="shared" si="10"/>
        <v>0.9016331150545408</v>
      </c>
    </row>
    <row r="6" spans="1:30">
      <c r="B6" s="112">
        <v>42247</v>
      </c>
      <c r="C6" s="42">
        <v>25201.900390999999</v>
      </c>
      <c r="D6" s="42">
        <v>766.35260000000005</v>
      </c>
      <c r="E6" s="42">
        <v>5528.640625</v>
      </c>
      <c r="F6" s="42">
        <v>1423.684692</v>
      </c>
      <c r="G6" s="42">
        <v>5632.4184569999998</v>
      </c>
      <c r="H6" s="42">
        <v>379.82724000000002</v>
      </c>
      <c r="I6" s="42">
        <v>185.195877</v>
      </c>
      <c r="J6" s="42">
        <v>576.66754200000003</v>
      </c>
      <c r="L6" s="50">
        <f t="shared" si="2"/>
        <v>-4.5106975166813723E-2</v>
      </c>
      <c r="M6" s="50">
        <f t="shared" si="3"/>
        <v>-2.867169422007787E-2</v>
      </c>
      <c r="N6" s="50">
        <f t="shared" si="4"/>
        <v>-1.7862980789239757E-2</v>
      </c>
      <c r="O6" s="50">
        <f t="shared" si="5"/>
        <v>4.8556541975817158E-3</v>
      </c>
      <c r="P6" s="50">
        <f t="shared" si="6"/>
        <v>-3.3978676780581973E-2</v>
      </c>
      <c r="Q6" s="50">
        <f t="shared" si="7"/>
        <v>-6.5931765238034123E-2</v>
      </c>
      <c r="R6" s="50">
        <f t="shared" si="8"/>
        <v>-2.2743739588420686E-2</v>
      </c>
      <c r="S6" s="50">
        <f t="shared" si="9"/>
        <v>4.8998879767307768E-2</v>
      </c>
      <c r="T6" s="50"/>
      <c r="U6" s="70" t="s">
        <v>305</v>
      </c>
      <c r="V6" s="42">
        <f>SLOPE(M108:M264,$L$108:$L$264)</f>
        <v>0.44649079414532727</v>
      </c>
      <c r="W6" s="42">
        <f t="shared" ref="W6:AB6" si="11">SLOPE(N108:N264,$L$108:$L$264)</f>
        <v>0.67676145746668215</v>
      </c>
      <c r="X6" s="42">
        <f t="shared" si="11"/>
        <v>0.75693041367826153</v>
      </c>
      <c r="Y6" s="42">
        <f t="shared" si="11"/>
        <v>0.3820481078333513</v>
      </c>
      <c r="Z6" s="42">
        <f t="shared" si="11"/>
        <v>0.83388968763422167</v>
      </c>
      <c r="AA6" s="42">
        <f t="shared" si="11"/>
        <v>0.43565851721255505</v>
      </c>
      <c r="AB6" s="42">
        <f t="shared" si="11"/>
        <v>0.86027254410587339</v>
      </c>
    </row>
    <row r="7" spans="1:30">
      <c r="B7" s="112">
        <v>42254</v>
      </c>
      <c r="C7" s="42">
        <v>25610.210938</v>
      </c>
      <c r="D7" s="42">
        <v>734.26727300000005</v>
      </c>
      <c r="E7" s="42">
        <v>5533.8486329999996</v>
      </c>
      <c r="F7" s="42">
        <v>1407.305298</v>
      </c>
      <c r="G7" s="42">
        <v>5687.5664059999999</v>
      </c>
      <c r="H7" s="42">
        <v>380.40213</v>
      </c>
      <c r="I7" s="42">
        <v>186.85536200000001</v>
      </c>
      <c r="J7" s="42">
        <v>563.69647199999997</v>
      </c>
      <c r="L7" s="50">
        <f t="shared" si="2"/>
        <v>1.6201577685221569E-2</v>
      </c>
      <c r="M7" s="50">
        <f t="shared" si="3"/>
        <v>-4.1867577665946509E-2</v>
      </c>
      <c r="N7" s="50">
        <f t="shared" si="4"/>
        <v>9.4200516062659112E-4</v>
      </c>
      <c r="O7" s="50">
        <f t="shared" si="5"/>
        <v>-1.1504930896594989E-2</v>
      </c>
      <c r="P7" s="50">
        <f t="shared" si="6"/>
        <v>9.7911668710377597E-3</v>
      </c>
      <c r="Q7" s="50">
        <f t="shared" si="7"/>
        <v>1.513556531648419E-3</v>
      </c>
      <c r="R7" s="50">
        <f t="shared" si="8"/>
        <v>8.9607016467219136E-3</v>
      </c>
      <c r="S7" s="50">
        <f t="shared" si="9"/>
        <v>-2.2493150828315711E-2</v>
      </c>
      <c r="T7" s="50"/>
      <c r="U7" s="70" t="s">
        <v>306</v>
      </c>
      <c r="V7" s="42">
        <f>SLOPE(M160:M264,$L$160:$L$264)</f>
        <v>0.42601868917182767</v>
      </c>
      <c r="W7" s="42">
        <f t="shared" ref="W7:AB7" si="12">SLOPE(N160:N264,$L$160:$L$264)</f>
        <v>0.71053910692629196</v>
      </c>
      <c r="X7" s="42">
        <f t="shared" si="12"/>
        <v>0.81166415314228646</v>
      </c>
      <c r="Y7" s="42">
        <f t="shared" si="12"/>
        <v>0.41828413059596087</v>
      </c>
      <c r="Z7" s="42">
        <f t="shared" si="12"/>
        <v>0.8606507812790043</v>
      </c>
      <c r="AA7" s="42">
        <f t="shared" si="12"/>
        <v>0.47106297709882761</v>
      </c>
      <c r="AB7" s="42">
        <f t="shared" si="12"/>
        <v>0.89888363987817532</v>
      </c>
    </row>
    <row r="8" spans="1:30">
      <c r="B8" s="112">
        <v>42261</v>
      </c>
      <c r="C8" s="42">
        <v>26218.910156000002</v>
      </c>
      <c r="D8" s="42">
        <v>736.66790800000001</v>
      </c>
      <c r="E8" s="42">
        <v>5750.9614259999998</v>
      </c>
      <c r="F8" s="42">
        <v>1428.286987</v>
      </c>
      <c r="G8" s="42">
        <v>5678.0727539999998</v>
      </c>
      <c r="H8" s="42">
        <v>369.61004600000001</v>
      </c>
      <c r="I8" s="42">
        <v>186.60179099999999</v>
      </c>
      <c r="J8" s="42">
        <v>506.725708</v>
      </c>
      <c r="L8" s="50">
        <f t="shared" si="2"/>
        <v>2.3767833051965281E-2</v>
      </c>
      <c r="M8" s="50">
        <f t="shared" si="3"/>
        <v>3.2694293866477597E-3</v>
      </c>
      <c r="N8" s="50">
        <f t="shared" si="4"/>
        <v>3.9233598061445329E-2</v>
      </c>
      <c r="O8" s="50">
        <f t="shared" si="5"/>
        <v>1.490912386233334E-2</v>
      </c>
      <c r="P8" s="50">
        <f t="shared" si="6"/>
        <v>-1.6691940493186452E-3</v>
      </c>
      <c r="Q8" s="50">
        <f t="shared" si="7"/>
        <v>-2.8370198663188351E-2</v>
      </c>
      <c r="R8" s="50">
        <f t="shared" si="8"/>
        <v>-1.357044278986308E-3</v>
      </c>
      <c r="S8" s="50">
        <f t="shared" si="9"/>
        <v>-0.10106638382508804</v>
      </c>
      <c r="T8" s="50"/>
      <c r="U8" s="70" t="s">
        <v>307</v>
      </c>
      <c r="V8" s="42">
        <f>SLOPE(M213:M264,$L$213:$L$264)</f>
        <v>0.38297439240335096</v>
      </c>
      <c r="W8" s="42">
        <f t="shared" ref="W8:AB8" si="13">SLOPE(N213:N264,$L$213:$L$264)</f>
        <v>0.62298893751779749</v>
      </c>
      <c r="X8" s="42">
        <f t="shared" si="13"/>
        <v>0.73712607976613642</v>
      </c>
      <c r="Y8" s="42">
        <f t="shared" si="13"/>
        <v>0.33488079355458067</v>
      </c>
      <c r="Z8" s="42">
        <f t="shared" si="13"/>
        <v>0.85313591796848676</v>
      </c>
      <c r="AA8" s="42">
        <f t="shared" si="13"/>
        <v>0.35080589469535922</v>
      </c>
      <c r="AB8" s="42">
        <f t="shared" si="13"/>
        <v>0.81276768559717472</v>
      </c>
    </row>
    <row r="9" spans="1:30">
      <c r="B9" s="112">
        <v>42268</v>
      </c>
      <c r="C9" s="42">
        <v>25863.5</v>
      </c>
      <c r="D9" s="42">
        <v>721.75640899999996</v>
      </c>
      <c r="E9" s="42">
        <v>5728.2314450000003</v>
      </c>
      <c r="F9" s="42">
        <v>1376.356323</v>
      </c>
      <c r="G9" s="42">
        <v>5679.7006840000004</v>
      </c>
      <c r="H9" s="42">
        <v>365.302032</v>
      </c>
      <c r="I9" s="42">
        <v>182.26869199999999</v>
      </c>
      <c r="J9" s="42">
        <v>506.70263699999998</v>
      </c>
      <c r="L9" s="50">
        <f t="shared" si="2"/>
        <v>-1.3555489297051082E-2</v>
      </c>
      <c r="M9" s="50">
        <f t="shared" si="3"/>
        <v>-2.024181973731376E-2</v>
      </c>
      <c r="N9" s="50">
        <f t="shared" si="4"/>
        <v>-3.9523793182193456E-3</v>
      </c>
      <c r="O9" s="50">
        <f t="shared" si="5"/>
        <v>-3.6358704148860221E-2</v>
      </c>
      <c r="P9" s="50">
        <f t="shared" si="6"/>
        <v>2.8670467437286185E-4</v>
      </c>
      <c r="Q9" s="50">
        <f t="shared" si="7"/>
        <v>-1.1655565227791542E-2</v>
      </c>
      <c r="R9" s="50">
        <f t="shared" si="8"/>
        <v>-2.3221100809262873E-2</v>
      </c>
      <c r="S9" s="50">
        <f t="shared" si="9"/>
        <v>-4.552956290904131E-5</v>
      </c>
      <c r="T9" s="50"/>
      <c r="U9" s="70" t="s">
        <v>163</v>
      </c>
      <c r="V9" s="42" t="s">
        <v>217</v>
      </c>
      <c r="W9" s="42">
        <v>0.08</v>
      </c>
      <c r="X9" s="42">
        <v>0.35</v>
      </c>
      <c r="Y9" s="42" t="s">
        <v>217</v>
      </c>
      <c r="Z9" s="42">
        <v>0.45</v>
      </c>
      <c r="AA9" s="42">
        <v>0.11</v>
      </c>
      <c r="AB9" s="42">
        <v>0.12</v>
      </c>
    </row>
    <row r="10" spans="1:30">
      <c r="B10" s="112">
        <v>42275</v>
      </c>
      <c r="C10" s="42">
        <v>26220.949218999998</v>
      </c>
      <c r="D10" s="42">
        <v>753.79547100000002</v>
      </c>
      <c r="E10" s="42">
        <v>5922.2905270000001</v>
      </c>
      <c r="F10" s="42">
        <v>1487.793091</v>
      </c>
      <c r="G10" s="42">
        <v>5634.6992190000001</v>
      </c>
      <c r="H10" s="42">
        <v>382.22155800000002</v>
      </c>
      <c r="I10" s="42">
        <v>184.31999200000001</v>
      </c>
      <c r="J10" s="42">
        <v>541.82379200000003</v>
      </c>
      <c r="L10" s="50">
        <f t="shared" si="2"/>
        <v>1.3820605061186653E-2</v>
      </c>
      <c r="M10" s="50">
        <f t="shared" si="3"/>
        <v>4.4390408731375786E-2</v>
      </c>
      <c r="N10" s="50">
        <f t="shared" si="4"/>
        <v>3.3877660821367117E-2</v>
      </c>
      <c r="O10" s="50">
        <f t="shared" si="5"/>
        <v>8.0965056895371923E-2</v>
      </c>
      <c r="P10" s="50">
        <f t="shared" si="6"/>
        <v>-7.9232106591059503E-3</v>
      </c>
      <c r="Q10" s="50">
        <f t="shared" si="7"/>
        <v>4.631653951489656E-2</v>
      </c>
      <c r="R10" s="50">
        <f t="shared" si="8"/>
        <v>1.1254264116845825E-2</v>
      </c>
      <c r="S10" s="50">
        <f t="shared" si="9"/>
        <v>6.9313148255828017E-2</v>
      </c>
      <c r="T10" s="50"/>
    </row>
    <row r="11" spans="1:30">
      <c r="B11" s="112">
        <v>42282</v>
      </c>
      <c r="C11" s="42">
        <v>27079.509765999999</v>
      </c>
      <c r="D11" s="42">
        <v>755.27264400000001</v>
      </c>
      <c r="E11" s="42">
        <v>5916.8046880000002</v>
      </c>
      <c r="F11" s="42">
        <v>1536.0554199999999</v>
      </c>
      <c r="G11" s="42">
        <v>5631.6279299999997</v>
      </c>
      <c r="H11" s="42">
        <v>390.66601600000001</v>
      </c>
      <c r="I11" s="42">
        <v>184.43524199999999</v>
      </c>
      <c r="J11" s="42">
        <v>535.78912400000002</v>
      </c>
      <c r="L11" s="50">
        <f t="shared" si="2"/>
        <v>3.2743305355928065E-2</v>
      </c>
      <c r="M11" s="50">
        <f t="shared" si="3"/>
        <v>1.9596469557456864E-3</v>
      </c>
      <c r="N11" s="50">
        <f t="shared" si="4"/>
        <v>-9.2630359402157136E-4</v>
      </c>
      <c r="O11" s="50">
        <f t="shared" si="5"/>
        <v>3.2438871568869265E-2</v>
      </c>
      <c r="P11" s="50">
        <f t="shared" si="6"/>
        <v>-5.4506707113033404E-4</v>
      </c>
      <c r="Q11" s="50">
        <f t="shared" si="7"/>
        <v>2.2093097114108895E-2</v>
      </c>
      <c r="R11" s="50">
        <f t="shared" si="8"/>
        <v>6.2527129449940766E-4</v>
      </c>
      <c r="S11" s="50">
        <f t="shared" si="9"/>
        <v>-1.1137694743386217E-2</v>
      </c>
      <c r="T11" s="50"/>
    </row>
    <row r="12" spans="1:30">
      <c r="B12" s="112">
        <v>42289</v>
      </c>
      <c r="C12" s="42">
        <v>27214.599609000001</v>
      </c>
      <c r="D12" s="42">
        <v>724.80328399999996</v>
      </c>
      <c r="E12" s="42">
        <v>6044.4716799999997</v>
      </c>
      <c r="F12" s="42">
        <v>1538.2753909999999</v>
      </c>
      <c r="G12" s="42">
        <v>5598.5395509999998</v>
      </c>
      <c r="H12" s="42">
        <v>374.912781</v>
      </c>
      <c r="I12" s="42">
        <v>184.25086999999999</v>
      </c>
      <c r="J12" s="42">
        <v>496.45996100000002</v>
      </c>
      <c r="L12" s="50">
        <f t="shared" si="2"/>
        <v>4.9886369497580407E-3</v>
      </c>
      <c r="M12" s="50">
        <f t="shared" si="3"/>
        <v>-4.0342199922178135E-2</v>
      </c>
      <c r="N12" s="50">
        <f t="shared" si="4"/>
        <v>2.1577016435733176E-2</v>
      </c>
      <c r="O12" s="50">
        <f t="shared" si="5"/>
        <v>1.4452414744254849E-3</v>
      </c>
      <c r="P12" s="50">
        <f t="shared" si="6"/>
        <v>-5.8754554475689558E-3</v>
      </c>
      <c r="Q12" s="50">
        <f t="shared" si="7"/>
        <v>-4.0324047536297702E-2</v>
      </c>
      <c r="R12" s="50">
        <f t="shared" si="8"/>
        <v>-9.996571045787217E-4</v>
      </c>
      <c r="S12" s="50">
        <f t="shared" si="9"/>
        <v>-7.3404183172631865E-2</v>
      </c>
      <c r="T12" s="50"/>
    </row>
    <row r="13" spans="1:30">
      <c r="B13" s="112">
        <v>42296</v>
      </c>
      <c r="C13" s="42">
        <v>27470.810547000001</v>
      </c>
      <c r="D13" s="42">
        <v>738.83770800000002</v>
      </c>
      <c r="E13" s="42">
        <v>5835.75</v>
      </c>
      <c r="F13" s="42">
        <v>1546.6987300000001</v>
      </c>
      <c r="G13" s="42">
        <v>5622.4604490000002</v>
      </c>
      <c r="H13" s="42">
        <v>390.52593999999999</v>
      </c>
      <c r="I13" s="42">
        <v>177.75112899999999</v>
      </c>
      <c r="J13" s="42">
        <v>504.32107500000001</v>
      </c>
      <c r="L13" s="50">
        <f t="shared" si="2"/>
        <v>9.4144665613697942E-3</v>
      </c>
      <c r="M13" s="50">
        <f t="shared" si="3"/>
        <v>1.9363080038141911E-2</v>
      </c>
      <c r="N13" s="50">
        <f t="shared" si="4"/>
        <v>-3.4531004701472856E-2</v>
      </c>
      <c r="O13" s="50">
        <f t="shared" si="5"/>
        <v>5.4758329030566433E-3</v>
      </c>
      <c r="P13" s="50">
        <f t="shared" si="6"/>
        <v>4.2727032259204378E-3</v>
      </c>
      <c r="Q13" s="50">
        <f t="shared" si="7"/>
        <v>4.164477657538157E-2</v>
      </c>
      <c r="R13" s="50">
        <f t="shared" si="8"/>
        <v>-3.5276582411795432E-2</v>
      </c>
      <c r="S13" s="50">
        <f t="shared" si="9"/>
        <v>1.5834336336339572E-2</v>
      </c>
      <c r="T13" s="50"/>
      <c r="AC13" s="42" t="s">
        <v>308</v>
      </c>
      <c r="AD13" s="42">
        <f>AVERAGE(V4:AB8)</f>
        <v>0.62869656523172202</v>
      </c>
    </row>
    <row r="14" spans="1:30">
      <c r="B14" s="112">
        <v>42303</v>
      </c>
      <c r="C14" s="42">
        <v>26656.830077999999</v>
      </c>
      <c r="D14" s="42">
        <v>745.42553699999996</v>
      </c>
      <c r="E14" s="42">
        <v>5693.0532229999999</v>
      </c>
      <c r="F14" s="42">
        <v>1539.7714840000001</v>
      </c>
      <c r="G14" s="42">
        <v>5596.0263670000004</v>
      </c>
      <c r="H14" s="42">
        <v>392.51727299999999</v>
      </c>
      <c r="I14" s="42">
        <v>178.48869300000001</v>
      </c>
      <c r="J14" s="42">
        <v>495.535034</v>
      </c>
      <c r="L14" s="50">
        <f t="shared" si="2"/>
        <v>-2.9630740877024997E-2</v>
      </c>
      <c r="M14" s="50">
        <f t="shared" si="3"/>
        <v>8.9164764178495393E-3</v>
      </c>
      <c r="N14" s="50">
        <f t="shared" si="4"/>
        <v>-2.4452174442016861E-2</v>
      </c>
      <c r="O14" s="50">
        <f t="shared" si="5"/>
        <v>-4.478729998051989E-3</v>
      </c>
      <c r="P14" s="50">
        <f t="shared" si="6"/>
        <v>-4.7015149754768837E-3</v>
      </c>
      <c r="Q14" s="50">
        <f t="shared" si="7"/>
        <v>5.0991055805409413E-3</v>
      </c>
      <c r="R14" s="50">
        <f t="shared" si="8"/>
        <v>4.1494194953890506E-3</v>
      </c>
      <c r="S14" s="50">
        <f t="shared" si="9"/>
        <v>-1.7421522588561333E-2</v>
      </c>
      <c r="T14" s="50"/>
    </row>
    <row r="15" spans="1:30">
      <c r="B15" s="112">
        <v>42310</v>
      </c>
      <c r="C15" s="42">
        <v>26265.240234000001</v>
      </c>
      <c r="D15" s="42">
        <v>743.93585199999995</v>
      </c>
      <c r="E15" s="42">
        <v>5688.4877930000002</v>
      </c>
      <c r="F15" s="42">
        <v>1491.223389</v>
      </c>
      <c r="G15" s="42">
        <v>5474.0952150000003</v>
      </c>
      <c r="H15" s="42">
        <v>406.180206</v>
      </c>
      <c r="I15" s="42">
        <v>185.65681499999999</v>
      </c>
      <c r="J15" s="42">
        <v>487.99746699999997</v>
      </c>
      <c r="L15" s="50">
        <f t="shared" si="2"/>
        <v>-1.4690037894759977E-2</v>
      </c>
      <c r="M15" s="50">
        <f t="shared" si="3"/>
        <v>-1.9984356935172087E-3</v>
      </c>
      <c r="N15" s="50">
        <f t="shared" si="4"/>
        <v>-8.0192996994221666E-4</v>
      </c>
      <c r="O15" s="50">
        <f t="shared" si="5"/>
        <v>-3.1529415568784525E-2</v>
      </c>
      <c r="P15" s="50">
        <f t="shared" si="6"/>
        <v>-2.1788880895742935E-2</v>
      </c>
      <c r="Q15" s="50">
        <f t="shared" si="7"/>
        <v>3.4808488542617644E-2</v>
      </c>
      <c r="R15" s="50">
        <f t="shared" si="8"/>
        <v>4.016009014083588E-2</v>
      </c>
      <c r="S15" s="50">
        <f t="shared" si="9"/>
        <v>-1.5210966900071954E-2</v>
      </c>
      <c r="T15" s="50"/>
      <c r="AC15" s="42" t="s">
        <v>309</v>
      </c>
      <c r="AD15" s="42">
        <f>SUM(W9:X9,Z9:AB9)/7</f>
        <v>0.15857142857142856</v>
      </c>
    </row>
    <row r="16" spans="1:30">
      <c r="B16" s="112">
        <v>42317</v>
      </c>
      <c r="C16" s="42">
        <v>25610.529297000001</v>
      </c>
      <c r="D16" s="42">
        <v>741.74804700000004</v>
      </c>
      <c r="E16" s="42">
        <v>5564.2338870000003</v>
      </c>
      <c r="F16" s="42">
        <v>1387.075928</v>
      </c>
      <c r="G16" s="42">
        <v>5570.6157229999999</v>
      </c>
      <c r="H16" s="42">
        <v>391.49676499999998</v>
      </c>
      <c r="I16" s="42">
        <v>183.32894899999999</v>
      </c>
      <c r="J16" s="42">
        <v>468.06698599999999</v>
      </c>
      <c r="L16" s="50">
        <f t="shared" si="2"/>
        <v>-2.4926896962186751E-2</v>
      </c>
      <c r="M16" s="50">
        <f t="shared" si="3"/>
        <v>-2.9408516797762019E-3</v>
      </c>
      <c r="N16" s="50">
        <f t="shared" si="4"/>
        <v>-2.1843046961074863E-2</v>
      </c>
      <c r="O16" s="50">
        <f t="shared" si="5"/>
        <v>-6.9840281320855846E-2</v>
      </c>
      <c r="P16" s="50">
        <f t="shared" si="6"/>
        <v>1.7632230388597625E-2</v>
      </c>
      <c r="Q16" s="50">
        <f t="shared" si="7"/>
        <v>-3.615006537270804E-2</v>
      </c>
      <c r="R16" s="50">
        <f t="shared" si="8"/>
        <v>-1.2538543225574572E-2</v>
      </c>
      <c r="S16" s="50">
        <f t="shared" si="9"/>
        <v>-4.0841361580264079E-2</v>
      </c>
      <c r="T16" s="50"/>
    </row>
    <row r="17" spans="2:30">
      <c r="B17" s="112">
        <v>42324</v>
      </c>
      <c r="C17" s="42">
        <v>25868.490234000001</v>
      </c>
      <c r="D17" s="42">
        <v>743.09802200000001</v>
      </c>
      <c r="E17" s="42">
        <v>5713.6616210000002</v>
      </c>
      <c r="F17" s="42">
        <v>1413.6320800000001</v>
      </c>
      <c r="G17" s="42">
        <v>5476.9345700000003</v>
      </c>
      <c r="H17" s="42">
        <v>380.66369600000002</v>
      </c>
      <c r="I17" s="42">
        <v>194.93383800000001</v>
      </c>
      <c r="J17" s="42">
        <v>464.25198399999999</v>
      </c>
      <c r="L17" s="50">
        <f t="shared" si="2"/>
        <v>1.0072456293600096E-2</v>
      </c>
      <c r="M17" s="50">
        <f t="shared" si="3"/>
        <v>1.8199913103376097E-3</v>
      </c>
      <c r="N17" s="50">
        <f t="shared" si="4"/>
        <v>2.6855041868228291E-2</v>
      </c>
      <c r="O17" s="50">
        <f t="shared" si="5"/>
        <v>1.9145420567056481E-2</v>
      </c>
      <c r="P17" s="50">
        <f t="shared" si="6"/>
        <v>-1.6817019456791482E-2</v>
      </c>
      <c r="Q17" s="50">
        <f t="shared" si="7"/>
        <v>-2.7670902976682288E-2</v>
      </c>
      <c r="R17" s="50">
        <f t="shared" si="8"/>
        <v>6.3300908357904806E-2</v>
      </c>
      <c r="S17" s="50">
        <f t="shared" si="9"/>
        <v>-8.1505470672097458E-3</v>
      </c>
      <c r="T17" s="50"/>
      <c r="AC17" s="42" t="s">
        <v>310</v>
      </c>
      <c r="AD17" s="42">
        <f>AD13/(1+(1-'Cost Sheet'!H50)*AD15)</f>
        <v>0.55666241721838639</v>
      </c>
    </row>
    <row r="18" spans="2:30">
      <c r="B18" s="112">
        <v>42331</v>
      </c>
      <c r="C18" s="42">
        <v>26128.199218999998</v>
      </c>
      <c r="D18" s="42">
        <v>759.90301499999998</v>
      </c>
      <c r="E18" s="42">
        <v>5485.669922</v>
      </c>
      <c r="F18" s="42">
        <v>1394.870361</v>
      </c>
      <c r="G18" s="42">
        <v>5568.3828130000002</v>
      </c>
      <c r="H18" s="42">
        <v>400.28808600000002</v>
      </c>
      <c r="I18" s="42">
        <v>195.770859</v>
      </c>
      <c r="J18" s="42">
        <v>421.63943499999999</v>
      </c>
      <c r="L18" s="50">
        <f t="shared" si="2"/>
        <v>1.0039588033577962E-2</v>
      </c>
      <c r="M18" s="50">
        <f t="shared" si="3"/>
        <v>2.26147728865842E-2</v>
      </c>
      <c r="N18" s="50">
        <f t="shared" si="4"/>
        <v>-3.9902905373681796E-2</v>
      </c>
      <c r="O18" s="50">
        <f t="shared" si="5"/>
        <v>-1.327199577983551E-2</v>
      </c>
      <c r="P18" s="50">
        <f t="shared" si="6"/>
        <v>1.6696975622259469E-2</v>
      </c>
      <c r="Q18" s="50">
        <f t="shared" si="7"/>
        <v>5.1553090578934535E-2</v>
      </c>
      <c r="R18" s="50">
        <f t="shared" si="8"/>
        <v>4.2938722624441539E-3</v>
      </c>
      <c r="S18" s="50">
        <f t="shared" si="9"/>
        <v>-9.1787543120117276E-2</v>
      </c>
      <c r="T18" s="50"/>
    </row>
    <row r="19" spans="2:30">
      <c r="B19" s="112">
        <v>42338</v>
      </c>
      <c r="C19" s="42">
        <v>25638.109375</v>
      </c>
      <c r="D19" s="42">
        <v>758.73919699999999</v>
      </c>
      <c r="E19" s="42">
        <v>5400.8793949999999</v>
      </c>
      <c r="F19" s="42">
        <v>1398.767456</v>
      </c>
      <c r="G19" s="42">
        <v>5452.2231449999999</v>
      </c>
      <c r="H19" s="42">
        <v>375.89392099999998</v>
      </c>
      <c r="I19" s="42">
        <v>197.235657</v>
      </c>
      <c r="J19" s="42">
        <v>466.79525799999999</v>
      </c>
      <c r="L19" s="50">
        <f t="shared" si="2"/>
        <v>-1.875712290357967E-2</v>
      </c>
      <c r="M19" s="50">
        <f t="shared" si="3"/>
        <v>-1.5315349156760361E-3</v>
      </c>
      <c r="N19" s="50">
        <f t="shared" si="4"/>
        <v>-1.5456731485055664E-2</v>
      </c>
      <c r="O19" s="50">
        <f t="shared" si="5"/>
        <v>2.79387612566806E-3</v>
      </c>
      <c r="P19" s="50">
        <f t="shared" si="6"/>
        <v>-2.0860575125835945E-2</v>
      </c>
      <c r="Q19" s="50">
        <f t="shared" si="7"/>
        <v>-6.0941521502091422E-2</v>
      </c>
      <c r="R19" s="50">
        <f t="shared" si="8"/>
        <v>7.4822065320763187E-3</v>
      </c>
      <c r="S19" s="50">
        <f t="shared" si="9"/>
        <v>0.10709582465881073</v>
      </c>
      <c r="T19" s="50"/>
    </row>
    <row r="20" spans="2:30">
      <c r="B20" s="112">
        <v>42345</v>
      </c>
      <c r="C20" s="42">
        <v>25044.429688</v>
      </c>
      <c r="D20" s="42">
        <v>765.39599599999997</v>
      </c>
      <c r="E20" s="42">
        <v>5448.0908200000003</v>
      </c>
      <c r="F20" s="42">
        <v>1324.8544919999999</v>
      </c>
      <c r="G20" s="42">
        <v>5954.6494140000004</v>
      </c>
      <c r="H20" s="42">
        <v>393.25778200000002</v>
      </c>
      <c r="I20" s="42">
        <v>199.39799500000001</v>
      </c>
      <c r="J20" s="42">
        <v>456.92248499999999</v>
      </c>
      <c r="L20" s="50">
        <f t="shared" si="2"/>
        <v>-2.3156141442274292E-2</v>
      </c>
      <c r="M20" s="50">
        <f t="shared" si="3"/>
        <v>8.7735008634330924E-3</v>
      </c>
      <c r="N20" s="50">
        <f t="shared" si="4"/>
        <v>8.7414329310349093E-3</v>
      </c>
      <c r="O20" s="50">
        <f t="shared" si="5"/>
        <v>-5.2841495334303823E-2</v>
      </c>
      <c r="P20" s="50">
        <f t="shared" si="6"/>
        <v>9.2150716439541647E-2</v>
      </c>
      <c r="Q20" s="50">
        <f t="shared" si="7"/>
        <v>4.619351372803937E-2</v>
      </c>
      <c r="R20" s="50">
        <f t="shared" si="8"/>
        <v>1.0963220509362603E-2</v>
      </c>
      <c r="S20" s="50">
        <f t="shared" si="9"/>
        <v>-2.1150114168469125E-2</v>
      </c>
      <c r="T20" s="50"/>
    </row>
    <row r="21" spans="2:30">
      <c r="B21" s="112">
        <v>42352</v>
      </c>
      <c r="C21" s="42">
        <v>25519.220702999999</v>
      </c>
      <c r="D21" s="42">
        <v>797.93536400000005</v>
      </c>
      <c r="E21" s="42">
        <v>5245.7099609999996</v>
      </c>
      <c r="F21" s="42">
        <v>1377.0234379999999</v>
      </c>
      <c r="G21" s="42">
        <v>6187.7583009999998</v>
      </c>
      <c r="H21" s="42">
        <v>407.62982199999999</v>
      </c>
      <c r="I21" s="42">
        <v>211.395355</v>
      </c>
      <c r="J21" s="42">
        <v>452.83007800000001</v>
      </c>
      <c r="L21" s="50">
        <f t="shared" si="2"/>
        <v>1.8957948770041089E-2</v>
      </c>
      <c r="M21" s="50">
        <f t="shared" si="3"/>
        <v>4.2513115001976187E-2</v>
      </c>
      <c r="N21" s="50">
        <f t="shared" si="4"/>
        <v>-3.7147115510089979E-2</v>
      </c>
      <c r="O21" s="50">
        <f t="shared" si="5"/>
        <v>3.9377113724576418E-2</v>
      </c>
      <c r="P21" s="50">
        <f t="shared" si="6"/>
        <v>3.9147373891053272E-2</v>
      </c>
      <c r="Q21" s="50">
        <f t="shared" si="7"/>
        <v>3.6546104509128208E-2</v>
      </c>
      <c r="R21" s="50">
        <f t="shared" si="8"/>
        <v>6.0167906903978663E-2</v>
      </c>
      <c r="S21" s="50">
        <f t="shared" si="9"/>
        <v>-8.9564578989803634E-3</v>
      </c>
      <c r="T21" s="50"/>
    </row>
    <row r="22" spans="2:30">
      <c r="B22" s="112">
        <v>42359</v>
      </c>
      <c r="C22" s="42">
        <v>25838.710938</v>
      </c>
      <c r="D22" s="42">
        <v>804.63867200000004</v>
      </c>
      <c r="E22" s="42">
        <v>5340.859375</v>
      </c>
      <c r="F22" s="42">
        <v>1386.742432</v>
      </c>
      <c r="G22" s="42">
        <v>6228.154297</v>
      </c>
      <c r="H22" s="42">
        <v>398.667328</v>
      </c>
      <c r="I22" s="42">
        <v>210.27932699999999</v>
      </c>
      <c r="J22" s="42">
        <v>456.34448200000003</v>
      </c>
      <c r="L22" s="50">
        <f t="shared" si="2"/>
        <v>1.2519592142656633E-2</v>
      </c>
      <c r="M22" s="50">
        <f t="shared" si="3"/>
        <v>8.4008157833697084E-3</v>
      </c>
      <c r="N22" s="50">
        <f t="shared" si="4"/>
        <v>1.8138519801400133E-2</v>
      </c>
      <c r="O22" s="50">
        <f t="shared" si="5"/>
        <v>7.0579728215200976E-3</v>
      </c>
      <c r="P22" s="50">
        <f t="shared" si="6"/>
        <v>6.528373287216338E-3</v>
      </c>
      <c r="Q22" s="50">
        <f t="shared" si="7"/>
        <v>-2.1986845702373525E-2</v>
      </c>
      <c r="R22" s="50">
        <f t="shared" si="8"/>
        <v>-5.2793402201292139E-3</v>
      </c>
      <c r="S22" s="50">
        <f t="shared" si="9"/>
        <v>7.7609773969122831E-3</v>
      </c>
      <c r="T22" s="50"/>
    </row>
    <row r="23" spans="2:30">
      <c r="B23" s="112">
        <v>42366</v>
      </c>
      <c r="C23" s="42">
        <v>26117.539063</v>
      </c>
      <c r="D23" s="42">
        <v>797.46984899999995</v>
      </c>
      <c r="E23" s="42">
        <v>5349.4125979999999</v>
      </c>
      <c r="F23" s="42">
        <v>1422.8081050000001</v>
      </c>
      <c r="G23" s="42">
        <v>5928.3081050000001</v>
      </c>
      <c r="H23" s="42">
        <v>418.38525399999997</v>
      </c>
      <c r="I23" s="42">
        <v>211.255844</v>
      </c>
      <c r="J23" s="42">
        <v>457.40808099999998</v>
      </c>
      <c r="L23" s="50">
        <f t="shared" si="2"/>
        <v>1.0791100441080337E-2</v>
      </c>
      <c r="M23" s="50">
        <f t="shared" si="3"/>
        <v>-8.9093691982033985E-3</v>
      </c>
      <c r="N23" s="50">
        <f t="shared" si="4"/>
        <v>1.6014694264441243E-3</v>
      </c>
      <c r="O23" s="50">
        <f t="shared" si="5"/>
        <v>2.6007477789502076E-2</v>
      </c>
      <c r="P23" s="50">
        <f t="shared" si="6"/>
        <v>-4.8143667883185026E-2</v>
      </c>
      <c r="Q23" s="50">
        <f t="shared" si="7"/>
        <v>4.9459598555314788E-2</v>
      </c>
      <c r="R23" s="50">
        <f t="shared" si="8"/>
        <v>4.6439039630368217E-3</v>
      </c>
      <c r="S23" s="50">
        <f t="shared" si="9"/>
        <v>2.3306932415148029E-3</v>
      </c>
      <c r="T23" s="50"/>
    </row>
    <row r="24" spans="2:30">
      <c r="B24" s="112">
        <v>42373</v>
      </c>
      <c r="C24" s="42">
        <v>24934.330077999999</v>
      </c>
      <c r="D24" s="42">
        <v>753.99102800000003</v>
      </c>
      <c r="E24" s="42">
        <v>5208.3061520000001</v>
      </c>
      <c r="F24" s="42">
        <v>1382.740601</v>
      </c>
      <c r="G24" s="42">
        <v>6078.0683589999999</v>
      </c>
      <c r="H24" s="42">
        <v>387.91198700000001</v>
      </c>
      <c r="I24" s="42">
        <v>212.232361</v>
      </c>
      <c r="J24" s="42">
        <v>449.52365099999997</v>
      </c>
      <c r="L24" s="50">
        <f t="shared" si="2"/>
        <v>-4.5303234050723451E-2</v>
      </c>
      <c r="M24" s="50">
        <f t="shared" si="3"/>
        <v>-5.4520959073902198E-2</v>
      </c>
      <c r="N24" s="50">
        <f t="shared" si="4"/>
        <v>-2.6377932794482084E-2</v>
      </c>
      <c r="O24" s="50">
        <f t="shared" si="5"/>
        <v>-2.8160862915522999E-2</v>
      </c>
      <c r="P24" s="50">
        <f t="shared" si="6"/>
        <v>2.5261887767555447E-2</v>
      </c>
      <c r="Q24" s="50">
        <f t="shared" si="7"/>
        <v>-7.2835423114601339E-2</v>
      </c>
      <c r="R24" s="50">
        <f t="shared" si="8"/>
        <v>4.6224378057915239E-3</v>
      </c>
      <c r="S24" s="50">
        <f t="shared" si="9"/>
        <v>-1.7237190000585101E-2</v>
      </c>
      <c r="T24" s="50"/>
    </row>
    <row r="25" spans="2:30">
      <c r="B25" s="112">
        <v>42380</v>
      </c>
      <c r="C25" s="42">
        <v>24455.039063</v>
      </c>
      <c r="D25" s="42">
        <v>748.77722200000005</v>
      </c>
      <c r="E25" s="42">
        <v>5176.0815430000002</v>
      </c>
      <c r="F25" s="42">
        <v>1362.177612</v>
      </c>
      <c r="G25" s="42">
        <v>5540.8310549999997</v>
      </c>
      <c r="H25" s="42">
        <v>386.72695900000002</v>
      </c>
      <c r="I25" s="42">
        <v>209.349289</v>
      </c>
      <c r="J25" s="42">
        <v>457.40808099999998</v>
      </c>
      <c r="L25" s="50">
        <f t="shared" si="2"/>
        <v>-1.9222133239620742E-2</v>
      </c>
      <c r="M25" s="50">
        <f t="shared" si="3"/>
        <v>-6.9149443513006892E-3</v>
      </c>
      <c r="N25" s="50">
        <f t="shared" si="4"/>
        <v>-6.1871572176350753E-3</v>
      </c>
      <c r="O25" s="50">
        <f t="shared" si="5"/>
        <v>-1.4871183347859196E-2</v>
      </c>
      <c r="P25" s="50">
        <f t="shared" si="6"/>
        <v>-8.8389480385572594E-2</v>
      </c>
      <c r="Q25" s="50">
        <f t="shared" si="7"/>
        <v>-3.0548888400295793E-3</v>
      </c>
      <c r="R25" s="50">
        <f t="shared" si="8"/>
        <v>-1.3584507030009463E-2</v>
      </c>
      <c r="S25" s="50">
        <f t="shared" si="9"/>
        <v>1.7539522075113334E-2</v>
      </c>
      <c r="T25" s="50"/>
    </row>
    <row r="26" spans="2:30">
      <c r="B26" s="112">
        <v>42387</v>
      </c>
      <c r="C26" s="42">
        <v>24435.660156000002</v>
      </c>
      <c r="D26" s="42">
        <v>718.28613299999995</v>
      </c>
      <c r="E26" s="42">
        <v>5037.2861329999996</v>
      </c>
      <c r="F26" s="42">
        <v>1246.2910159999999</v>
      </c>
      <c r="G26" s="42">
        <v>5297.9956050000001</v>
      </c>
      <c r="H26" s="42">
        <v>352.43408199999999</v>
      </c>
      <c r="I26" s="42">
        <v>203.95515399999999</v>
      </c>
      <c r="J26" s="42">
        <v>467.07275399999997</v>
      </c>
      <c r="L26" s="50">
        <f t="shared" si="2"/>
        <v>-7.9243001616458031E-4</v>
      </c>
      <c r="M26" s="50">
        <f t="shared" si="3"/>
        <v>-4.0721175944104959E-2</v>
      </c>
      <c r="N26" s="50">
        <f t="shared" si="4"/>
        <v>-2.6814764962059812E-2</v>
      </c>
      <c r="O26" s="50">
        <f t="shared" si="5"/>
        <v>-8.5074512294950333E-2</v>
      </c>
      <c r="P26" s="50">
        <f t="shared" si="6"/>
        <v>-4.3826539302415091E-2</v>
      </c>
      <c r="Q26" s="50">
        <f t="shared" si="7"/>
        <v>-8.8674648099720477E-2</v>
      </c>
      <c r="R26" s="50">
        <f t="shared" si="8"/>
        <v>-2.5766196894033921E-2</v>
      </c>
      <c r="S26" s="50">
        <f t="shared" si="9"/>
        <v>2.112921349983754E-2</v>
      </c>
      <c r="T26" s="50"/>
    </row>
    <row r="27" spans="2:30">
      <c r="B27" s="112">
        <v>42394</v>
      </c>
      <c r="C27" s="42">
        <v>24870.689452999999</v>
      </c>
      <c r="D27" s="42">
        <v>760.55468800000006</v>
      </c>
      <c r="E27" s="42">
        <v>5074.6420900000003</v>
      </c>
      <c r="F27" s="42">
        <v>1281.327759</v>
      </c>
      <c r="G27" s="42">
        <v>5434.4921880000002</v>
      </c>
      <c r="H27" s="42">
        <v>381.87951700000002</v>
      </c>
      <c r="I27" s="42">
        <v>206.14070100000001</v>
      </c>
      <c r="J27" s="42">
        <v>465.96295199999997</v>
      </c>
      <c r="L27" s="50">
        <f t="shared" si="2"/>
        <v>1.7803050714518154E-2</v>
      </c>
      <c r="M27" s="50">
        <f t="shared" si="3"/>
        <v>5.8846402649402219E-2</v>
      </c>
      <c r="N27" s="50">
        <f t="shared" si="4"/>
        <v>7.4158894320646151E-3</v>
      </c>
      <c r="O27" s="50">
        <f t="shared" si="5"/>
        <v>2.8112810371089259E-2</v>
      </c>
      <c r="P27" s="50">
        <f t="shared" si="6"/>
        <v>2.5763815823323988E-2</v>
      </c>
      <c r="Q27" s="50">
        <f t="shared" si="7"/>
        <v>8.3548772675169358E-2</v>
      </c>
      <c r="R27" s="50">
        <f t="shared" si="8"/>
        <v>1.0715821381008128E-2</v>
      </c>
      <c r="S27" s="50">
        <f t="shared" si="9"/>
        <v>-2.3760795090179698E-3</v>
      </c>
      <c r="T27" s="50"/>
    </row>
    <row r="28" spans="2:30">
      <c r="B28" s="112">
        <v>42401</v>
      </c>
      <c r="C28" s="42">
        <v>24616.970702999999</v>
      </c>
      <c r="D28" s="42">
        <v>786.67004399999996</v>
      </c>
      <c r="E28" s="42">
        <v>5013.1518550000001</v>
      </c>
      <c r="F28" s="42">
        <v>1363.778442</v>
      </c>
      <c r="G28" s="42">
        <v>5362.9160160000001</v>
      </c>
      <c r="H28" s="42">
        <v>388.41039999999998</v>
      </c>
      <c r="I28" s="42">
        <v>211.999878</v>
      </c>
      <c r="J28" s="42">
        <v>475.14205900000002</v>
      </c>
      <c r="L28" s="50">
        <f t="shared" si="2"/>
        <v>-1.0201516547398981E-2</v>
      </c>
      <c r="M28" s="50">
        <f t="shared" si="3"/>
        <v>3.4337249394484015E-2</v>
      </c>
      <c r="N28" s="50">
        <f t="shared" si="4"/>
        <v>-1.211715701510685E-2</v>
      </c>
      <c r="O28" s="50">
        <f t="shared" si="5"/>
        <v>6.4347847317651086E-2</v>
      </c>
      <c r="P28" s="50">
        <f t="shared" si="6"/>
        <v>-1.3170719457109237E-2</v>
      </c>
      <c r="Q28" s="50">
        <f t="shared" si="7"/>
        <v>1.7101946318843764E-2</v>
      </c>
      <c r="R28" s="50">
        <f t="shared" si="8"/>
        <v>2.8423193341134523E-2</v>
      </c>
      <c r="S28" s="50">
        <f t="shared" si="9"/>
        <v>1.9699220636751447E-2</v>
      </c>
      <c r="T28" s="50"/>
    </row>
    <row r="29" spans="2:30">
      <c r="B29" s="112">
        <v>42408</v>
      </c>
      <c r="C29" s="42">
        <v>22986.119140999999</v>
      </c>
      <c r="D29" s="42">
        <v>756.55127000000005</v>
      </c>
      <c r="E29" s="42">
        <v>4675.2285160000001</v>
      </c>
      <c r="F29" s="42">
        <v>1221.659668</v>
      </c>
      <c r="G29" s="42">
        <v>5304.8369140000004</v>
      </c>
      <c r="H29" s="42">
        <v>377.91668700000002</v>
      </c>
      <c r="I29" s="42">
        <v>213.70292699999999</v>
      </c>
      <c r="J29" s="42">
        <v>489.84719799999999</v>
      </c>
      <c r="L29" s="50">
        <f t="shared" si="2"/>
        <v>-6.6249075959669224E-2</v>
      </c>
      <c r="M29" s="50">
        <f t="shared" si="3"/>
        <v>-3.8286412746638021E-2</v>
      </c>
      <c r="N29" s="50">
        <f t="shared" si="4"/>
        <v>-6.7407361431304547E-2</v>
      </c>
      <c r="O29" s="50">
        <f t="shared" si="5"/>
        <v>-0.1042095765875144</v>
      </c>
      <c r="P29" s="50">
        <f t="shared" si="6"/>
        <v>-1.0829761612287658E-2</v>
      </c>
      <c r="Q29" s="50">
        <f t="shared" si="7"/>
        <v>-2.7017075237944055E-2</v>
      </c>
      <c r="R29" s="50">
        <f t="shared" si="8"/>
        <v>8.0332546229107127E-3</v>
      </c>
      <c r="S29" s="50">
        <f t="shared" si="9"/>
        <v>3.0948931422633663E-2</v>
      </c>
      <c r="T29" s="50"/>
    </row>
    <row r="30" spans="2:30">
      <c r="B30" s="112">
        <v>42415</v>
      </c>
      <c r="C30" s="42">
        <v>23709.150390999999</v>
      </c>
      <c r="D30" s="42">
        <v>770.51666299999999</v>
      </c>
      <c r="E30" s="42">
        <v>4817.3051759999998</v>
      </c>
      <c r="F30" s="42">
        <v>1298.0313719999999</v>
      </c>
      <c r="G30" s="42">
        <v>5179.7421880000002</v>
      </c>
      <c r="H30" s="42">
        <v>374.96343999999999</v>
      </c>
      <c r="I30" s="42">
        <v>218.196991</v>
      </c>
      <c r="J30" s="42">
        <v>458.33291600000001</v>
      </c>
      <c r="L30" s="50">
        <f t="shared" si="2"/>
        <v>3.1455124963236658E-2</v>
      </c>
      <c r="M30" s="50">
        <f t="shared" si="3"/>
        <v>1.8459281682257966E-2</v>
      </c>
      <c r="N30" s="50">
        <f t="shared" si="4"/>
        <v>3.0389243972518631E-2</v>
      </c>
      <c r="O30" s="50">
        <f t="shared" si="5"/>
        <v>6.2514713385790399E-2</v>
      </c>
      <c r="P30" s="50">
        <f t="shared" si="6"/>
        <v>-2.3581257638639719E-2</v>
      </c>
      <c r="Q30" s="50">
        <f t="shared" si="7"/>
        <v>-7.8145451142781486E-3</v>
      </c>
      <c r="R30" s="50">
        <f t="shared" si="8"/>
        <v>2.1029492029372099E-2</v>
      </c>
      <c r="S30" s="50">
        <f t="shared" si="9"/>
        <v>-6.4334923479545947E-2</v>
      </c>
      <c r="T30" s="50"/>
    </row>
    <row r="31" spans="2:30">
      <c r="B31" s="112">
        <v>42422</v>
      </c>
      <c r="C31" s="42">
        <v>23154.300781000002</v>
      </c>
      <c r="D31" s="42">
        <v>791.27856399999996</v>
      </c>
      <c r="E31" s="42">
        <v>4726.2241210000002</v>
      </c>
      <c r="F31" s="42">
        <v>1292.2856449999999</v>
      </c>
      <c r="G31" s="42">
        <v>5193.5639650000003</v>
      </c>
      <c r="H31" s="42">
        <v>374.88562000000002</v>
      </c>
      <c r="I31" s="42">
        <v>222.410202</v>
      </c>
      <c r="J31" s="42">
        <v>447.697113</v>
      </c>
      <c r="L31" s="50">
        <f t="shared" si="2"/>
        <v>-2.3402340482458595E-2</v>
      </c>
      <c r="M31" s="50">
        <f t="shared" si="3"/>
        <v>2.6945427655209464E-2</v>
      </c>
      <c r="N31" s="50">
        <f t="shared" si="4"/>
        <v>-1.8907055225350633E-2</v>
      </c>
      <c r="O31" s="50">
        <f t="shared" si="5"/>
        <v>-4.4264931679940389E-3</v>
      </c>
      <c r="P31" s="50">
        <f t="shared" si="6"/>
        <v>2.6684295276357961E-3</v>
      </c>
      <c r="Q31" s="50">
        <f t="shared" si="7"/>
        <v>-2.0754023378910524E-4</v>
      </c>
      <c r="R31" s="50">
        <f t="shared" si="8"/>
        <v>1.9309207614141677E-2</v>
      </c>
      <c r="S31" s="50">
        <f t="shared" si="9"/>
        <v>-2.3205409493216478E-2</v>
      </c>
      <c r="T31" s="50"/>
    </row>
    <row r="32" spans="2:30">
      <c r="B32" s="112">
        <v>42429</v>
      </c>
      <c r="C32" s="42">
        <v>24646.480468999998</v>
      </c>
      <c r="D32" s="42">
        <v>790.20788600000003</v>
      </c>
      <c r="E32" s="42">
        <v>4887.1650390000004</v>
      </c>
      <c r="F32" s="42">
        <v>1360.300659</v>
      </c>
      <c r="G32" s="42">
        <v>5233.0283200000003</v>
      </c>
      <c r="H32" s="42">
        <v>390.52630599999998</v>
      </c>
      <c r="I32" s="42">
        <v>222.12931800000001</v>
      </c>
      <c r="J32" s="42">
        <v>463.60452299999997</v>
      </c>
      <c r="L32" s="50">
        <f t="shared" si="2"/>
        <v>6.4445033435190258E-2</v>
      </c>
      <c r="M32" s="50">
        <f t="shared" si="3"/>
        <v>-1.3530987046932452E-3</v>
      </c>
      <c r="N32" s="50">
        <f t="shared" si="4"/>
        <v>3.4052747791813776E-2</v>
      </c>
      <c r="O32" s="50">
        <f t="shared" si="5"/>
        <v>5.2631563511641444E-2</v>
      </c>
      <c r="P32" s="50">
        <f t="shared" si="6"/>
        <v>7.5987039470304385E-3</v>
      </c>
      <c r="Q32" s="50">
        <f t="shared" si="7"/>
        <v>4.1721221528849162E-2</v>
      </c>
      <c r="R32" s="50">
        <f t="shared" si="8"/>
        <v>-1.2629096933242101E-3</v>
      </c>
      <c r="S32" s="50">
        <f t="shared" si="9"/>
        <v>3.5531634084939867E-2</v>
      </c>
      <c r="T32" s="50"/>
    </row>
    <row r="33" spans="2:20">
      <c r="B33" s="112">
        <v>42436</v>
      </c>
      <c r="C33" s="42">
        <v>24717.990234000001</v>
      </c>
      <c r="D33" s="42">
        <v>792.861267</v>
      </c>
      <c r="E33" s="42">
        <v>4774.2612300000001</v>
      </c>
      <c r="F33" s="42">
        <v>1341.6723629999999</v>
      </c>
      <c r="G33" s="42">
        <v>5281.9404299999997</v>
      </c>
      <c r="H33" s="42">
        <v>406.38653599999998</v>
      </c>
      <c r="I33" s="42">
        <v>230.368484</v>
      </c>
      <c r="J33" s="42">
        <v>434.65673800000002</v>
      </c>
      <c r="L33" s="50">
        <f t="shared" si="2"/>
        <v>2.9014189303802063E-3</v>
      </c>
      <c r="M33" s="50">
        <f t="shared" si="3"/>
        <v>3.3578265251581474E-3</v>
      </c>
      <c r="N33" s="50">
        <f t="shared" si="4"/>
        <v>-2.3102106865435901E-2</v>
      </c>
      <c r="O33" s="50">
        <f t="shared" si="5"/>
        <v>-1.3694249044688633E-2</v>
      </c>
      <c r="P33" s="50">
        <f t="shared" si="6"/>
        <v>9.3468078154790302E-3</v>
      </c>
      <c r="Q33" s="50">
        <f t="shared" si="7"/>
        <v>4.0612449805109918E-2</v>
      </c>
      <c r="R33" s="50">
        <f t="shared" si="8"/>
        <v>3.7091753912466441E-2</v>
      </c>
      <c r="S33" s="50">
        <f t="shared" si="9"/>
        <v>-6.2440687188895172E-2</v>
      </c>
      <c r="T33" s="50"/>
    </row>
    <row r="34" spans="2:20">
      <c r="B34" s="112">
        <v>42443</v>
      </c>
      <c r="C34" s="42">
        <v>24952.740234000001</v>
      </c>
      <c r="D34" s="42">
        <v>789.83544900000004</v>
      </c>
      <c r="E34" s="42">
        <v>4795.6215819999998</v>
      </c>
      <c r="F34" s="42">
        <v>1279.593384</v>
      </c>
      <c r="G34" s="42">
        <v>5556.4677730000003</v>
      </c>
      <c r="H34" s="42">
        <v>414.68359400000003</v>
      </c>
      <c r="I34" s="42">
        <v>231.91333</v>
      </c>
      <c r="J34" s="42">
        <v>434.40240499999999</v>
      </c>
      <c r="L34" s="50">
        <f t="shared" si="2"/>
        <v>9.497131351605459E-3</v>
      </c>
      <c r="M34" s="50">
        <f t="shared" si="3"/>
        <v>-3.816327175937051E-3</v>
      </c>
      <c r="N34" s="50">
        <f t="shared" si="4"/>
        <v>4.4740643569685101E-3</v>
      </c>
      <c r="O34" s="50">
        <f t="shared" si="5"/>
        <v>-4.6269850011064095E-2</v>
      </c>
      <c r="P34" s="50">
        <f t="shared" si="6"/>
        <v>5.197471395943043E-2</v>
      </c>
      <c r="Q34" s="50">
        <f t="shared" si="7"/>
        <v>2.0416665575751392E-2</v>
      </c>
      <c r="R34" s="50">
        <f t="shared" si="8"/>
        <v>6.705978062520046E-3</v>
      </c>
      <c r="S34" s="50">
        <f t="shared" si="9"/>
        <v>-5.8513529819026466E-4</v>
      </c>
      <c r="T34" s="50"/>
    </row>
    <row r="35" spans="2:20">
      <c r="B35" s="112">
        <v>42450</v>
      </c>
      <c r="C35" s="42">
        <v>25337.560547000001</v>
      </c>
      <c r="D35" s="42">
        <v>813.34387200000003</v>
      </c>
      <c r="E35" s="42">
        <v>4857.4829099999997</v>
      </c>
      <c r="F35" s="42">
        <v>1298.412476</v>
      </c>
      <c r="G35" s="42">
        <v>5546.8818359999996</v>
      </c>
      <c r="H35" s="42">
        <v>406.30770899999999</v>
      </c>
      <c r="I35" s="42">
        <v>226.39558400000001</v>
      </c>
      <c r="J35" s="42">
        <v>430.10180700000001</v>
      </c>
      <c r="L35" s="50">
        <f t="shared" si="2"/>
        <v>1.5421966060290782E-2</v>
      </c>
      <c r="M35" s="50">
        <f t="shared" si="3"/>
        <v>2.9763697020390278E-2</v>
      </c>
      <c r="N35" s="50">
        <f t="shared" si="4"/>
        <v>1.2899543248406475E-2</v>
      </c>
      <c r="O35" s="50">
        <f t="shared" si="5"/>
        <v>1.4707087607136238E-2</v>
      </c>
      <c r="P35" s="50">
        <f t="shared" si="6"/>
        <v>-1.7251853860433819E-3</v>
      </c>
      <c r="Q35" s="50">
        <f t="shared" si="7"/>
        <v>-2.0198255058048065E-2</v>
      </c>
      <c r="R35" s="50">
        <f t="shared" si="8"/>
        <v>-2.3792276192144635E-2</v>
      </c>
      <c r="S35" s="50">
        <f t="shared" si="9"/>
        <v>-9.9000326667160188E-3</v>
      </c>
      <c r="T35" s="50"/>
    </row>
    <row r="36" spans="2:20">
      <c r="B36" s="112">
        <v>42457</v>
      </c>
      <c r="C36" s="42">
        <v>25269.640625</v>
      </c>
      <c r="D36" s="42">
        <v>807.943848</v>
      </c>
      <c r="E36" s="42">
        <v>5213.5302730000003</v>
      </c>
      <c r="F36" s="42">
        <v>1276.3824460000001</v>
      </c>
      <c r="G36" s="42">
        <v>5621.0634769999997</v>
      </c>
      <c r="H36" s="42">
        <v>432.88668799999999</v>
      </c>
      <c r="I36" s="42">
        <v>227.52380400000001</v>
      </c>
      <c r="J36" s="42">
        <v>427.69726600000001</v>
      </c>
      <c r="L36" s="50">
        <f t="shared" si="2"/>
        <v>-2.6806022574277222E-3</v>
      </c>
      <c r="M36" s="50">
        <f t="shared" si="3"/>
        <v>-6.6392877427372543E-3</v>
      </c>
      <c r="N36" s="50">
        <f t="shared" si="4"/>
        <v>7.3298737143678627E-2</v>
      </c>
      <c r="O36" s="50">
        <f t="shared" si="5"/>
        <v>-1.6966896427141109E-2</v>
      </c>
      <c r="P36" s="50">
        <f t="shared" si="6"/>
        <v>1.3373575135232185E-2</v>
      </c>
      <c r="Q36" s="50">
        <f t="shared" si="7"/>
        <v>6.5415886559021752E-2</v>
      </c>
      <c r="R36" s="50">
        <f t="shared" si="8"/>
        <v>4.9834010896607772E-3</v>
      </c>
      <c r="S36" s="50">
        <f t="shared" si="9"/>
        <v>-5.5906321732798192E-3</v>
      </c>
      <c r="T36" s="50"/>
    </row>
    <row r="37" spans="2:20">
      <c r="B37" s="112">
        <v>42464</v>
      </c>
      <c r="C37" s="42">
        <v>24673.839843999998</v>
      </c>
      <c r="D37" s="42">
        <v>791.74395800000002</v>
      </c>
      <c r="E37" s="42">
        <v>5525.564453</v>
      </c>
      <c r="F37" s="42">
        <v>1280.0699460000001</v>
      </c>
      <c r="G37" s="42">
        <v>5595.095703</v>
      </c>
      <c r="H37" s="42">
        <v>430.21472199999999</v>
      </c>
      <c r="I37" s="42">
        <v>237.01965300000001</v>
      </c>
      <c r="J37" s="42">
        <v>441.57003800000001</v>
      </c>
      <c r="L37" s="50">
        <f t="shared" si="2"/>
        <v>-2.3577730678550179E-2</v>
      </c>
      <c r="M37" s="50">
        <f t="shared" si="3"/>
        <v>-2.0050762240595654E-2</v>
      </c>
      <c r="N37" s="50">
        <f t="shared" si="4"/>
        <v>5.9850842646099522E-2</v>
      </c>
      <c r="O37" s="50">
        <f t="shared" si="5"/>
        <v>2.8890243763193268E-3</v>
      </c>
      <c r="P37" s="50">
        <f t="shared" si="6"/>
        <v>-4.6197261614734364E-3</v>
      </c>
      <c r="Q37" s="50">
        <f t="shared" si="7"/>
        <v>-6.172437439332823E-3</v>
      </c>
      <c r="R37" s="50">
        <f t="shared" si="8"/>
        <v>4.1735628681735637E-2</v>
      </c>
      <c r="S37" s="50">
        <f t="shared" si="9"/>
        <v>3.2435961374604583E-2</v>
      </c>
      <c r="T37" s="50"/>
    </row>
    <row r="38" spans="2:20">
      <c r="B38" s="112">
        <v>42471</v>
      </c>
      <c r="C38" s="42">
        <v>25626.75</v>
      </c>
      <c r="D38" s="42">
        <v>835.78161599999999</v>
      </c>
      <c r="E38" s="42">
        <v>5655.8037109999996</v>
      </c>
      <c r="F38" s="42">
        <v>1315.4686280000001</v>
      </c>
      <c r="G38" s="42">
        <v>5609.2431640000004</v>
      </c>
      <c r="H38" s="42">
        <v>429.621216</v>
      </c>
      <c r="I38" s="42">
        <v>236.36151100000001</v>
      </c>
      <c r="J38" s="42">
        <v>452.11325099999999</v>
      </c>
      <c r="L38" s="50">
        <f t="shared" si="2"/>
        <v>3.8620261865391248E-2</v>
      </c>
      <c r="M38" s="50">
        <f t="shared" si="3"/>
        <v>5.5621085017487415E-2</v>
      </c>
      <c r="N38" s="50">
        <f t="shared" si="4"/>
        <v>2.3570308356332559E-2</v>
      </c>
      <c r="O38" s="50">
        <f t="shared" si="5"/>
        <v>2.7653709166920892E-2</v>
      </c>
      <c r="P38" s="50">
        <f t="shared" si="6"/>
        <v>2.528546740034221E-3</v>
      </c>
      <c r="Q38" s="50">
        <f t="shared" si="7"/>
        <v>-1.3795576247155328E-3</v>
      </c>
      <c r="R38" s="50">
        <f t="shared" si="8"/>
        <v>-2.7767402055896007E-3</v>
      </c>
      <c r="S38" s="50">
        <f t="shared" si="9"/>
        <v>2.3876649438791864E-2</v>
      </c>
      <c r="T38" s="50"/>
    </row>
    <row r="39" spans="2:20">
      <c r="B39" s="112">
        <v>42478</v>
      </c>
      <c r="C39" s="42">
        <v>25838.140625</v>
      </c>
      <c r="D39" s="42">
        <v>823.21283000000005</v>
      </c>
      <c r="E39" s="42">
        <v>5520.1079099999997</v>
      </c>
      <c r="F39" s="42">
        <v>1344.7689210000001</v>
      </c>
      <c r="G39" s="42">
        <v>5591.1865230000003</v>
      </c>
      <c r="H39" s="42">
        <v>427.19961499999999</v>
      </c>
      <c r="I39" s="42">
        <v>243.50689700000001</v>
      </c>
      <c r="J39" s="42">
        <v>478.35595699999999</v>
      </c>
      <c r="L39" s="50">
        <f t="shared" si="2"/>
        <v>8.24882690938189E-3</v>
      </c>
      <c r="M39" s="50">
        <f t="shared" si="3"/>
        <v>-1.5038361408514112E-2</v>
      </c>
      <c r="N39" s="50">
        <f t="shared" si="4"/>
        <v>-2.3992310895812108E-2</v>
      </c>
      <c r="O39" s="50">
        <f t="shared" si="5"/>
        <v>2.2273653948363004E-2</v>
      </c>
      <c r="P39" s="50">
        <f t="shared" si="6"/>
        <v>-3.2190868664576655E-3</v>
      </c>
      <c r="Q39" s="50">
        <f t="shared" si="7"/>
        <v>-5.6365954701828036E-3</v>
      </c>
      <c r="R39" s="50">
        <f t="shared" si="8"/>
        <v>3.0230751063357264E-2</v>
      </c>
      <c r="S39" s="50">
        <f t="shared" si="9"/>
        <v>5.8044540702922198E-2</v>
      </c>
      <c r="T39" s="50"/>
    </row>
    <row r="40" spans="2:20">
      <c r="B40" s="112">
        <v>42485</v>
      </c>
      <c r="C40" s="42">
        <v>25606.619140999999</v>
      </c>
      <c r="D40" s="42">
        <v>808.03698699999995</v>
      </c>
      <c r="E40" s="42">
        <v>5294.2084960000002</v>
      </c>
      <c r="F40" s="42">
        <v>1363.826294</v>
      </c>
      <c r="G40" s="42">
        <v>5489.267578</v>
      </c>
      <c r="H40" s="42">
        <v>413.02697799999999</v>
      </c>
      <c r="I40" s="42">
        <v>243.60093699999999</v>
      </c>
      <c r="J40" s="42">
        <v>465.54672199999999</v>
      </c>
      <c r="L40" s="50">
        <f t="shared" si="2"/>
        <v>-8.9604545218702203E-3</v>
      </c>
      <c r="M40" s="50">
        <f t="shared" si="3"/>
        <v>-1.8434896113074584E-2</v>
      </c>
      <c r="N40" s="50">
        <f t="shared" si="4"/>
        <v>-4.0923006883754831E-2</v>
      </c>
      <c r="O40" s="50">
        <f t="shared" si="5"/>
        <v>1.4171485303087206E-2</v>
      </c>
      <c r="P40" s="50">
        <f t="shared" si="6"/>
        <v>-1.8228500262107983E-2</v>
      </c>
      <c r="Q40" s="50">
        <f t="shared" si="7"/>
        <v>-3.3175678306732626E-2</v>
      </c>
      <c r="R40" s="50">
        <f t="shared" si="8"/>
        <v>3.8619029341080413E-4</v>
      </c>
      <c r="S40" s="50">
        <f t="shared" si="9"/>
        <v>-2.677762200419298E-2</v>
      </c>
      <c r="T40" s="50"/>
    </row>
    <row r="41" spans="2:20">
      <c r="B41" s="112">
        <v>42492</v>
      </c>
      <c r="C41" s="42">
        <v>25228.5</v>
      </c>
      <c r="D41" s="42">
        <v>794.53710899999999</v>
      </c>
      <c r="E41" s="42">
        <v>5188.2866210000002</v>
      </c>
      <c r="F41" s="42">
        <v>1342.2438959999999</v>
      </c>
      <c r="G41" s="42">
        <v>5466.9755859999996</v>
      </c>
      <c r="H41" s="42">
        <v>413.68325800000002</v>
      </c>
      <c r="I41" s="42">
        <v>230.53239400000001</v>
      </c>
      <c r="J41" s="42">
        <v>483.25769000000003</v>
      </c>
      <c r="L41" s="50">
        <f t="shared" si="2"/>
        <v>-1.4766460926291303E-2</v>
      </c>
      <c r="M41" s="50">
        <f t="shared" si="3"/>
        <v>-1.6707005022283727E-2</v>
      </c>
      <c r="N41" s="50">
        <f t="shared" si="4"/>
        <v>-2.0007121948451445E-2</v>
      </c>
      <c r="O41" s="50">
        <f t="shared" si="5"/>
        <v>-1.5824887740432447E-2</v>
      </c>
      <c r="P41" s="50">
        <f t="shared" si="6"/>
        <v>-4.061013911827227E-3</v>
      </c>
      <c r="Q41" s="50">
        <f t="shared" si="7"/>
        <v>1.5889518965030991E-3</v>
      </c>
      <c r="R41" s="50">
        <f t="shared" si="8"/>
        <v>-5.3647342908208828E-2</v>
      </c>
      <c r="S41" s="50">
        <f t="shared" si="9"/>
        <v>3.8043373872150399E-2</v>
      </c>
      <c r="T41" s="50"/>
    </row>
    <row r="42" spans="2:20">
      <c r="B42" s="112">
        <v>42499</v>
      </c>
      <c r="C42" s="42">
        <v>25489.570313</v>
      </c>
      <c r="D42" s="42">
        <v>774.42700200000002</v>
      </c>
      <c r="E42" s="42">
        <v>5660.5673829999996</v>
      </c>
      <c r="F42" s="42">
        <v>1407.3717039999999</v>
      </c>
      <c r="G42" s="42">
        <v>5584.6704099999997</v>
      </c>
      <c r="H42" s="42">
        <v>435.13668799999999</v>
      </c>
      <c r="I42" s="42">
        <v>239.18206799999999</v>
      </c>
      <c r="J42" s="42">
        <v>516.15917999999999</v>
      </c>
      <c r="L42" s="50">
        <f t="shared" si="2"/>
        <v>1.0348229700537059E-2</v>
      </c>
      <c r="M42" s="50">
        <f t="shared" si="3"/>
        <v>-2.5310469167778016E-2</v>
      </c>
      <c r="N42" s="50">
        <f t="shared" si="4"/>
        <v>9.102827127715063E-2</v>
      </c>
      <c r="O42" s="50">
        <f t="shared" si="5"/>
        <v>4.8521589998722581E-2</v>
      </c>
      <c r="P42" s="50">
        <f t="shared" si="6"/>
        <v>2.1528324417873224E-2</v>
      </c>
      <c r="Q42" s="50">
        <f t="shared" si="7"/>
        <v>5.1859555795704892E-2</v>
      </c>
      <c r="R42" s="50">
        <f t="shared" si="8"/>
        <v>3.75204276063692E-2</v>
      </c>
      <c r="S42" s="50">
        <f t="shared" si="9"/>
        <v>6.8082703453720361E-2</v>
      </c>
      <c r="T42" s="50"/>
    </row>
    <row r="43" spans="2:20">
      <c r="B43" s="112">
        <v>42506</v>
      </c>
      <c r="C43" s="42">
        <v>25301.900390999999</v>
      </c>
      <c r="D43" s="42">
        <v>756.36505099999999</v>
      </c>
      <c r="E43" s="42">
        <v>5571.3994140000004</v>
      </c>
      <c r="F43" s="42">
        <v>1396.2711179999999</v>
      </c>
      <c r="G43" s="42">
        <v>5413.1313479999999</v>
      </c>
      <c r="H43" s="42">
        <v>430.77212500000002</v>
      </c>
      <c r="I43" s="42">
        <v>228.60502600000001</v>
      </c>
      <c r="J43" s="42">
        <v>503.78936800000002</v>
      </c>
      <c r="L43" s="50">
        <f t="shared" si="2"/>
        <v>-7.3626161483109076E-3</v>
      </c>
      <c r="M43" s="50">
        <f t="shared" si="3"/>
        <v>-2.3322987129005157E-2</v>
      </c>
      <c r="N43" s="50">
        <f t="shared" si="4"/>
        <v>-1.5752479030245459E-2</v>
      </c>
      <c r="O43" s="50">
        <f t="shared" si="5"/>
        <v>-7.8874585643936568E-3</v>
      </c>
      <c r="P43" s="50">
        <f t="shared" si="6"/>
        <v>-3.0716058317933892E-2</v>
      </c>
      <c r="Q43" s="50">
        <f t="shared" si="7"/>
        <v>-1.0030326378730803E-2</v>
      </c>
      <c r="R43" s="50">
        <f t="shared" si="8"/>
        <v>-4.4221718159908163E-2</v>
      </c>
      <c r="S43" s="50">
        <f t="shared" si="9"/>
        <v>-2.3965110917914867E-2</v>
      </c>
      <c r="T43" s="50"/>
    </row>
    <row r="44" spans="2:20">
      <c r="B44" s="112">
        <v>42513</v>
      </c>
      <c r="C44" s="42">
        <v>26653.599609000001</v>
      </c>
      <c r="D44" s="42">
        <v>801.79913299999998</v>
      </c>
      <c r="E44" s="42">
        <v>5773.1547849999997</v>
      </c>
      <c r="F44" s="42">
        <v>1295.554077</v>
      </c>
      <c r="G44" s="42">
        <v>5503.4145509999998</v>
      </c>
      <c r="H44" s="42">
        <v>479.96490499999999</v>
      </c>
      <c r="I44" s="42">
        <v>241.90855400000001</v>
      </c>
      <c r="J44" s="42">
        <v>469.31555200000003</v>
      </c>
      <c r="L44" s="50">
        <f t="shared" si="2"/>
        <v>5.3422833744172227E-2</v>
      </c>
      <c r="M44" s="50">
        <f t="shared" si="3"/>
        <v>6.0068986450300788E-2</v>
      </c>
      <c r="N44" s="50">
        <f t="shared" si="4"/>
        <v>3.6212692002124625E-2</v>
      </c>
      <c r="O44" s="50">
        <f t="shared" si="5"/>
        <v>-7.2132868539360517E-2</v>
      </c>
      <c r="P44" s="50">
        <f t="shared" si="6"/>
        <v>1.6678553908239691E-2</v>
      </c>
      <c r="Q44" s="50">
        <f t="shared" si="7"/>
        <v>0.11419675774053384</v>
      </c>
      <c r="R44" s="50">
        <f t="shared" si="8"/>
        <v>5.819438108066799E-2</v>
      </c>
      <c r="S44" s="50">
        <f t="shared" si="9"/>
        <v>-6.842902647361937E-2</v>
      </c>
      <c r="T44" s="50"/>
    </row>
    <row r="45" spans="2:20">
      <c r="B45" s="112">
        <v>42520</v>
      </c>
      <c r="C45" s="42">
        <v>26843.029297000001</v>
      </c>
      <c r="D45" s="42">
        <v>823.81781000000001</v>
      </c>
      <c r="E45" s="42">
        <v>5895.8857420000004</v>
      </c>
      <c r="F45" s="42">
        <v>1316.545288</v>
      </c>
      <c r="G45" s="42">
        <v>5333.3178710000002</v>
      </c>
      <c r="H45" s="42">
        <v>493.799286</v>
      </c>
      <c r="I45" s="42">
        <v>238.80600000000001</v>
      </c>
      <c r="J45" s="42">
        <v>480.41372699999999</v>
      </c>
      <c r="L45" s="50">
        <f t="shared" si="2"/>
        <v>7.107095881189629E-3</v>
      </c>
      <c r="M45" s="50">
        <f t="shared" si="3"/>
        <v>2.7461587439755908E-2</v>
      </c>
      <c r="N45" s="50">
        <f t="shared" si="4"/>
        <v>2.125890636413974E-2</v>
      </c>
      <c r="O45" s="50">
        <f t="shared" si="5"/>
        <v>1.6202496964547786E-2</v>
      </c>
      <c r="P45" s="50">
        <f t="shared" si="6"/>
        <v>-3.0907480878229032E-2</v>
      </c>
      <c r="Q45" s="50">
        <f t="shared" si="7"/>
        <v>2.8823734518672817E-2</v>
      </c>
      <c r="R45" s="50">
        <f t="shared" si="8"/>
        <v>-1.2825317454462581E-2</v>
      </c>
      <c r="S45" s="50">
        <f t="shared" si="9"/>
        <v>2.3647575608148452E-2</v>
      </c>
      <c r="T45" s="50"/>
    </row>
    <row r="46" spans="2:20">
      <c r="B46" s="112">
        <v>42527</v>
      </c>
      <c r="C46" s="42">
        <v>26635.75</v>
      </c>
      <c r="D46" s="42">
        <v>814.32153300000004</v>
      </c>
      <c r="E46" s="42">
        <v>6119.3227539999998</v>
      </c>
      <c r="F46" s="42">
        <v>1300.289673</v>
      </c>
      <c r="G46" s="42">
        <v>5276.2158200000003</v>
      </c>
      <c r="H46" s="42">
        <v>473.408997</v>
      </c>
      <c r="I46" s="42">
        <v>238.33587600000001</v>
      </c>
      <c r="J46" s="42">
        <v>473.17675800000001</v>
      </c>
      <c r="L46" s="50">
        <f t="shared" si="2"/>
        <v>-7.7219040633080827E-3</v>
      </c>
      <c r="M46" s="50">
        <f t="shared" si="3"/>
        <v>-1.1527156714419617E-2</v>
      </c>
      <c r="N46" s="50">
        <f t="shared" si="4"/>
        <v>3.7897106860182328E-2</v>
      </c>
      <c r="O46" s="50">
        <f t="shared" si="5"/>
        <v>-1.2347174949594364E-2</v>
      </c>
      <c r="P46" s="50">
        <f t="shared" si="6"/>
        <v>-1.0706665603131049E-2</v>
      </c>
      <c r="Q46" s="50">
        <f t="shared" si="7"/>
        <v>-4.1292666024632552E-2</v>
      </c>
      <c r="R46" s="50">
        <f t="shared" si="8"/>
        <v>-1.9686440039194952E-3</v>
      </c>
      <c r="S46" s="50">
        <f t="shared" si="9"/>
        <v>-1.5064034587837671E-2</v>
      </c>
      <c r="T46" s="50"/>
    </row>
    <row r="47" spans="2:20">
      <c r="B47" s="112">
        <v>42534</v>
      </c>
      <c r="C47" s="42">
        <v>26625.910156000002</v>
      </c>
      <c r="D47" s="42">
        <v>820.55932600000006</v>
      </c>
      <c r="E47" s="42">
        <v>6044.5629879999997</v>
      </c>
      <c r="F47" s="42">
        <v>1257.5825199999999</v>
      </c>
      <c r="G47" s="42">
        <v>5235.7280270000001</v>
      </c>
      <c r="H47" s="42">
        <v>481.66287199999999</v>
      </c>
      <c r="I47" s="42">
        <v>240.68634</v>
      </c>
      <c r="J47" s="42">
        <v>467.35025000000002</v>
      </c>
      <c r="L47" s="50">
        <f t="shared" si="2"/>
        <v>-3.69422449151946E-4</v>
      </c>
      <c r="M47" s="50">
        <f t="shared" si="3"/>
        <v>7.6601105917213363E-3</v>
      </c>
      <c r="N47" s="50">
        <f t="shared" si="4"/>
        <v>-1.2216999986008559E-2</v>
      </c>
      <c r="O47" s="50">
        <f t="shared" si="5"/>
        <v>-3.2844337601687701E-2</v>
      </c>
      <c r="P47" s="50">
        <f t="shared" si="6"/>
        <v>-7.673642318899776E-3</v>
      </c>
      <c r="Q47" s="50">
        <f t="shared" si="7"/>
        <v>1.7434977054312295E-2</v>
      </c>
      <c r="R47" s="50">
        <f t="shared" si="8"/>
        <v>9.8619815004266087E-3</v>
      </c>
      <c r="S47" s="50">
        <f t="shared" si="9"/>
        <v>-1.2313597194898551E-2</v>
      </c>
      <c r="T47" s="50"/>
    </row>
    <row r="48" spans="2:20">
      <c r="B48" s="112">
        <v>42541</v>
      </c>
      <c r="C48" s="42">
        <v>26397.710938</v>
      </c>
      <c r="D48" s="42">
        <v>799.84399399999995</v>
      </c>
      <c r="E48" s="42">
        <v>6074.765625</v>
      </c>
      <c r="F48" s="42">
        <v>1254.4095460000001</v>
      </c>
      <c r="G48" s="42">
        <v>5576.201172</v>
      </c>
      <c r="H48" s="42">
        <v>475.26351899999997</v>
      </c>
      <c r="I48" s="42">
        <v>241.156464</v>
      </c>
      <c r="J48" s="42">
        <v>500.71423299999998</v>
      </c>
      <c r="L48" s="50">
        <f t="shared" si="2"/>
        <v>-8.5705696692804922E-3</v>
      </c>
      <c r="M48" s="50">
        <f t="shared" si="3"/>
        <v>-2.5245380003151796E-2</v>
      </c>
      <c r="N48" s="50">
        <f t="shared" si="4"/>
        <v>4.9966618033363552E-3</v>
      </c>
      <c r="O48" s="50">
        <f t="shared" si="5"/>
        <v>-2.5230741915844845E-3</v>
      </c>
      <c r="P48" s="50">
        <f t="shared" si="6"/>
        <v>6.5028806546906681E-2</v>
      </c>
      <c r="Q48" s="50">
        <f t="shared" si="7"/>
        <v>-1.3285958648687424E-2</v>
      </c>
      <c r="R48" s="50">
        <f t="shared" si="8"/>
        <v>1.9532641528388073E-3</v>
      </c>
      <c r="S48" s="50">
        <f t="shared" si="9"/>
        <v>7.1389676158298832E-2</v>
      </c>
      <c r="T48" s="50"/>
    </row>
    <row r="49" spans="2:20">
      <c r="B49" s="112">
        <v>42548</v>
      </c>
      <c r="C49" s="42">
        <v>27144.910156000002</v>
      </c>
      <c r="D49" s="42">
        <v>844.91186500000003</v>
      </c>
      <c r="E49" s="42">
        <v>6087.109375</v>
      </c>
      <c r="F49" s="42">
        <v>1337.9562989999999</v>
      </c>
      <c r="G49" s="42">
        <v>5664.7631840000004</v>
      </c>
      <c r="H49" s="42">
        <v>512.08422900000005</v>
      </c>
      <c r="I49" s="42">
        <v>252.20356799999999</v>
      </c>
      <c r="J49" s="42">
        <v>531.60430899999994</v>
      </c>
      <c r="L49" s="50">
        <f t="shared" si="2"/>
        <v>2.8305454959899334E-2</v>
      </c>
      <c r="M49" s="50">
        <f t="shared" si="3"/>
        <v>5.6345826608782623E-2</v>
      </c>
      <c r="N49" s="50">
        <f t="shared" si="4"/>
        <v>2.0319713980734289E-3</v>
      </c>
      <c r="O49" s="50">
        <f t="shared" si="5"/>
        <v>6.6602453135349293E-2</v>
      </c>
      <c r="P49" s="50">
        <f t="shared" si="6"/>
        <v>1.58821407743861E-2</v>
      </c>
      <c r="Q49" s="50">
        <f t="shared" si="7"/>
        <v>7.7474303261218846E-2</v>
      </c>
      <c r="R49" s="50">
        <f t="shared" si="8"/>
        <v>4.5808865401177901E-2</v>
      </c>
      <c r="S49" s="50">
        <f t="shared" si="9"/>
        <v>6.1692027036906572E-2</v>
      </c>
      <c r="T49" s="50"/>
    </row>
    <row r="50" spans="2:20">
      <c r="B50" s="112">
        <v>42555</v>
      </c>
      <c r="C50" s="42">
        <v>27126.900390999999</v>
      </c>
      <c r="D50" s="42">
        <v>866.65600600000005</v>
      </c>
      <c r="E50" s="42">
        <v>5995.890625</v>
      </c>
      <c r="F50" s="42">
        <v>1336.412476</v>
      </c>
      <c r="G50" s="42">
        <v>5698.1303710000002</v>
      </c>
      <c r="H50" s="42">
        <v>517.71191399999998</v>
      </c>
      <c r="I50" s="42">
        <v>248.30186499999999</v>
      </c>
      <c r="J50" s="42">
        <v>506.42514</v>
      </c>
      <c r="L50" s="50">
        <f t="shared" si="2"/>
        <v>-6.6346747498891023E-4</v>
      </c>
      <c r="M50" s="50">
        <f t="shared" si="3"/>
        <v>2.5735395490037227E-2</v>
      </c>
      <c r="N50" s="50">
        <f t="shared" si="4"/>
        <v>-1.4985561188474605E-2</v>
      </c>
      <c r="O50" s="50">
        <f t="shared" si="5"/>
        <v>-1.1538665359651645E-3</v>
      </c>
      <c r="P50" s="50">
        <f t="shared" si="6"/>
        <v>5.8903057226196154E-3</v>
      </c>
      <c r="Q50" s="50">
        <f t="shared" si="7"/>
        <v>1.0989764342068664E-2</v>
      </c>
      <c r="R50" s="50">
        <f t="shared" si="8"/>
        <v>-1.5470451234853244E-2</v>
      </c>
      <c r="S50" s="50">
        <f t="shared" si="9"/>
        <v>-4.7364493804356922E-2</v>
      </c>
      <c r="T50" s="50"/>
    </row>
    <row r="51" spans="2:20">
      <c r="B51" s="112">
        <v>42562</v>
      </c>
      <c r="C51" s="42">
        <v>27836.5</v>
      </c>
      <c r="D51" s="42">
        <v>886.23498500000005</v>
      </c>
      <c r="E51" s="42">
        <v>6202.3583980000003</v>
      </c>
      <c r="F51" s="42">
        <v>1343.8161620000001</v>
      </c>
      <c r="G51" s="42">
        <v>5878.4658200000003</v>
      </c>
      <c r="H51" s="42">
        <v>502.792755</v>
      </c>
      <c r="I51" s="42">
        <v>262.35751299999998</v>
      </c>
      <c r="J51" s="42">
        <v>507.62744099999998</v>
      </c>
      <c r="L51" s="50">
        <f t="shared" si="2"/>
        <v>2.6158521569807691E-2</v>
      </c>
      <c r="M51" s="50">
        <f t="shared" si="3"/>
        <v>2.2591407507075001E-2</v>
      </c>
      <c r="N51" s="50">
        <f t="shared" si="4"/>
        <v>3.4434879805700369E-2</v>
      </c>
      <c r="O51" s="50">
        <f t="shared" si="5"/>
        <v>5.53997072981538E-3</v>
      </c>
      <c r="P51" s="50">
        <f t="shared" si="6"/>
        <v>3.1648178833850071E-2</v>
      </c>
      <c r="Q51" s="50">
        <f t="shared" si="7"/>
        <v>-2.8817492115895127E-2</v>
      </c>
      <c r="R51" s="50">
        <f t="shared" si="8"/>
        <v>5.6607097977294574E-2</v>
      </c>
      <c r="S51" s="50">
        <f t="shared" si="9"/>
        <v>2.3740942244692143E-3</v>
      </c>
      <c r="T51" s="50"/>
    </row>
    <row r="52" spans="2:20">
      <c r="B52" s="112">
        <v>42569</v>
      </c>
      <c r="C52" s="42">
        <v>27803.240234000001</v>
      </c>
      <c r="D52" s="42">
        <v>850.18310499999995</v>
      </c>
      <c r="E52" s="42">
        <v>6618.8447269999997</v>
      </c>
      <c r="F52" s="42">
        <v>1358.251953</v>
      </c>
      <c r="G52" s="42">
        <v>6049.3540039999998</v>
      </c>
      <c r="H52" s="42">
        <v>518.98529099999996</v>
      </c>
      <c r="I52" s="42">
        <v>260.47714200000001</v>
      </c>
      <c r="J52" s="42">
        <v>523.44244400000002</v>
      </c>
      <c r="L52" s="50">
        <f t="shared" si="2"/>
        <v>-1.194825714439629E-3</v>
      </c>
      <c r="M52" s="50">
        <f t="shared" si="3"/>
        <v>-4.0679820375179698E-2</v>
      </c>
      <c r="N52" s="50">
        <f t="shared" si="4"/>
        <v>6.7149671507905628E-2</v>
      </c>
      <c r="O52" s="50">
        <f t="shared" si="5"/>
        <v>1.0742385311481195E-2</v>
      </c>
      <c r="P52" s="50">
        <f t="shared" si="6"/>
        <v>2.9070201177081811E-2</v>
      </c>
      <c r="Q52" s="50">
        <f t="shared" si="7"/>
        <v>3.2205189591484773E-2</v>
      </c>
      <c r="R52" s="50">
        <f t="shared" si="8"/>
        <v>-7.1672085106248007E-3</v>
      </c>
      <c r="S52" s="50">
        <f t="shared" si="9"/>
        <v>3.1154744055690298E-2</v>
      </c>
      <c r="T52" s="50"/>
    </row>
    <row r="53" spans="2:20">
      <c r="B53" s="112">
        <v>42576</v>
      </c>
      <c r="C53" s="42">
        <v>28051.859375</v>
      </c>
      <c r="D53" s="42">
        <v>868.39727800000003</v>
      </c>
      <c r="E53" s="42">
        <v>6721.7036129999997</v>
      </c>
      <c r="F53" s="42">
        <v>1397.7479249999999</v>
      </c>
      <c r="G53" s="42">
        <v>5892.5200199999999</v>
      </c>
      <c r="H53" s="42">
        <v>500.19863900000001</v>
      </c>
      <c r="I53" s="42">
        <v>267.24646000000001</v>
      </c>
      <c r="J53" s="42">
        <v>527.30364999999995</v>
      </c>
      <c r="L53" s="50">
        <f t="shared" si="2"/>
        <v>8.9420923211664949E-3</v>
      </c>
      <c r="M53" s="50">
        <f t="shared" si="3"/>
        <v>2.1423823753825344E-2</v>
      </c>
      <c r="N53" s="50">
        <f t="shared" si="4"/>
        <v>1.554030805110318E-2</v>
      </c>
      <c r="O53" s="50">
        <f t="shared" si="5"/>
        <v>2.9078531352570103E-2</v>
      </c>
      <c r="P53" s="50">
        <f t="shared" si="6"/>
        <v>-2.5925740814026876E-2</v>
      </c>
      <c r="Q53" s="50">
        <f t="shared" si="7"/>
        <v>-3.6198813966001109E-2</v>
      </c>
      <c r="R53" s="50">
        <f t="shared" si="8"/>
        <v>2.5988146015514912E-2</v>
      </c>
      <c r="S53" s="50">
        <f t="shared" si="9"/>
        <v>7.3765626847026589E-3</v>
      </c>
      <c r="T53" s="50"/>
    </row>
    <row r="54" spans="2:20">
      <c r="B54" s="112">
        <v>42583</v>
      </c>
      <c r="C54" s="42">
        <v>28078.349609000001</v>
      </c>
      <c r="D54" s="42">
        <v>871.17419400000006</v>
      </c>
      <c r="E54" s="42">
        <v>6394.1435549999997</v>
      </c>
      <c r="F54" s="42">
        <v>1393.764893</v>
      </c>
      <c r="G54" s="42">
        <v>5883.2583009999998</v>
      </c>
      <c r="H54" s="42">
        <v>499.82135</v>
      </c>
      <c r="I54" s="42">
        <v>278.90472399999999</v>
      </c>
      <c r="J54" s="42">
        <v>537.15197799999999</v>
      </c>
      <c r="L54" s="50">
        <f t="shared" si="2"/>
        <v>9.4433077130018361E-4</v>
      </c>
      <c r="M54" s="50">
        <f t="shared" si="3"/>
        <v>3.1977483927581041E-3</v>
      </c>
      <c r="N54" s="50">
        <f t="shared" si="4"/>
        <v>-4.8731702089108486E-2</v>
      </c>
      <c r="O54" s="50">
        <f t="shared" si="5"/>
        <v>-2.8496068058908586E-3</v>
      </c>
      <c r="P54" s="50">
        <f t="shared" si="6"/>
        <v>-1.5717755677646661E-3</v>
      </c>
      <c r="Q54" s="50">
        <f t="shared" si="7"/>
        <v>-7.5427834180896713E-4</v>
      </c>
      <c r="R54" s="50">
        <f t="shared" si="8"/>
        <v>4.3623642386132921E-2</v>
      </c>
      <c r="S54" s="50">
        <f t="shared" si="9"/>
        <v>1.8676768120228227E-2</v>
      </c>
      <c r="T54" s="50"/>
    </row>
    <row r="55" spans="2:20">
      <c r="B55" s="112">
        <v>42590</v>
      </c>
      <c r="C55" s="42">
        <v>28152.400390999999</v>
      </c>
      <c r="D55" s="42">
        <v>880.11651600000005</v>
      </c>
      <c r="E55" s="42">
        <v>6458.5986329999996</v>
      </c>
      <c r="F55" s="42">
        <v>1587.276245</v>
      </c>
      <c r="G55" s="42">
        <v>6140.9389650000003</v>
      </c>
      <c r="H55" s="42">
        <v>489.22714200000001</v>
      </c>
      <c r="I55" s="42">
        <v>279.89196800000002</v>
      </c>
      <c r="J55" s="42">
        <v>531.275757</v>
      </c>
      <c r="L55" s="50">
        <f t="shared" si="2"/>
        <v>2.6372911168632829E-3</v>
      </c>
      <c r="M55" s="50">
        <f t="shared" si="3"/>
        <v>1.0264677330421357E-2</v>
      </c>
      <c r="N55" s="50">
        <f t="shared" si="4"/>
        <v>1.0080330140476379E-2</v>
      </c>
      <c r="O55" s="50">
        <f t="shared" si="5"/>
        <v>0.13884074205906982</v>
      </c>
      <c r="P55" s="50">
        <f t="shared" si="6"/>
        <v>4.3798971729016367E-2</v>
      </c>
      <c r="Q55" s="50">
        <f t="shared" si="7"/>
        <v>-2.119598932698652E-2</v>
      </c>
      <c r="R55" s="50">
        <f t="shared" si="8"/>
        <v>3.5397177424647541E-3</v>
      </c>
      <c r="S55" s="50">
        <f t="shared" si="9"/>
        <v>-1.0939587380612736E-2</v>
      </c>
      <c r="T55" s="50"/>
    </row>
    <row r="56" spans="2:20">
      <c r="B56" s="112">
        <v>42597</v>
      </c>
      <c r="C56" s="42">
        <v>28077</v>
      </c>
      <c r="D56" s="42">
        <v>857.19586200000003</v>
      </c>
      <c r="E56" s="42">
        <v>6301.7431640000004</v>
      </c>
      <c r="F56" s="42">
        <v>1618.8466800000001</v>
      </c>
      <c r="G56" s="42">
        <v>5992.5786129999997</v>
      </c>
      <c r="H56" s="42">
        <v>487.64974999999998</v>
      </c>
      <c r="I56" s="42">
        <v>282.85348499999998</v>
      </c>
      <c r="J56" s="42">
        <v>553.23571800000002</v>
      </c>
      <c r="L56" s="50">
        <f t="shared" si="2"/>
        <v>-2.6782935008307085E-3</v>
      </c>
      <c r="M56" s="50">
        <f t="shared" si="3"/>
        <v>-2.6042749548856325E-2</v>
      </c>
      <c r="N56" s="50">
        <f t="shared" si="4"/>
        <v>-2.4286300777161096E-2</v>
      </c>
      <c r="O56" s="50">
        <f t="shared" si="5"/>
        <v>1.988969160185472E-2</v>
      </c>
      <c r="P56" s="50">
        <f t="shared" si="6"/>
        <v>-2.4159229206734301E-2</v>
      </c>
      <c r="Q56" s="50">
        <f t="shared" si="7"/>
        <v>-3.2242528359148759E-3</v>
      </c>
      <c r="R56" s="50">
        <f t="shared" si="8"/>
        <v>1.0580928853235028E-2</v>
      </c>
      <c r="S56" s="50">
        <f t="shared" si="9"/>
        <v>4.1334393129479841E-2</v>
      </c>
      <c r="T56" s="50"/>
    </row>
    <row r="57" spans="2:20">
      <c r="B57" s="112">
        <v>42604</v>
      </c>
      <c r="C57" s="42">
        <v>27782.25</v>
      </c>
      <c r="D57" s="42">
        <v>851.40679899999998</v>
      </c>
      <c r="E57" s="42">
        <v>6399.0693359999996</v>
      </c>
      <c r="F57" s="42">
        <v>1661.0085449999999</v>
      </c>
      <c r="G57" s="42">
        <v>6015.2133789999998</v>
      </c>
      <c r="H57" s="42">
        <v>479.17529300000001</v>
      </c>
      <c r="I57" s="42">
        <v>267.24646000000001</v>
      </c>
      <c r="J57" s="42">
        <v>526.82757600000002</v>
      </c>
      <c r="L57" s="50">
        <f t="shared" si="2"/>
        <v>-1.0497916444064503E-2</v>
      </c>
      <c r="M57" s="50">
        <f t="shared" si="3"/>
        <v>-6.7534892043145112E-3</v>
      </c>
      <c r="N57" s="50">
        <f t="shared" si="4"/>
        <v>1.5444325398088932E-2</v>
      </c>
      <c r="O57" s="50">
        <f t="shared" si="5"/>
        <v>2.6044384264975573E-2</v>
      </c>
      <c r="P57" s="50">
        <f t="shared" si="6"/>
        <v>3.7771329275342325E-3</v>
      </c>
      <c r="Q57" s="50">
        <f t="shared" si="7"/>
        <v>-1.7378163323163776E-2</v>
      </c>
      <c r="R57" s="50">
        <f t="shared" si="8"/>
        <v>-5.5177064549867483E-2</v>
      </c>
      <c r="S57" s="50">
        <f t="shared" si="9"/>
        <v>-4.7733978737793614E-2</v>
      </c>
      <c r="T57" s="50"/>
    </row>
    <row r="58" spans="2:20">
      <c r="B58" s="112">
        <v>42611</v>
      </c>
      <c r="C58" s="42">
        <v>28532.109375</v>
      </c>
      <c r="D58" s="42">
        <v>866.70306400000004</v>
      </c>
      <c r="E58" s="42">
        <v>6032.2431640000004</v>
      </c>
      <c r="F58" s="42">
        <v>1621.020996</v>
      </c>
      <c r="G58" s="42">
        <v>5967.1381840000004</v>
      </c>
      <c r="H58" s="42">
        <v>494.95568800000001</v>
      </c>
      <c r="I58" s="42">
        <v>273.49865699999998</v>
      </c>
      <c r="J58" s="42">
        <v>543.37951699999996</v>
      </c>
      <c r="L58" s="50">
        <f t="shared" si="2"/>
        <v>2.6990592014685566E-2</v>
      </c>
      <c r="M58" s="50">
        <f t="shared" si="3"/>
        <v>1.7965871329622907E-2</v>
      </c>
      <c r="N58" s="50">
        <f t="shared" si="4"/>
        <v>-5.7324925350675904E-2</v>
      </c>
      <c r="O58" s="50">
        <f t="shared" si="5"/>
        <v>-2.407425845000688E-2</v>
      </c>
      <c r="P58" s="50">
        <f t="shared" si="6"/>
        <v>-7.9922676006535243E-3</v>
      </c>
      <c r="Q58" s="50">
        <f t="shared" si="7"/>
        <v>3.293240538593456E-2</v>
      </c>
      <c r="R58" s="50">
        <f t="shared" si="8"/>
        <v>2.3394873032181573E-2</v>
      </c>
      <c r="S58" s="50">
        <f t="shared" si="9"/>
        <v>3.1418137079445296E-2</v>
      </c>
      <c r="T58" s="50"/>
    </row>
    <row r="59" spans="2:20">
      <c r="B59" s="112">
        <v>42618</v>
      </c>
      <c r="C59" s="42">
        <v>28797.25</v>
      </c>
      <c r="D59" s="42">
        <v>875.362976</v>
      </c>
      <c r="E59" s="42">
        <v>6096.1752930000002</v>
      </c>
      <c r="F59" s="42">
        <v>1669.396362</v>
      </c>
      <c r="G59" s="42">
        <v>5828.2412109999996</v>
      </c>
      <c r="H59" s="42">
        <v>522.24151600000005</v>
      </c>
      <c r="I59" s="42">
        <v>276.31921399999999</v>
      </c>
      <c r="J59" s="42">
        <v>562.41296399999999</v>
      </c>
      <c r="L59" s="50">
        <f t="shared" si="2"/>
        <v>9.2927102414768203E-3</v>
      </c>
      <c r="M59" s="50">
        <f t="shared" si="3"/>
        <v>9.9917865295557906E-3</v>
      </c>
      <c r="N59" s="50">
        <f t="shared" si="4"/>
        <v>1.0598400505726024E-2</v>
      </c>
      <c r="O59" s="50">
        <f t="shared" si="5"/>
        <v>2.984252894895878E-2</v>
      </c>
      <c r="P59" s="50">
        <f t="shared" si="6"/>
        <v>-2.3276982821083703E-2</v>
      </c>
      <c r="Q59" s="50">
        <f t="shared" si="7"/>
        <v>5.512781984636983E-2</v>
      </c>
      <c r="R59" s="50">
        <f t="shared" si="8"/>
        <v>1.0312873309648474E-2</v>
      </c>
      <c r="S59" s="50">
        <f t="shared" si="9"/>
        <v>3.5027906655524577E-2</v>
      </c>
      <c r="T59" s="50"/>
    </row>
    <row r="60" spans="2:20">
      <c r="B60" s="112">
        <v>42625</v>
      </c>
      <c r="C60" s="42">
        <v>28599.029297000001</v>
      </c>
      <c r="D60" s="42">
        <v>858.18432600000006</v>
      </c>
      <c r="E60" s="42">
        <v>6001.6591799999997</v>
      </c>
      <c r="F60" s="42">
        <v>1679.2727050000001</v>
      </c>
      <c r="G60" s="42">
        <v>5876.9331050000001</v>
      </c>
      <c r="H60" s="42">
        <v>532.53094499999997</v>
      </c>
      <c r="I60" s="42">
        <v>277.63543700000002</v>
      </c>
      <c r="J60" s="42">
        <v>566.36944600000004</v>
      </c>
      <c r="L60" s="50">
        <f t="shared" si="2"/>
        <v>-6.8833205601228631E-3</v>
      </c>
      <c r="M60" s="50">
        <f t="shared" si="3"/>
        <v>-1.9624601989106649E-2</v>
      </c>
      <c r="N60" s="50">
        <f t="shared" si="4"/>
        <v>-1.5504165883899357E-2</v>
      </c>
      <c r="O60" s="50">
        <f t="shared" si="5"/>
        <v>5.916116282994599E-3</v>
      </c>
      <c r="P60" s="50">
        <f t="shared" si="6"/>
        <v>8.3544747441306466E-3</v>
      </c>
      <c r="Q60" s="50">
        <f t="shared" si="7"/>
        <v>1.9702433997989433E-2</v>
      </c>
      <c r="R60" s="50">
        <f t="shared" si="8"/>
        <v>4.7634146787927101E-3</v>
      </c>
      <c r="S60" s="50">
        <f t="shared" si="9"/>
        <v>7.0348342823762788E-3</v>
      </c>
      <c r="T60" s="50"/>
    </row>
    <row r="61" spans="2:20">
      <c r="B61" s="112">
        <v>42632</v>
      </c>
      <c r="C61" s="42">
        <v>28668.220702999999</v>
      </c>
      <c r="D61" s="42">
        <v>857.10168499999997</v>
      </c>
      <c r="E61" s="42">
        <v>6083.7172849999997</v>
      </c>
      <c r="F61" s="42">
        <v>1652.9879149999999</v>
      </c>
      <c r="G61" s="42">
        <v>5902.2783200000003</v>
      </c>
      <c r="H61" s="42">
        <v>499.04333500000001</v>
      </c>
      <c r="I61" s="42">
        <v>267.43454000000003</v>
      </c>
      <c r="J61" s="42">
        <v>554.42968800000006</v>
      </c>
      <c r="L61" s="50">
        <f t="shared" si="2"/>
        <v>2.4193620448249575E-3</v>
      </c>
      <c r="M61" s="50">
        <f t="shared" si="3"/>
        <v>-1.2615483261576577E-3</v>
      </c>
      <c r="N61" s="50">
        <f t="shared" si="4"/>
        <v>1.3672569957563052E-2</v>
      </c>
      <c r="O61" s="50">
        <f t="shared" si="5"/>
        <v>-1.5652484508167031E-2</v>
      </c>
      <c r="P61" s="50">
        <f t="shared" si="6"/>
        <v>4.3126601149223731E-3</v>
      </c>
      <c r="Q61" s="50">
        <f t="shared" si="7"/>
        <v>-6.2883876166107022E-2</v>
      </c>
      <c r="R61" s="50">
        <f t="shared" si="8"/>
        <v>-3.6742056814598967E-2</v>
      </c>
      <c r="S61" s="50">
        <f t="shared" si="9"/>
        <v>-2.108121842434274E-2</v>
      </c>
      <c r="T61" s="50"/>
    </row>
    <row r="62" spans="2:20">
      <c r="B62" s="112">
        <v>42639</v>
      </c>
      <c r="C62" s="42">
        <v>27865.960938</v>
      </c>
      <c r="D62" s="42">
        <v>816.90808100000004</v>
      </c>
      <c r="E62" s="42">
        <v>6025.8735349999997</v>
      </c>
      <c r="F62" s="42">
        <v>1625.3985600000001</v>
      </c>
      <c r="G62" s="42">
        <v>5738.84375</v>
      </c>
      <c r="H62" s="42">
        <v>500.77890000000002</v>
      </c>
      <c r="I62" s="42">
        <v>259.01992799999999</v>
      </c>
      <c r="J62" s="42">
        <v>547.78076199999998</v>
      </c>
      <c r="L62" s="50">
        <f t="shared" si="2"/>
        <v>-2.798428871157832E-2</v>
      </c>
      <c r="M62" s="50">
        <f t="shared" si="3"/>
        <v>-4.689479055218515E-2</v>
      </c>
      <c r="N62" s="50">
        <f t="shared" si="4"/>
        <v>-9.5079615455865296E-3</v>
      </c>
      <c r="O62" s="50">
        <f t="shared" si="5"/>
        <v>-1.6690596918247813E-2</v>
      </c>
      <c r="P62" s="50">
        <f t="shared" si="6"/>
        <v>-2.7690081886887374E-2</v>
      </c>
      <c r="Q62" s="50">
        <f t="shared" si="7"/>
        <v>3.4777841487454442E-3</v>
      </c>
      <c r="R62" s="50">
        <f t="shared" si="8"/>
        <v>-3.1464193069451807E-2</v>
      </c>
      <c r="S62" s="50">
        <f t="shared" si="9"/>
        <v>-1.1992370076690517E-2</v>
      </c>
      <c r="T62" s="50"/>
    </row>
    <row r="63" spans="2:20">
      <c r="B63" s="112">
        <v>42646</v>
      </c>
      <c r="C63" s="42">
        <v>28061.140625</v>
      </c>
      <c r="D63" s="42">
        <v>825.756348</v>
      </c>
      <c r="E63" s="42">
        <v>6302.2104490000002</v>
      </c>
      <c r="F63" s="42">
        <v>1636.3374020000001</v>
      </c>
      <c r="G63" s="42">
        <v>5869.0874020000001</v>
      </c>
      <c r="H63" s="42">
        <v>515.73925799999995</v>
      </c>
      <c r="I63" s="42">
        <v>262.54556300000002</v>
      </c>
      <c r="J63" s="42">
        <v>539.56341599999996</v>
      </c>
      <c r="L63" s="50">
        <f t="shared" si="2"/>
        <v>7.0042331371331645E-3</v>
      </c>
      <c r="M63" s="50">
        <f t="shared" si="3"/>
        <v>1.0831410786350082E-2</v>
      </c>
      <c r="N63" s="50">
        <f t="shared" si="4"/>
        <v>4.5858399183945187E-2</v>
      </c>
      <c r="O63" s="50">
        <f t="shared" si="5"/>
        <v>6.729944438981228E-3</v>
      </c>
      <c r="P63" s="50">
        <f t="shared" si="6"/>
        <v>2.269510334725533E-2</v>
      </c>
      <c r="Q63" s="50">
        <f t="shared" si="7"/>
        <v>2.987417800550296E-2</v>
      </c>
      <c r="R63" s="50">
        <f t="shared" si="8"/>
        <v>1.3611443054682759E-2</v>
      </c>
      <c r="S63" s="50">
        <f t="shared" si="9"/>
        <v>-1.5001158437908058E-2</v>
      </c>
      <c r="T63" s="50"/>
    </row>
    <row r="64" spans="2:20">
      <c r="B64" s="112">
        <v>42653</v>
      </c>
      <c r="C64" s="42">
        <v>27673.599609000001</v>
      </c>
      <c r="D64" s="42">
        <v>792.81085199999995</v>
      </c>
      <c r="E64" s="42">
        <v>6442.1586909999996</v>
      </c>
      <c r="F64" s="42">
        <v>1609.3378909999999</v>
      </c>
      <c r="G64" s="42">
        <v>5900.9467770000001</v>
      </c>
      <c r="H64" s="42">
        <v>496.50280800000002</v>
      </c>
      <c r="I64" s="42">
        <v>259.20788599999997</v>
      </c>
      <c r="J64" s="42">
        <v>547.49993900000004</v>
      </c>
      <c r="L64" s="50">
        <f t="shared" si="2"/>
        <v>-1.381059384502481E-2</v>
      </c>
      <c r="M64" s="50">
        <f t="shared" si="3"/>
        <v>-3.9897357228672603E-2</v>
      </c>
      <c r="N64" s="50">
        <f t="shared" si="4"/>
        <v>2.2206215284703124E-2</v>
      </c>
      <c r="O64" s="50">
        <f t="shared" si="5"/>
        <v>-1.6499965695950136E-2</v>
      </c>
      <c r="P64" s="50">
        <f t="shared" si="6"/>
        <v>5.4283354153394914E-3</v>
      </c>
      <c r="Q64" s="50">
        <f t="shared" si="7"/>
        <v>-3.7298789459226933E-2</v>
      </c>
      <c r="R64" s="50">
        <f t="shared" si="8"/>
        <v>-1.2712753405015764E-2</v>
      </c>
      <c r="S64" s="50">
        <f t="shared" si="9"/>
        <v>1.4709157004818341E-2</v>
      </c>
      <c r="T64" s="50"/>
    </row>
    <row r="65" spans="2:20">
      <c r="B65" s="112">
        <v>42660</v>
      </c>
      <c r="C65" s="42">
        <v>28077.179688</v>
      </c>
      <c r="D65" s="42">
        <v>801.23553500000003</v>
      </c>
      <c r="E65" s="42">
        <v>6434.5234380000002</v>
      </c>
      <c r="F65" s="42">
        <v>1599.6453859999999</v>
      </c>
      <c r="G65" s="42">
        <v>5832.330078</v>
      </c>
      <c r="H65" s="42">
        <v>512.63073699999995</v>
      </c>
      <c r="I65" s="42">
        <v>267.90460200000001</v>
      </c>
      <c r="J65" s="42">
        <v>539.02496299999996</v>
      </c>
      <c r="L65" s="50">
        <f t="shared" si="2"/>
        <v>1.4583577297575312E-2</v>
      </c>
      <c r="M65" s="50">
        <f t="shared" si="3"/>
        <v>1.0626346724123881E-2</v>
      </c>
      <c r="N65" s="50">
        <f t="shared" si="4"/>
        <v>-1.1852010119940415E-3</v>
      </c>
      <c r="O65" s="50">
        <f t="shared" si="5"/>
        <v>-6.0226662493960692E-3</v>
      </c>
      <c r="P65" s="50">
        <f t="shared" si="6"/>
        <v>-1.162808301668572E-2</v>
      </c>
      <c r="Q65" s="50">
        <f t="shared" si="7"/>
        <v>3.2483056973969804E-2</v>
      </c>
      <c r="R65" s="50">
        <f t="shared" si="8"/>
        <v>3.3551124289482592E-2</v>
      </c>
      <c r="S65" s="50">
        <f t="shared" si="9"/>
        <v>-1.5479409943824796E-2</v>
      </c>
      <c r="T65" s="50"/>
    </row>
    <row r="66" spans="2:20">
      <c r="B66" s="112">
        <v>42667</v>
      </c>
      <c r="C66" s="42">
        <v>27941.509765999999</v>
      </c>
      <c r="D66" s="42">
        <v>787.39843800000006</v>
      </c>
      <c r="E66" s="42">
        <v>6543.7944340000004</v>
      </c>
      <c r="F66" s="42">
        <v>1600.244385</v>
      </c>
      <c r="G66" s="42">
        <v>5781.3076170000004</v>
      </c>
      <c r="H66" s="42">
        <v>507.86532599999998</v>
      </c>
      <c r="I66" s="42">
        <v>265.08407599999998</v>
      </c>
      <c r="J66" s="42">
        <v>568.03173800000002</v>
      </c>
      <c r="L66" s="50">
        <f t="shared" si="2"/>
        <v>-4.8320352509616527E-3</v>
      </c>
      <c r="M66" s="50">
        <f t="shared" si="3"/>
        <v>-1.7269699602127542E-2</v>
      </c>
      <c r="N66" s="50">
        <f t="shared" si="4"/>
        <v>1.6981987407907351E-2</v>
      </c>
      <c r="O66" s="50">
        <f t="shared" si="5"/>
        <v>3.7445736739050162E-4</v>
      </c>
      <c r="P66" s="50">
        <f t="shared" si="6"/>
        <v>-8.748212175518022E-3</v>
      </c>
      <c r="Q66" s="50">
        <f t="shared" si="7"/>
        <v>-9.2959915511269253E-3</v>
      </c>
      <c r="R66" s="50">
        <f t="shared" si="8"/>
        <v>-1.0528098356444193E-2</v>
      </c>
      <c r="S66" s="50">
        <f t="shared" si="9"/>
        <v>5.3813416800883918E-2</v>
      </c>
      <c r="T66" s="50"/>
    </row>
    <row r="67" spans="2:20">
      <c r="B67" s="112">
        <v>42674</v>
      </c>
      <c r="C67" s="42">
        <v>27274.150390999999</v>
      </c>
      <c r="D67" s="42">
        <v>798.22326699999996</v>
      </c>
      <c r="E67" s="42">
        <v>6233.0791019999997</v>
      </c>
      <c r="F67" s="42">
        <v>1595.4417719999999</v>
      </c>
      <c r="G67" s="42">
        <v>5588.248047</v>
      </c>
      <c r="H67" s="42">
        <v>481.71575899999999</v>
      </c>
      <c r="I67" s="42">
        <v>245.95137</v>
      </c>
      <c r="J67" s="42">
        <v>561.64050299999997</v>
      </c>
      <c r="L67" s="50">
        <f t="shared" si="2"/>
        <v>-2.3884155888099556E-2</v>
      </c>
      <c r="M67" s="50">
        <f t="shared" si="3"/>
        <v>1.3747587596814492E-2</v>
      </c>
      <c r="N67" s="50">
        <f t="shared" si="4"/>
        <v>-4.7482440827541494E-2</v>
      </c>
      <c r="O67" s="50">
        <f t="shared" si="5"/>
        <v>-3.0011747236969866E-3</v>
      </c>
      <c r="P67" s="50">
        <f t="shared" si="6"/>
        <v>-3.339375497548458E-2</v>
      </c>
      <c r="Q67" s="50">
        <f t="shared" si="7"/>
        <v>-5.148917569536926E-2</v>
      </c>
      <c r="R67" s="50">
        <f t="shared" si="8"/>
        <v>-7.2175991439033083E-2</v>
      </c>
      <c r="S67" s="50">
        <f t="shared" si="9"/>
        <v>-1.1251545595855506E-2</v>
      </c>
      <c r="T67" s="50"/>
    </row>
    <row r="68" spans="2:20">
      <c r="B68" s="112">
        <v>42681</v>
      </c>
      <c r="C68" s="42">
        <v>26818.820313</v>
      </c>
      <c r="D68" s="42">
        <v>761.05688499999997</v>
      </c>
      <c r="E68" s="42">
        <v>5859.5097660000001</v>
      </c>
      <c r="F68" s="42">
        <v>1487.867798</v>
      </c>
      <c r="G68" s="42">
        <v>5082.5859380000002</v>
      </c>
      <c r="H68" s="42">
        <v>457.36532599999998</v>
      </c>
      <c r="I68" s="42">
        <v>232.13067599999999</v>
      </c>
      <c r="J68" s="42">
        <v>515.16863999999998</v>
      </c>
      <c r="L68" s="50">
        <f t="shared" si="2"/>
        <v>-1.6694565054178545E-2</v>
      </c>
      <c r="M68" s="50">
        <f t="shared" si="3"/>
        <v>-4.6561386439766594E-2</v>
      </c>
      <c r="N68" s="50">
        <f t="shared" si="4"/>
        <v>-5.9933353947029588E-2</v>
      </c>
      <c r="O68" s="50">
        <f t="shared" si="5"/>
        <v>-6.7425822670512336E-2</v>
      </c>
      <c r="P68" s="50">
        <f t="shared" si="6"/>
        <v>-9.0486697216573986E-2</v>
      </c>
      <c r="Q68" s="50">
        <f t="shared" si="7"/>
        <v>-5.0549380096157503E-2</v>
      </c>
      <c r="R68" s="50">
        <f t="shared" si="8"/>
        <v>-5.6192791282276722E-2</v>
      </c>
      <c r="S68" s="50">
        <f t="shared" si="9"/>
        <v>-8.274307631264266E-2</v>
      </c>
      <c r="T68" s="50"/>
    </row>
    <row r="69" spans="2:20">
      <c r="B69" s="112">
        <v>42688</v>
      </c>
      <c r="C69" s="42">
        <v>26150.240234000001</v>
      </c>
      <c r="D69" s="42">
        <v>762.10089100000005</v>
      </c>
      <c r="E69" s="42">
        <v>5509.591797</v>
      </c>
      <c r="F69" s="42">
        <v>1402.461914</v>
      </c>
      <c r="G69" s="42">
        <v>4716.6772460000002</v>
      </c>
      <c r="H69" s="42">
        <v>448.33892800000001</v>
      </c>
      <c r="I69" s="42">
        <v>235.09227000000001</v>
      </c>
      <c r="J69" s="42">
        <v>505.92120399999999</v>
      </c>
      <c r="L69" s="50">
        <f t="shared" ref="L69:L132" si="14">C69/C68-1</f>
        <v>-2.4929511111863367E-2</v>
      </c>
      <c r="M69" s="50">
        <f t="shared" ref="M69:M132" si="15">D69/D68-1</f>
        <v>1.3717844494633979E-3</v>
      </c>
      <c r="N69" s="50">
        <f t="shared" ref="N69:N132" si="16">E69/E68-1</f>
        <v>-5.9717959859101333E-2</v>
      </c>
      <c r="O69" s="50">
        <f t="shared" ref="O69:O132" si="17">F69/F68-1</f>
        <v>-5.7401527282735065E-2</v>
      </c>
      <c r="P69" s="50">
        <f t="shared" ref="P69:P132" si="18">G69/G68-1</f>
        <v>-7.1992622744316059E-2</v>
      </c>
      <c r="Q69" s="50">
        <f t="shared" ref="Q69:Q132" si="19">H69/H68-1</f>
        <v>-1.973564126284455E-2</v>
      </c>
      <c r="R69" s="50">
        <f t="shared" ref="R69:R132" si="20">I69/I68-1</f>
        <v>1.2758305153947047E-2</v>
      </c>
      <c r="S69" s="50">
        <f t="shared" ref="S69:S132" si="21">J69/J68-1</f>
        <v>-1.7950308465981113E-2</v>
      </c>
      <c r="T69" s="50"/>
    </row>
    <row r="70" spans="2:20">
      <c r="B70" s="112">
        <v>42695</v>
      </c>
      <c r="C70" s="42">
        <v>26316.339843999998</v>
      </c>
      <c r="D70" s="42">
        <v>791.29022199999997</v>
      </c>
      <c r="E70" s="42">
        <v>5769.5825199999999</v>
      </c>
      <c r="F70" s="42">
        <v>1431.1623540000001</v>
      </c>
      <c r="G70" s="42">
        <v>4789.4790039999998</v>
      </c>
      <c r="H70" s="42">
        <v>455.45251500000001</v>
      </c>
      <c r="I70" s="42">
        <v>241.398132</v>
      </c>
      <c r="J70" s="42">
        <v>503.67370599999998</v>
      </c>
      <c r="L70" s="50">
        <f t="shared" si="14"/>
        <v>6.3517431776416444E-3</v>
      </c>
      <c r="M70" s="50">
        <f t="shared" si="15"/>
        <v>3.8301137480234226E-2</v>
      </c>
      <c r="N70" s="50">
        <f t="shared" si="16"/>
        <v>4.7188745115666508E-2</v>
      </c>
      <c r="O70" s="50">
        <f t="shared" si="17"/>
        <v>2.0464327561054985E-2</v>
      </c>
      <c r="P70" s="50">
        <f t="shared" si="18"/>
        <v>1.5434967075972805E-2</v>
      </c>
      <c r="Q70" s="50">
        <f t="shared" si="19"/>
        <v>1.5866538807444375E-2</v>
      </c>
      <c r="R70" s="50">
        <f t="shared" si="20"/>
        <v>2.6822923612077831E-2</v>
      </c>
      <c r="S70" s="50">
        <f t="shared" si="21"/>
        <v>-4.4423874354948545E-3</v>
      </c>
      <c r="T70" s="50"/>
    </row>
    <row r="71" spans="2:20">
      <c r="B71" s="112">
        <v>42702</v>
      </c>
      <c r="C71" s="42">
        <v>26230.660156000002</v>
      </c>
      <c r="D71" s="42">
        <v>789.24932899999999</v>
      </c>
      <c r="E71" s="42">
        <v>5836.7475590000004</v>
      </c>
      <c r="F71" s="42">
        <v>1438.3134769999999</v>
      </c>
      <c r="G71" s="42">
        <v>4826.7114259999998</v>
      </c>
      <c r="H71" s="42">
        <v>458.55136099999999</v>
      </c>
      <c r="I71" s="42">
        <v>240.925095</v>
      </c>
      <c r="J71" s="42">
        <v>482.39267000000001</v>
      </c>
      <c r="L71" s="50">
        <f t="shared" si="14"/>
        <v>-3.2557600527997055E-3</v>
      </c>
      <c r="M71" s="50">
        <f t="shared" si="15"/>
        <v>-2.5791965365647984E-3</v>
      </c>
      <c r="N71" s="50">
        <f t="shared" si="16"/>
        <v>1.164123032596831E-2</v>
      </c>
      <c r="O71" s="50">
        <f t="shared" si="17"/>
        <v>4.996723802867642E-3</v>
      </c>
      <c r="P71" s="50">
        <f t="shared" si="18"/>
        <v>7.7737937610551366E-3</v>
      </c>
      <c r="Q71" s="50">
        <f t="shared" si="19"/>
        <v>6.8038838252983957E-3</v>
      </c>
      <c r="R71" s="50">
        <f t="shared" si="20"/>
        <v>-1.9595719158257419E-3</v>
      </c>
      <c r="S71" s="50">
        <f t="shared" si="21"/>
        <v>-4.2251631853102878E-2</v>
      </c>
      <c r="T71" s="50"/>
    </row>
    <row r="72" spans="2:20">
      <c r="B72" s="112">
        <v>42709</v>
      </c>
      <c r="C72" s="42">
        <v>26747.179688</v>
      </c>
      <c r="D72" s="42">
        <v>802.15905799999996</v>
      </c>
      <c r="E72" s="42">
        <v>5950.4677730000003</v>
      </c>
      <c r="F72" s="42">
        <v>1461.7763669999999</v>
      </c>
      <c r="G72" s="42">
        <v>4806.3598629999997</v>
      </c>
      <c r="H72" s="42">
        <v>467.28054800000001</v>
      </c>
      <c r="I72" s="42">
        <v>240.12091100000001</v>
      </c>
      <c r="J72" s="42">
        <v>486.06829800000003</v>
      </c>
      <c r="L72" s="50">
        <f t="shared" si="14"/>
        <v>1.969144233992326E-2</v>
      </c>
      <c r="M72" s="50">
        <f t="shared" si="15"/>
        <v>1.6356971777672591E-2</v>
      </c>
      <c r="N72" s="50">
        <f t="shared" si="16"/>
        <v>1.9483490223017874E-2</v>
      </c>
      <c r="O72" s="50">
        <f t="shared" si="17"/>
        <v>1.6312779081329554E-2</v>
      </c>
      <c r="P72" s="50">
        <f t="shared" si="18"/>
        <v>-4.2164449464230369E-3</v>
      </c>
      <c r="Q72" s="50">
        <f t="shared" si="19"/>
        <v>1.9036443335297415E-2</v>
      </c>
      <c r="R72" s="50">
        <f t="shared" si="20"/>
        <v>-3.3379005204916545E-3</v>
      </c>
      <c r="S72" s="50">
        <f t="shared" si="21"/>
        <v>7.6195768065878688E-3</v>
      </c>
      <c r="T72" s="50"/>
    </row>
    <row r="73" spans="2:20">
      <c r="B73" s="112">
        <v>42716</v>
      </c>
      <c r="C73" s="42">
        <v>26489.560547000001</v>
      </c>
      <c r="D73" s="42">
        <v>775.48535200000003</v>
      </c>
      <c r="E73" s="42">
        <v>5742.8349609999996</v>
      </c>
      <c r="F73" s="42">
        <v>1398.934692</v>
      </c>
      <c r="G73" s="42">
        <v>4848.4902339999999</v>
      </c>
      <c r="H73" s="42">
        <v>467.23318499999999</v>
      </c>
      <c r="I73" s="42">
        <v>237.235275</v>
      </c>
      <c r="J73" s="42">
        <v>478.014771</v>
      </c>
      <c r="L73" s="50">
        <f t="shared" si="14"/>
        <v>-9.6316375784314401E-3</v>
      </c>
      <c r="M73" s="50">
        <f t="shared" si="15"/>
        <v>-3.3252390201146231E-2</v>
      </c>
      <c r="N73" s="50">
        <f t="shared" si="16"/>
        <v>-3.4893527689054293E-2</v>
      </c>
      <c r="O73" s="50">
        <f t="shared" si="17"/>
        <v>-4.2989937735119943E-2</v>
      </c>
      <c r="P73" s="50">
        <f t="shared" si="18"/>
        <v>8.7655465260363385E-3</v>
      </c>
      <c r="Q73" s="50">
        <f t="shared" si="19"/>
        <v>-1.0135880939776687E-4</v>
      </c>
      <c r="R73" s="50">
        <f t="shared" si="20"/>
        <v>-1.201742900267444E-2</v>
      </c>
      <c r="S73" s="50">
        <f t="shared" si="21"/>
        <v>-1.6568714794067962E-2</v>
      </c>
      <c r="T73" s="50"/>
    </row>
    <row r="74" spans="2:20">
      <c r="B74" s="112">
        <v>42723</v>
      </c>
      <c r="C74" s="42">
        <v>26040.699218999998</v>
      </c>
      <c r="D74" s="42">
        <v>749.42852800000003</v>
      </c>
      <c r="E74" s="42">
        <v>5450.2080079999996</v>
      </c>
      <c r="F74" s="42">
        <v>1367.963379</v>
      </c>
      <c r="G74" s="42">
        <v>4708.6889650000003</v>
      </c>
      <c r="H74" s="42">
        <v>453.41244499999999</v>
      </c>
      <c r="I74" s="42">
        <v>232.17363</v>
      </c>
      <c r="J74" s="42">
        <v>450.03808600000002</v>
      </c>
      <c r="L74" s="50">
        <f t="shared" si="14"/>
        <v>-1.6944838597967471E-2</v>
      </c>
      <c r="M74" s="50">
        <f t="shared" si="15"/>
        <v>-3.3600665612572356E-2</v>
      </c>
      <c r="N74" s="50">
        <f t="shared" si="16"/>
        <v>-5.095513887953429E-2</v>
      </c>
      <c r="O74" s="50">
        <f t="shared" si="17"/>
        <v>-2.2139212914736972E-2</v>
      </c>
      <c r="P74" s="50">
        <f t="shared" si="18"/>
        <v>-2.8833979703546508E-2</v>
      </c>
      <c r="Q74" s="50">
        <f t="shared" si="19"/>
        <v>-2.9579962305117502E-2</v>
      </c>
      <c r="R74" s="50">
        <f t="shared" si="20"/>
        <v>-2.1335971220974637E-2</v>
      </c>
      <c r="S74" s="50">
        <f t="shared" si="21"/>
        <v>-5.8526821130387097E-2</v>
      </c>
      <c r="T74" s="50"/>
    </row>
    <row r="75" spans="2:20">
      <c r="B75" s="112">
        <v>42730</v>
      </c>
      <c r="C75" s="42">
        <v>26626.460938</v>
      </c>
      <c r="D75" s="42">
        <v>784.40826400000003</v>
      </c>
      <c r="E75" s="42">
        <v>5661.2724609999996</v>
      </c>
      <c r="F75" s="42">
        <v>1394.586182</v>
      </c>
      <c r="G75" s="42">
        <v>4758.3330079999996</v>
      </c>
      <c r="H75" s="42">
        <v>477.56011999999998</v>
      </c>
      <c r="I75" s="42">
        <v>246.41249099999999</v>
      </c>
      <c r="J75" s="42">
        <v>445.543091</v>
      </c>
      <c r="L75" s="50">
        <f t="shared" si="14"/>
        <v>2.2494085664666486E-2</v>
      </c>
      <c r="M75" s="50">
        <f t="shared" si="15"/>
        <v>4.6675212769589081E-2</v>
      </c>
      <c r="N75" s="50">
        <f t="shared" si="16"/>
        <v>3.8725944530959566E-2</v>
      </c>
      <c r="O75" s="50">
        <f t="shared" si="17"/>
        <v>1.9461634286921825E-2</v>
      </c>
      <c r="P75" s="50">
        <f t="shared" si="18"/>
        <v>1.0543071196464027E-2</v>
      </c>
      <c r="Q75" s="50">
        <f t="shared" si="19"/>
        <v>5.3257636102158612E-2</v>
      </c>
      <c r="R75" s="50">
        <f t="shared" si="20"/>
        <v>6.1328502293735987E-2</v>
      </c>
      <c r="S75" s="50">
        <f t="shared" si="21"/>
        <v>-9.9880324351037109E-3</v>
      </c>
      <c r="T75" s="50"/>
    </row>
    <row r="76" spans="2:20">
      <c r="B76" s="112">
        <v>42737</v>
      </c>
      <c r="C76" s="42">
        <v>26759.230468999998</v>
      </c>
      <c r="D76" s="42">
        <v>791.43267800000001</v>
      </c>
      <c r="E76" s="42">
        <v>5568.7709960000002</v>
      </c>
      <c r="F76" s="42">
        <v>1398.7607419999999</v>
      </c>
      <c r="G76" s="42">
        <v>4896.9448240000002</v>
      </c>
      <c r="H76" s="42">
        <v>481.46554600000002</v>
      </c>
      <c r="I76" s="42">
        <v>246.36518899999999</v>
      </c>
      <c r="J76" s="42">
        <v>482.86090100000001</v>
      </c>
      <c r="L76" s="50">
        <f t="shared" si="14"/>
        <v>4.986375444680835E-3</v>
      </c>
      <c r="M76" s="50">
        <f t="shared" si="15"/>
        <v>8.9550484389082641E-3</v>
      </c>
      <c r="N76" s="50">
        <f t="shared" si="16"/>
        <v>-1.6339341665188134E-2</v>
      </c>
      <c r="O76" s="50">
        <f t="shared" si="17"/>
        <v>2.99340410358373E-3</v>
      </c>
      <c r="P76" s="50">
        <f t="shared" si="18"/>
        <v>2.9130331098508266E-2</v>
      </c>
      <c r="Q76" s="50">
        <f t="shared" si="19"/>
        <v>8.177872976495637E-3</v>
      </c>
      <c r="R76" s="50">
        <f t="shared" si="20"/>
        <v>-1.919626712429956E-4</v>
      </c>
      <c r="S76" s="50">
        <f t="shared" si="21"/>
        <v>8.3758026448669698E-2</v>
      </c>
      <c r="T76" s="50"/>
    </row>
    <row r="77" spans="2:20">
      <c r="B77" s="112">
        <v>42744</v>
      </c>
      <c r="C77" s="42">
        <v>27238.060547000001</v>
      </c>
      <c r="D77" s="42">
        <v>785.92706299999998</v>
      </c>
      <c r="E77" s="42">
        <v>5540.0810549999997</v>
      </c>
      <c r="F77" s="42">
        <v>1420.5325929999999</v>
      </c>
      <c r="G77" s="42">
        <v>4789.2412109999996</v>
      </c>
      <c r="H77" s="42">
        <v>495.635223</v>
      </c>
      <c r="I77" s="42">
        <v>244.42570499999999</v>
      </c>
      <c r="J77" s="42">
        <v>502.36264</v>
      </c>
      <c r="L77" s="50">
        <f t="shared" si="14"/>
        <v>1.7894015246616268E-2</v>
      </c>
      <c r="M77" s="50">
        <f t="shared" si="15"/>
        <v>-6.9565171530610037E-3</v>
      </c>
      <c r="N77" s="50">
        <f t="shared" si="16"/>
        <v>-5.1519340659920143E-3</v>
      </c>
      <c r="O77" s="50">
        <f t="shared" si="17"/>
        <v>1.5565100124893316E-2</v>
      </c>
      <c r="P77" s="50">
        <f t="shared" si="18"/>
        <v>-2.1994042585928963E-2</v>
      </c>
      <c r="Q77" s="50">
        <f t="shared" si="19"/>
        <v>2.9430303201799513E-2</v>
      </c>
      <c r="R77" s="50">
        <f t="shared" si="20"/>
        <v>-7.8723946669266853E-3</v>
      </c>
      <c r="S77" s="50">
        <f t="shared" si="21"/>
        <v>4.0387902519363417E-2</v>
      </c>
      <c r="T77" s="50"/>
    </row>
    <row r="78" spans="2:20">
      <c r="B78" s="112">
        <v>42751</v>
      </c>
      <c r="C78" s="42">
        <v>27034.5</v>
      </c>
      <c r="D78" s="42">
        <v>816.77752699999996</v>
      </c>
      <c r="E78" s="42">
        <v>5540.5502930000002</v>
      </c>
      <c r="F78" s="42">
        <v>1487.355591</v>
      </c>
      <c r="G78" s="42">
        <v>4769.9833980000003</v>
      </c>
      <c r="H78" s="42">
        <v>488.29702800000001</v>
      </c>
      <c r="I78" s="42">
        <v>241.72929400000001</v>
      </c>
      <c r="J78" s="42">
        <v>466.426086</v>
      </c>
      <c r="L78" s="50">
        <f t="shared" si="14"/>
        <v>-7.4733862438095544E-3</v>
      </c>
      <c r="M78" s="50">
        <f t="shared" si="15"/>
        <v>3.9253596742475416E-2</v>
      </c>
      <c r="N78" s="50">
        <f t="shared" si="16"/>
        <v>8.4698760783874505E-5</v>
      </c>
      <c r="O78" s="50">
        <f t="shared" si="17"/>
        <v>4.7040805912715866E-2</v>
      </c>
      <c r="P78" s="50">
        <f t="shared" si="18"/>
        <v>-4.0210572304789638E-3</v>
      </c>
      <c r="Q78" s="50">
        <f t="shared" si="19"/>
        <v>-1.4805636604241057E-2</v>
      </c>
      <c r="R78" s="50">
        <f t="shared" si="20"/>
        <v>-1.1031617971604013E-2</v>
      </c>
      <c r="S78" s="50">
        <f t="shared" si="21"/>
        <v>-7.1535084694992479E-2</v>
      </c>
      <c r="T78" s="50"/>
    </row>
    <row r="79" spans="2:20">
      <c r="B79" s="112">
        <v>42758</v>
      </c>
      <c r="C79" s="42">
        <v>27882.460938</v>
      </c>
      <c r="D79" s="42">
        <v>812.50591999999995</v>
      </c>
      <c r="E79" s="42">
        <v>5554.0747069999998</v>
      </c>
      <c r="F79" s="42">
        <v>1499.260986</v>
      </c>
      <c r="G79" s="42">
        <v>4935.2719729999999</v>
      </c>
      <c r="H79" s="42">
        <v>490.08459499999998</v>
      </c>
      <c r="I79" s="42">
        <v>243.99989299999999</v>
      </c>
      <c r="J79" s="42">
        <v>470.52310199999999</v>
      </c>
      <c r="L79" s="50">
        <f t="shared" si="14"/>
        <v>3.13658820396161E-2</v>
      </c>
      <c r="M79" s="50">
        <f t="shared" si="15"/>
        <v>-5.2298292482281239E-3</v>
      </c>
      <c r="N79" s="50">
        <f t="shared" si="16"/>
        <v>2.4409874984956392E-3</v>
      </c>
      <c r="O79" s="50">
        <f t="shared" si="17"/>
        <v>8.0044039717466209E-3</v>
      </c>
      <c r="P79" s="50">
        <f t="shared" si="18"/>
        <v>3.4651813477863058E-2</v>
      </c>
      <c r="Q79" s="50">
        <f t="shared" si="19"/>
        <v>3.6608189226987609E-3</v>
      </c>
      <c r="R79" s="50">
        <f t="shared" si="20"/>
        <v>9.3931478573712202E-3</v>
      </c>
      <c r="S79" s="50">
        <f t="shared" si="21"/>
        <v>8.7838483373332554E-3</v>
      </c>
      <c r="T79" s="50"/>
    </row>
    <row r="80" spans="2:20">
      <c r="B80" s="112">
        <v>42765</v>
      </c>
      <c r="C80" s="42">
        <v>28240.519531000002</v>
      </c>
      <c r="D80" s="42">
        <v>806.62060499999995</v>
      </c>
      <c r="E80" s="42">
        <v>5717.7597660000001</v>
      </c>
      <c r="F80" s="42">
        <v>1561.0688479999999</v>
      </c>
      <c r="G80" s="42">
        <v>4821.576172</v>
      </c>
      <c r="H80" s="42">
        <v>500.20471199999997</v>
      </c>
      <c r="I80" s="42">
        <v>241.540054</v>
      </c>
      <c r="J80" s="42">
        <v>549.95806900000002</v>
      </c>
      <c r="L80" s="50">
        <f t="shared" si="14"/>
        <v>1.2841714144106176E-2</v>
      </c>
      <c r="M80" s="50">
        <f t="shared" si="15"/>
        <v>-7.2434118387715296E-3</v>
      </c>
      <c r="N80" s="50">
        <f t="shared" si="16"/>
        <v>2.9471166240112368E-2</v>
      </c>
      <c r="O80" s="50">
        <f t="shared" si="17"/>
        <v>4.1225552173475899E-2</v>
      </c>
      <c r="P80" s="50">
        <f t="shared" si="18"/>
        <v>-2.3037393201835621E-2</v>
      </c>
      <c r="Q80" s="50">
        <f t="shared" si="19"/>
        <v>2.0649734970755285E-2</v>
      </c>
      <c r="R80" s="50">
        <f t="shared" si="20"/>
        <v>-1.0081311797952242E-2</v>
      </c>
      <c r="S80" s="50">
        <f t="shared" si="21"/>
        <v>0.16882267132549855</v>
      </c>
      <c r="T80" s="50"/>
    </row>
    <row r="81" spans="2:20">
      <c r="B81" s="112">
        <v>42772</v>
      </c>
      <c r="C81" s="42">
        <v>28334.25</v>
      </c>
      <c r="D81" s="42">
        <v>807.712219</v>
      </c>
      <c r="E81" s="42">
        <v>5801.9985349999997</v>
      </c>
      <c r="F81" s="42">
        <v>1565.1757809999999</v>
      </c>
      <c r="G81" s="42">
        <v>4877.5922849999997</v>
      </c>
      <c r="H81" s="42">
        <v>492.51934799999998</v>
      </c>
      <c r="I81" s="42">
        <v>255.400497</v>
      </c>
      <c r="J81" s="42">
        <v>536.730591</v>
      </c>
      <c r="L81" s="50">
        <f t="shared" si="14"/>
        <v>3.3190065394197443E-3</v>
      </c>
      <c r="M81" s="50">
        <f t="shared" si="15"/>
        <v>1.3533177719902145E-3</v>
      </c>
      <c r="N81" s="50">
        <f t="shared" si="16"/>
        <v>1.4732827619116762E-2</v>
      </c>
      <c r="O81" s="50">
        <f t="shared" si="17"/>
        <v>2.6308468106719385E-3</v>
      </c>
      <c r="P81" s="50">
        <f t="shared" si="18"/>
        <v>1.1617801109375492E-2</v>
      </c>
      <c r="Q81" s="50">
        <f t="shared" si="19"/>
        <v>-1.5364437430569367E-2</v>
      </c>
      <c r="R81" s="50">
        <f t="shared" si="20"/>
        <v>5.7383621351678515E-2</v>
      </c>
      <c r="S81" s="50">
        <f t="shared" si="21"/>
        <v>-2.4051793665018528E-2</v>
      </c>
      <c r="T81" s="50"/>
    </row>
    <row r="82" spans="2:20">
      <c r="B82" s="112">
        <v>42779</v>
      </c>
      <c r="C82" s="42">
        <v>28468.75</v>
      </c>
      <c r="D82" s="42">
        <v>798.55194100000006</v>
      </c>
      <c r="E82" s="42">
        <v>5860.5043949999999</v>
      </c>
      <c r="F82" s="42">
        <v>1569.2342530000001</v>
      </c>
      <c r="G82" s="42">
        <v>4858.1430659999996</v>
      </c>
      <c r="H82" s="42">
        <v>512.15130599999998</v>
      </c>
      <c r="I82" s="42">
        <v>256.14370700000001</v>
      </c>
      <c r="J82" s="42">
        <v>500.48968500000001</v>
      </c>
      <c r="L82" s="50">
        <f t="shared" si="14"/>
        <v>4.7469052471831308E-3</v>
      </c>
      <c r="M82" s="50">
        <f t="shared" si="15"/>
        <v>-1.1341016991597508E-2</v>
      </c>
      <c r="N82" s="50">
        <f t="shared" si="16"/>
        <v>1.0083742635760728E-2</v>
      </c>
      <c r="O82" s="50">
        <f t="shared" si="17"/>
        <v>2.592981599425892E-3</v>
      </c>
      <c r="P82" s="50">
        <f t="shared" si="18"/>
        <v>-3.9874630480722928E-3</v>
      </c>
      <c r="Q82" s="50">
        <f t="shared" si="19"/>
        <v>3.986027773268308E-2</v>
      </c>
      <c r="R82" s="50">
        <f t="shared" si="20"/>
        <v>2.9099786755701906E-3</v>
      </c>
      <c r="S82" s="50">
        <f t="shared" si="21"/>
        <v>-6.7521595764605813E-2</v>
      </c>
      <c r="T82" s="50"/>
    </row>
    <row r="83" spans="2:20">
      <c r="B83" s="112">
        <v>42786</v>
      </c>
      <c r="C83" s="42">
        <v>28892.970702999999</v>
      </c>
      <c r="D83" s="42">
        <v>814.68908699999997</v>
      </c>
      <c r="E83" s="42">
        <v>5993.248047</v>
      </c>
      <c r="F83" s="42">
        <v>1559.2037350000001</v>
      </c>
      <c r="G83" s="42">
        <v>4942.9277339999999</v>
      </c>
      <c r="H83" s="42">
        <v>528.32824700000003</v>
      </c>
      <c r="I83" s="42">
        <v>256.28668199999998</v>
      </c>
      <c r="J83" s="42">
        <v>503.93127399999997</v>
      </c>
      <c r="L83" s="50">
        <f t="shared" si="14"/>
        <v>1.4901276065861557E-2</v>
      </c>
      <c r="M83" s="50">
        <f t="shared" si="15"/>
        <v>2.02080104893263E-2</v>
      </c>
      <c r="N83" s="50">
        <f t="shared" si="16"/>
        <v>2.2650550712538076E-2</v>
      </c>
      <c r="O83" s="50">
        <f t="shared" si="17"/>
        <v>-6.3919825741912684E-3</v>
      </c>
      <c r="P83" s="50">
        <f t="shared" si="18"/>
        <v>1.7452073116860367E-2</v>
      </c>
      <c r="Q83" s="50">
        <f t="shared" si="19"/>
        <v>3.1586253535786257E-2</v>
      </c>
      <c r="R83" s="50">
        <f t="shared" si="20"/>
        <v>5.5818275480801205E-4</v>
      </c>
      <c r="S83" s="50">
        <f t="shared" si="21"/>
        <v>6.8764434176100675E-3</v>
      </c>
      <c r="T83" s="50"/>
    </row>
    <row r="84" spans="2:20">
      <c r="B84" s="112">
        <v>42793</v>
      </c>
      <c r="C84" s="42">
        <v>28832.449218999998</v>
      </c>
      <c r="D84" s="42">
        <v>832.62994400000002</v>
      </c>
      <c r="E84" s="42">
        <v>5812.65625</v>
      </c>
      <c r="F84" s="42">
        <v>1496.275024</v>
      </c>
      <c r="G84" s="42">
        <v>4940.2172849999997</v>
      </c>
      <c r="H84" s="42">
        <v>507.09680200000003</v>
      </c>
      <c r="I84" s="42">
        <v>266.151184</v>
      </c>
      <c r="J84" s="42">
        <v>485.52975500000002</v>
      </c>
      <c r="L84" s="50">
        <f t="shared" si="14"/>
        <v>-2.0946784815628616E-3</v>
      </c>
      <c r="M84" s="50">
        <f t="shared" si="15"/>
        <v>2.2021722502832519E-2</v>
      </c>
      <c r="N84" s="50">
        <f t="shared" si="16"/>
        <v>-3.0132541750945485E-2</v>
      </c>
      <c r="O84" s="50">
        <f t="shared" si="17"/>
        <v>-4.0359517866342176E-2</v>
      </c>
      <c r="P84" s="50">
        <f t="shared" si="18"/>
        <v>-5.4834890288935068E-4</v>
      </c>
      <c r="Q84" s="50">
        <f t="shared" si="19"/>
        <v>-4.018608719211636E-2</v>
      </c>
      <c r="R84" s="50">
        <f t="shared" si="20"/>
        <v>3.8490107730217549E-2</v>
      </c>
      <c r="S84" s="50">
        <f t="shared" si="21"/>
        <v>-3.6515929749579179E-2</v>
      </c>
      <c r="T84" s="50"/>
    </row>
    <row r="85" spans="2:20">
      <c r="B85" s="112">
        <v>42800</v>
      </c>
      <c r="C85" s="42">
        <v>28946.230468999998</v>
      </c>
      <c r="D85" s="42">
        <v>830.77886999999998</v>
      </c>
      <c r="E85" s="42">
        <v>5758.3774409999996</v>
      </c>
      <c r="F85" s="42">
        <v>1508.7120359999999</v>
      </c>
      <c r="G85" s="42">
        <v>5073.5039059999999</v>
      </c>
      <c r="H85" s="42">
        <v>511.78720099999998</v>
      </c>
      <c r="I85" s="42">
        <v>266.81839000000002</v>
      </c>
      <c r="J85" s="42">
        <v>466.77725199999998</v>
      </c>
      <c r="L85" s="50">
        <f t="shared" si="14"/>
        <v>3.9462915250716435E-3</v>
      </c>
      <c r="M85" s="50">
        <f t="shared" si="15"/>
        <v>-2.2231653009107122E-3</v>
      </c>
      <c r="N85" s="50">
        <f t="shared" si="16"/>
        <v>-9.3380386978845209E-3</v>
      </c>
      <c r="O85" s="50">
        <f t="shared" si="17"/>
        <v>8.3119826238573502E-3</v>
      </c>
      <c r="P85" s="50">
        <f t="shared" si="18"/>
        <v>2.6979910661965922E-2</v>
      </c>
      <c r="Q85" s="50">
        <f t="shared" si="19"/>
        <v>9.2495140602364412E-3</v>
      </c>
      <c r="R85" s="50">
        <f t="shared" si="20"/>
        <v>2.5068684270816988E-3</v>
      </c>
      <c r="S85" s="50">
        <f t="shared" si="21"/>
        <v>-3.8622767826042015E-2</v>
      </c>
      <c r="T85" s="50"/>
    </row>
    <row r="86" spans="2:20">
      <c r="B86" s="112">
        <v>42807</v>
      </c>
      <c r="C86" s="42">
        <v>29648.990234000001</v>
      </c>
      <c r="D86" s="42">
        <v>856.74066200000004</v>
      </c>
      <c r="E86" s="42">
        <v>5843.2255859999996</v>
      </c>
      <c r="F86" s="42">
        <v>1569.1376949999999</v>
      </c>
      <c r="G86" s="42">
        <v>5263.4248049999997</v>
      </c>
      <c r="H86" s="42">
        <v>533.54040499999996</v>
      </c>
      <c r="I86" s="42">
        <v>279.82806399999998</v>
      </c>
      <c r="J86" s="42">
        <v>493.91110200000003</v>
      </c>
      <c r="L86" s="50">
        <f t="shared" si="14"/>
        <v>2.4278109916682444E-2</v>
      </c>
      <c r="M86" s="50">
        <f t="shared" si="15"/>
        <v>3.1249942599045788E-2</v>
      </c>
      <c r="N86" s="50">
        <f t="shared" si="16"/>
        <v>1.4734731418589497E-2</v>
      </c>
      <c r="O86" s="50">
        <f t="shared" si="17"/>
        <v>4.0051154599525018E-2</v>
      </c>
      <c r="P86" s="50">
        <f t="shared" si="18"/>
        <v>3.743387262901221E-2</v>
      </c>
      <c r="Q86" s="50">
        <f t="shared" si="19"/>
        <v>4.2504392367561428E-2</v>
      </c>
      <c r="R86" s="50">
        <f t="shared" si="20"/>
        <v>4.8758535721619367E-2</v>
      </c>
      <c r="S86" s="50">
        <f t="shared" si="21"/>
        <v>5.8130189257808995E-2</v>
      </c>
      <c r="T86" s="50"/>
    </row>
    <row r="87" spans="2:20">
      <c r="B87" s="112">
        <v>42814</v>
      </c>
      <c r="C87" s="42">
        <v>29421.400390999999</v>
      </c>
      <c r="D87" s="42">
        <v>854.50994900000001</v>
      </c>
      <c r="E87" s="42">
        <v>5965.732422</v>
      </c>
      <c r="F87" s="42">
        <v>1593.5766599999999</v>
      </c>
      <c r="G87" s="42">
        <v>4948.2055659999996</v>
      </c>
      <c r="H87" s="42">
        <v>528.45459000000005</v>
      </c>
      <c r="I87" s="42">
        <v>277.15939300000002</v>
      </c>
      <c r="J87" s="42">
        <v>480.77966300000003</v>
      </c>
      <c r="L87" s="50">
        <f t="shared" si="14"/>
        <v>-7.6761414538499828E-3</v>
      </c>
      <c r="M87" s="50">
        <f t="shared" si="15"/>
        <v>-2.6037202375717161E-3</v>
      </c>
      <c r="N87" s="50">
        <f t="shared" si="16"/>
        <v>2.0965618081478787E-2</v>
      </c>
      <c r="O87" s="50">
        <f t="shared" si="17"/>
        <v>1.5574774016247295E-2</v>
      </c>
      <c r="P87" s="50">
        <f t="shared" si="18"/>
        <v>-5.9888618281495498E-2</v>
      </c>
      <c r="Q87" s="50">
        <f t="shared" si="19"/>
        <v>-9.5322021581475402E-3</v>
      </c>
      <c r="R87" s="50">
        <f t="shared" si="20"/>
        <v>-9.5368240120474734E-3</v>
      </c>
      <c r="S87" s="50">
        <f t="shared" si="21"/>
        <v>-2.6586644735918541E-2</v>
      </c>
      <c r="T87" s="50"/>
    </row>
    <row r="88" spans="2:20">
      <c r="B88" s="112">
        <v>42821</v>
      </c>
      <c r="C88" s="42">
        <v>29620.5</v>
      </c>
      <c r="D88" s="42">
        <v>865.47369400000002</v>
      </c>
      <c r="E88" s="42">
        <v>6273.8525390000004</v>
      </c>
      <c r="F88" s="42">
        <v>1630.2303469999999</v>
      </c>
      <c r="G88" s="42">
        <v>4903.5546880000002</v>
      </c>
      <c r="H88" s="42">
        <v>529.62676999999996</v>
      </c>
      <c r="I88" s="42">
        <v>281.019409</v>
      </c>
      <c r="J88" s="42">
        <v>500.11511200000001</v>
      </c>
      <c r="L88" s="50">
        <f t="shared" si="14"/>
        <v>6.7671696912463553E-3</v>
      </c>
      <c r="M88" s="50">
        <f t="shared" si="15"/>
        <v>1.2830447454509342E-2</v>
      </c>
      <c r="N88" s="50">
        <f t="shared" si="16"/>
        <v>5.164833002964353E-2</v>
      </c>
      <c r="O88" s="50">
        <f t="shared" si="17"/>
        <v>2.3000893474431239E-2</v>
      </c>
      <c r="P88" s="50">
        <f t="shared" si="18"/>
        <v>-9.0236505748272355E-3</v>
      </c>
      <c r="Q88" s="50">
        <f t="shared" si="19"/>
        <v>2.2181281460720292E-3</v>
      </c>
      <c r="R88" s="50">
        <f t="shared" si="20"/>
        <v>1.3927061818900688E-2</v>
      </c>
      <c r="S88" s="50">
        <f t="shared" si="21"/>
        <v>4.021686125271895E-2</v>
      </c>
      <c r="T88" s="50"/>
    </row>
    <row r="89" spans="2:20">
      <c r="B89" s="112">
        <v>42828</v>
      </c>
      <c r="C89" s="42">
        <v>29706.609375</v>
      </c>
      <c r="D89" s="42">
        <v>877.57653800000003</v>
      </c>
      <c r="E89" s="42">
        <v>6216.6152339999999</v>
      </c>
      <c r="F89" s="42">
        <v>1622.2288820000001</v>
      </c>
      <c r="G89" s="42">
        <v>4944.7817379999997</v>
      </c>
      <c r="H89" s="42">
        <v>538.59497099999999</v>
      </c>
      <c r="I89" s="42">
        <v>285.97549400000003</v>
      </c>
      <c r="J89" s="42">
        <v>485.90130599999998</v>
      </c>
      <c r="L89" s="50">
        <f t="shared" si="14"/>
        <v>2.9070871524787822E-3</v>
      </c>
      <c r="M89" s="50">
        <f t="shared" si="15"/>
        <v>1.3984069168022639E-2</v>
      </c>
      <c r="N89" s="50">
        <f t="shared" si="16"/>
        <v>-9.1231511490265094E-3</v>
      </c>
      <c r="O89" s="50">
        <f t="shared" si="17"/>
        <v>-4.9081806228944425E-3</v>
      </c>
      <c r="P89" s="50">
        <f t="shared" si="18"/>
        <v>8.4075844205206973E-3</v>
      </c>
      <c r="Q89" s="50">
        <f t="shared" si="19"/>
        <v>1.6933058349750674E-2</v>
      </c>
      <c r="R89" s="50">
        <f t="shared" si="20"/>
        <v>1.7636095021465348E-2</v>
      </c>
      <c r="S89" s="50">
        <f t="shared" si="21"/>
        <v>-2.8421068787859438E-2</v>
      </c>
      <c r="T89" s="50"/>
    </row>
    <row r="90" spans="2:20">
      <c r="B90" s="112">
        <v>42835</v>
      </c>
      <c r="C90" s="42">
        <v>29461.449218999998</v>
      </c>
      <c r="D90" s="42">
        <v>876.959473</v>
      </c>
      <c r="E90" s="42">
        <v>6046.2133789999998</v>
      </c>
      <c r="F90" s="42">
        <v>1644.6289059999999</v>
      </c>
      <c r="G90" s="42">
        <v>5039.076172</v>
      </c>
      <c r="H90" s="42">
        <v>531.16394000000003</v>
      </c>
      <c r="I90" s="42">
        <v>286.49972500000001</v>
      </c>
      <c r="J90" s="42">
        <v>482.72955300000001</v>
      </c>
      <c r="L90" s="50">
        <f t="shared" si="14"/>
        <v>-8.2527141655661662E-3</v>
      </c>
      <c r="M90" s="50">
        <f t="shared" si="15"/>
        <v>-7.0314664679427263E-4</v>
      </c>
      <c r="N90" s="50">
        <f t="shared" si="16"/>
        <v>-2.7410712837435347E-2</v>
      </c>
      <c r="O90" s="50">
        <f t="shared" si="17"/>
        <v>1.3808177285306034E-2</v>
      </c>
      <c r="P90" s="50">
        <f t="shared" si="18"/>
        <v>1.9069483547748955E-2</v>
      </c>
      <c r="Q90" s="50">
        <f t="shared" si="19"/>
        <v>-1.3797067184275535E-2</v>
      </c>
      <c r="R90" s="50">
        <f t="shared" si="20"/>
        <v>1.8331325970188939E-3</v>
      </c>
      <c r="S90" s="50">
        <f t="shared" si="21"/>
        <v>-6.5275663202271073E-3</v>
      </c>
      <c r="T90" s="50"/>
    </row>
    <row r="91" spans="2:20">
      <c r="B91" s="112">
        <v>42842</v>
      </c>
      <c r="C91" s="42">
        <v>29365.300781000002</v>
      </c>
      <c r="D91" s="42">
        <v>860.39538600000003</v>
      </c>
      <c r="E91" s="42">
        <v>5966.8120120000003</v>
      </c>
      <c r="F91" s="42">
        <v>1631.4672849999999</v>
      </c>
      <c r="G91" s="42">
        <v>4991.0971680000002</v>
      </c>
      <c r="H91" s="42">
        <v>533.20770300000004</v>
      </c>
      <c r="I91" s="42">
        <v>285.92791699999998</v>
      </c>
      <c r="J91" s="42">
        <v>474.95315599999998</v>
      </c>
      <c r="L91" s="50">
        <f t="shared" si="14"/>
        <v>-3.2635338908579836E-3</v>
      </c>
      <c r="M91" s="50">
        <f t="shared" si="15"/>
        <v>-1.8888087203546289E-2</v>
      </c>
      <c r="N91" s="50">
        <f t="shared" si="16"/>
        <v>-1.3132412308798136E-2</v>
      </c>
      <c r="O91" s="50">
        <f t="shared" si="17"/>
        <v>-8.0027907523595454E-3</v>
      </c>
      <c r="P91" s="50">
        <f t="shared" si="18"/>
        <v>-9.5213889138248131E-3</v>
      </c>
      <c r="Q91" s="50">
        <f t="shared" si="19"/>
        <v>3.8477066044806385E-3</v>
      </c>
      <c r="R91" s="50">
        <f t="shared" si="20"/>
        <v>-1.9958413572649381E-3</v>
      </c>
      <c r="S91" s="50">
        <f t="shared" si="21"/>
        <v>-1.6109220891226461E-2</v>
      </c>
      <c r="T91" s="50"/>
    </row>
    <row r="92" spans="2:20">
      <c r="B92" s="112">
        <v>42849</v>
      </c>
      <c r="C92" s="42">
        <v>29918.400390999999</v>
      </c>
      <c r="D92" s="42">
        <v>887.496216</v>
      </c>
      <c r="E92" s="42">
        <v>6289.9116210000002</v>
      </c>
      <c r="F92" s="42">
        <v>1751.2944339999999</v>
      </c>
      <c r="G92" s="42">
        <v>4867.701172</v>
      </c>
      <c r="H92" s="42">
        <v>552.25183100000004</v>
      </c>
      <c r="I92" s="42">
        <v>300.41488600000002</v>
      </c>
      <c r="J92" s="42">
        <v>497.24887100000001</v>
      </c>
      <c r="L92" s="50">
        <f t="shared" si="14"/>
        <v>1.8835141997178617E-2</v>
      </c>
      <c r="M92" s="50">
        <f t="shared" si="15"/>
        <v>3.1498111729762357E-2</v>
      </c>
      <c r="N92" s="50">
        <f t="shared" si="16"/>
        <v>5.4149453401616476E-2</v>
      </c>
      <c r="O92" s="50">
        <f t="shared" si="17"/>
        <v>7.3447472776017042E-2</v>
      </c>
      <c r="P92" s="50">
        <f t="shared" si="18"/>
        <v>-2.4723220535785795E-2</v>
      </c>
      <c r="Q92" s="50">
        <f t="shared" si="19"/>
        <v>3.571615318543131E-2</v>
      </c>
      <c r="R92" s="50">
        <f t="shared" si="20"/>
        <v>5.0666507670882766E-2</v>
      </c>
      <c r="S92" s="50">
        <f t="shared" si="21"/>
        <v>4.6942976835383066E-2</v>
      </c>
      <c r="T92" s="50"/>
    </row>
    <row r="93" spans="2:20">
      <c r="B93" s="112">
        <v>42856</v>
      </c>
      <c r="C93" s="42">
        <v>29858.800781000002</v>
      </c>
      <c r="D93" s="42">
        <v>905.484375</v>
      </c>
      <c r="E93" s="42">
        <v>6316.8642579999996</v>
      </c>
      <c r="F93" s="42">
        <v>1705.2962649999999</v>
      </c>
      <c r="G93" s="42">
        <v>4893.5219729999999</v>
      </c>
      <c r="H93" s="42">
        <v>560.03155500000003</v>
      </c>
      <c r="I93" s="42">
        <v>290.788635</v>
      </c>
      <c r="J93" s="42">
        <v>509.93557700000002</v>
      </c>
      <c r="L93" s="50">
        <f t="shared" si="14"/>
        <v>-1.992072076752005E-3</v>
      </c>
      <c r="M93" s="50">
        <f t="shared" si="15"/>
        <v>2.0268434586767858E-2</v>
      </c>
      <c r="N93" s="50">
        <f t="shared" si="16"/>
        <v>4.285058141359821E-3</v>
      </c>
      <c r="O93" s="50">
        <f t="shared" si="17"/>
        <v>-2.6265240217168362E-2</v>
      </c>
      <c r="P93" s="50">
        <f t="shared" si="18"/>
        <v>5.3045164622114171E-3</v>
      </c>
      <c r="Q93" s="50">
        <f t="shared" si="19"/>
        <v>1.4087276063734722E-2</v>
      </c>
      <c r="R93" s="50">
        <f t="shared" si="20"/>
        <v>-3.2043189098159508E-2</v>
      </c>
      <c r="S93" s="50">
        <f t="shared" si="21"/>
        <v>2.5513795485319513E-2</v>
      </c>
      <c r="T93" s="50"/>
    </row>
    <row r="94" spans="2:20">
      <c r="B94" s="112">
        <v>42863</v>
      </c>
      <c r="C94" s="42">
        <v>30188.150390999999</v>
      </c>
      <c r="D94" s="42">
        <v>930.44946300000004</v>
      </c>
      <c r="E94" s="42">
        <v>6406.0317379999997</v>
      </c>
      <c r="F94" s="42">
        <v>1789.7937010000001</v>
      </c>
      <c r="G94" s="42">
        <v>5041.4072269999997</v>
      </c>
      <c r="H94" s="42">
        <v>605.21801800000003</v>
      </c>
      <c r="I94" s="42">
        <v>299.12820399999998</v>
      </c>
      <c r="J94" s="42">
        <v>515.73852499999998</v>
      </c>
      <c r="L94" s="50">
        <f t="shared" si="14"/>
        <v>1.1030235688821444E-2</v>
      </c>
      <c r="M94" s="50">
        <f t="shared" si="15"/>
        <v>2.7570976031474848E-2</v>
      </c>
      <c r="N94" s="50">
        <f t="shared" si="16"/>
        <v>1.411578219162668E-2</v>
      </c>
      <c r="O94" s="50">
        <f t="shared" si="17"/>
        <v>4.955000355905903E-2</v>
      </c>
      <c r="P94" s="50">
        <f t="shared" si="18"/>
        <v>3.0220617137504791E-2</v>
      </c>
      <c r="Q94" s="50">
        <f t="shared" si="19"/>
        <v>8.0685566012436594E-2</v>
      </c>
      <c r="R94" s="50">
        <f t="shared" si="20"/>
        <v>2.8679143529801276E-2</v>
      </c>
      <c r="S94" s="50">
        <f t="shared" si="21"/>
        <v>1.1379766899456634E-2</v>
      </c>
      <c r="T94" s="50"/>
    </row>
    <row r="95" spans="2:20">
      <c r="B95" s="112">
        <v>42870</v>
      </c>
      <c r="C95" s="42">
        <v>30464.919922000001</v>
      </c>
      <c r="D95" s="42">
        <v>956.83856200000002</v>
      </c>
      <c r="E95" s="42">
        <v>6136.1791990000002</v>
      </c>
      <c r="F95" s="42">
        <v>1731.068726</v>
      </c>
      <c r="G95" s="42">
        <v>5031.3256840000004</v>
      </c>
      <c r="H95" s="42">
        <v>571.21679700000004</v>
      </c>
      <c r="I95" s="42">
        <v>294.79159499999997</v>
      </c>
      <c r="J95" s="42">
        <v>522.43432600000006</v>
      </c>
      <c r="L95" s="50">
        <f t="shared" si="14"/>
        <v>9.1681513247832136E-3</v>
      </c>
      <c r="M95" s="50">
        <f t="shared" si="15"/>
        <v>2.8361668257526729E-2</v>
      </c>
      <c r="N95" s="50">
        <f t="shared" si="16"/>
        <v>-4.2124758358479397E-2</v>
      </c>
      <c r="O95" s="50">
        <f t="shared" si="17"/>
        <v>-3.2811030102066541E-2</v>
      </c>
      <c r="P95" s="50">
        <f t="shared" si="18"/>
        <v>-1.9997477977986566E-3</v>
      </c>
      <c r="Q95" s="50">
        <f t="shared" si="19"/>
        <v>-5.6180120202568018E-2</v>
      </c>
      <c r="R95" s="50">
        <f t="shared" si="20"/>
        <v>-1.4497492854267935E-2</v>
      </c>
      <c r="S95" s="50">
        <f t="shared" si="21"/>
        <v>1.2982937429388386E-2</v>
      </c>
      <c r="T95" s="50"/>
    </row>
    <row r="96" spans="2:20">
      <c r="B96" s="112">
        <v>42877</v>
      </c>
      <c r="C96" s="42">
        <v>31028.210938</v>
      </c>
      <c r="D96" s="42">
        <v>988.11614999999995</v>
      </c>
      <c r="E96" s="42">
        <v>6280.2573240000002</v>
      </c>
      <c r="F96" s="42">
        <v>1650.456177</v>
      </c>
      <c r="G96" s="42">
        <v>5064.7065430000002</v>
      </c>
      <c r="H96" s="42">
        <v>591.84966999999995</v>
      </c>
      <c r="I96" s="42">
        <v>299.84304800000001</v>
      </c>
      <c r="J96" s="42">
        <v>512.70782499999996</v>
      </c>
      <c r="L96" s="50">
        <f t="shared" si="14"/>
        <v>1.8489824277963196E-2</v>
      </c>
      <c r="M96" s="50">
        <f t="shared" si="15"/>
        <v>3.268846934285663E-2</v>
      </c>
      <c r="N96" s="50">
        <f t="shared" si="16"/>
        <v>2.3480103876933667E-2</v>
      </c>
      <c r="O96" s="50">
        <f t="shared" si="17"/>
        <v>-4.6568081202802536E-2</v>
      </c>
      <c r="P96" s="50">
        <f t="shared" si="18"/>
        <v>6.634605091487833E-3</v>
      </c>
      <c r="Q96" s="50">
        <f t="shared" si="19"/>
        <v>3.6120914350493027E-2</v>
      </c>
      <c r="R96" s="50">
        <f t="shared" si="20"/>
        <v>1.7135675119909877E-2</v>
      </c>
      <c r="S96" s="50">
        <f t="shared" si="21"/>
        <v>-1.8617653006207879E-2</v>
      </c>
      <c r="T96" s="50"/>
    </row>
    <row r="97" spans="2:20">
      <c r="B97" s="112">
        <v>42884</v>
      </c>
      <c r="C97" s="42">
        <v>31273.289063</v>
      </c>
      <c r="D97" s="42">
        <v>1031.2592770000001</v>
      </c>
      <c r="E97" s="42">
        <v>6280.3051759999998</v>
      </c>
      <c r="F97" s="42">
        <v>1735.3691409999999</v>
      </c>
      <c r="G97" s="42">
        <v>5150.2524409999996</v>
      </c>
      <c r="H97" s="42">
        <v>587.29656999999997</v>
      </c>
      <c r="I97" s="42">
        <v>306.800568</v>
      </c>
      <c r="J97" s="42">
        <v>535.23852499999998</v>
      </c>
      <c r="L97" s="50">
        <f t="shared" si="14"/>
        <v>7.8985580409296485E-3</v>
      </c>
      <c r="M97" s="50">
        <f t="shared" si="15"/>
        <v>4.3661999654595496E-2</v>
      </c>
      <c r="N97" s="50">
        <f t="shared" si="16"/>
        <v>7.6194330154155665E-6</v>
      </c>
      <c r="O97" s="50">
        <f t="shared" si="17"/>
        <v>5.1448178499561514E-2</v>
      </c>
      <c r="P97" s="50">
        <f t="shared" si="18"/>
        <v>1.689059322069375E-2</v>
      </c>
      <c r="Q97" s="50">
        <f t="shared" si="19"/>
        <v>-7.6930008256994586E-3</v>
      </c>
      <c r="R97" s="50">
        <f t="shared" si="20"/>
        <v>2.3203872980906981E-2</v>
      </c>
      <c r="S97" s="50">
        <f t="shared" si="21"/>
        <v>4.394452142406835E-2</v>
      </c>
      <c r="T97" s="50"/>
    </row>
    <row r="98" spans="2:20">
      <c r="B98" s="112">
        <v>42891</v>
      </c>
      <c r="C98" s="42">
        <v>31262.060547000001</v>
      </c>
      <c r="D98" s="42">
        <v>1039.755005</v>
      </c>
      <c r="E98" s="42">
        <v>6298.1572269999997</v>
      </c>
      <c r="F98" s="42">
        <v>1774.699341</v>
      </c>
      <c r="G98" s="42">
        <v>5097.8022460000002</v>
      </c>
      <c r="H98" s="42">
        <v>608.52838099999997</v>
      </c>
      <c r="I98" s="42">
        <v>301.70156900000001</v>
      </c>
      <c r="J98" s="42">
        <v>530.93914800000005</v>
      </c>
      <c r="L98" s="50">
        <f t="shared" si="14"/>
        <v>-3.5904493375737978E-4</v>
      </c>
      <c r="M98" s="50">
        <f t="shared" si="15"/>
        <v>8.2382075870526261E-3</v>
      </c>
      <c r="N98" s="50">
        <f t="shared" si="16"/>
        <v>2.8425451470448504E-3</v>
      </c>
      <c r="O98" s="50">
        <f t="shared" si="17"/>
        <v>2.2663881171320233E-2</v>
      </c>
      <c r="P98" s="50">
        <f t="shared" si="18"/>
        <v>-1.0184004687314951E-2</v>
      </c>
      <c r="Q98" s="50">
        <f t="shared" si="19"/>
        <v>3.6151770816573947E-2</v>
      </c>
      <c r="R98" s="50">
        <f t="shared" si="20"/>
        <v>-1.6619913819716281E-2</v>
      </c>
      <c r="S98" s="50">
        <f t="shared" si="21"/>
        <v>-8.0326374115164967E-3</v>
      </c>
      <c r="T98" s="50"/>
    </row>
    <row r="99" spans="2:20">
      <c r="B99" s="112">
        <v>42898</v>
      </c>
      <c r="C99" s="42">
        <v>31056.400390999999</v>
      </c>
      <c r="D99" s="42">
        <v>1036.385254</v>
      </c>
      <c r="E99" s="42">
        <v>6385.2978519999997</v>
      </c>
      <c r="F99" s="42">
        <v>1724.4201660000001</v>
      </c>
      <c r="G99" s="42">
        <v>5100.0375979999999</v>
      </c>
      <c r="H99" s="42">
        <v>603.81359899999995</v>
      </c>
      <c r="I99" s="42">
        <v>298.603973</v>
      </c>
      <c r="J99" s="42">
        <v>523.09222399999999</v>
      </c>
      <c r="L99" s="50">
        <f t="shared" si="14"/>
        <v>-6.5785860689128173E-3</v>
      </c>
      <c r="M99" s="50">
        <f t="shared" si="15"/>
        <v>-3.2409086600164727E-3</v>
      </c>
      <c r="N99" s="50">
        <f t="shared" si="16"/>
        <v>1.3835892287101137E-2</v>
      </c>
      <c r="O99" s="50">
        <f t="shared" si="17"/>
        <v>-2.8331094647090382E-2</v>
      </c>
      <c r="P99" s="50">
        <f t="shared" si="18"/>
        <v>4.3849327457801124E-4</v>
      </c>
      <c r="Q99" s="50">
        <f t="shared" si="19"/>
        <v>-7.7478424132859658E-3</v>
      </c>
      <c r="R99" s="50">
        <f t="shared" si="20"/>
        <v>-1.0267086148299076E-2</v>
      </c>
      <c r="S99" s="50">
        <f t="shared" si="21"/>
        <v>-1.4779328345929543E-2</v>
      </c>
      <c r="T99" s="50"/>
    </row>
    <row r="100" spans="2:20">
      <c r="B100" s="112">
        <v>42905</v>
      </c>
      <c r="C100" s="42">
        <v>31138.210938</v>
      </c>
      <c r="D100" s="42">
        <v>1042.1755370000001</v>
      </c>
      <c r="E100" s="42">
        <v>6271.8496089999999</v>
      </c>
      <c r="F100" s="42">
        <v>1763.3448490000001</v>
      </c>
      <c r="G100" s="42">
        <v>5112.5434569999998</v>
      </c>
      <c r="H100" s="42">
        <v>617.89221199999997</v>
      </c>
      <c r="I100" s="42">
        <v>297.79388399999999</v>
      </c>
      <c r="J100" s="42">
        <v>512.26147500000002</v>
      </c>
      <c r="L100" s="50">
        <f t="shared" si="14"/>
        <v>2.6342572213780002E-3</v>
      </c>
      <c r="M100" s="50">
        <f t="shared" si="15"/>
        <v>5.5869986355479018E-3</v>
      </c>
      <c r="N100" s="50">
        <f t="shared" si="16"/>
        <v>-1.7767102745953389E-2</v>
      </c>
      <c r="O100" s="50">
        <f t="shared" si="17"/>
        <v>2.2572621085898303E-2</v>
      </c>
      <c r="P100" s="50">
        <f t="shared" si="18"/>
        <v>2.4521111383382088E-3</v>
      </c>
      <c r="Q100" s="50">
        <f t="shared" si="19"/>
        <v>2.3316157541526383E-2</v>
      </c>
      <c r="R100" s="50">
        <f t="shared" si="20"/>
        <v>-2.7129210367204948E-3</v>
      </c>
      <c r="S100" s="50">
        <f t="shared" si="21"/>
        <v>-2.0705238011720084E-2</v>
      </c>
      <c r="T100" s="50"/>
    </row>
    <row r="101" spans="2:20">
      <c r="B101" s="112">
        <v>42912</v>
      </c>
      <c r="C101" s="42">
        <v>30921.609375</v>
      </c>
      <c r="D101" s="42">
        <v>1034.0083010000001</v>
      </c>
      <c r="E101" s="42">
        <v>6363.6186520000001</v>
      </c>
      <c r="F101" s="42">
        <v>1782.942505</v>
      </c>
      <c r="G101" s="42">
        <v>5091.3354490000002</v>
      </c>
      <c r="H101" s="42">
        <v>625.22271699999999</v>
      </c>
      <c r="I101" s="42">
        <v>299.60476699999998</v>
      </c>
      <c r="J101" s="42">
        <v>505.37777699999998</v>
      </c>
      <c r="L101" s="50">
        <f t="shared" si="14"/>
        <v>-6.9561338456881616E-3</v>
      </c>
      <c r="M101" s="50">
        <f t="shared" si="15"/>
        <v>-7.8367182015326442E-3</v>
      </c>
      <c r="N101" s="50">
        <f t="shared" si="16"/>
        <v>1.4631894691529812E-2</v>
      </c>
      <c r="O101" s="50">
        <f t="shared" si="17"/>
        <v>1.1113910027930052E-2</v>
      </c>
      <c r="P101" s="50">
        <f t="shared" si="18"/>
        <v>-4.1482303629051254E-3</v>
      </c>
      <c r="Q101" s="50">
        <f t="shared" si="19"/>
        <v>1.1863727779109823E-2</v>
      </c>
      <c r="R101" s="50">
        <f t="shared" si="20"/>
        <v>6.0809945982638336E-3</v>
      </c>
      <c r="S101" s="50">
        <f t="shared" si="21"/>
        <v>-1.3437860030368398E-2</v>
      </c>
      <c r="T101" s="50"/>
    </row>
    <row r="102" spans="2:20">
      <c r="B102" s="112">
        <v>42919</v>
      </c>
      <c r="C102" s="42">
        <v>31360.630859000001</v>
      </c>
      <c r="D102" s="42">
        <v>1051.3438719999999</v>
      </c>
      <c r="E102" s="42">
        <v>6489.4882809999999</v>
      </c>
      <c r="F102" s="42">
        <v>1784.053711</v>
      </c>
      <c r="G102" s="42">
        <v>5219.7241210000002</v>
      </c>
      <c r="H102" s="42">
        <v>627.09515399999998</v>
      </c>
      <c r="I102" s="42">
        <v>305.18035900000001</v>
      </c>
      <c r="J102" s="42">
        <v>493.84222399999999</v>
      </c>
      <c r="L102" s="50">
        <f t="shared" si="14"/>
        <v>1.4197885972744517E-2</v>
      </c>
      <c r="M102" s="50">
        <f t="shared" si="15"/>
        <v>1.6765407959717926E-2</v>
      </c>
      <c r="N102" s="50">
        <f t="shared" si="16"/>
        <v>1.9779568180195772E-2</v>
      </c>
      <c r="O102" s="50">
        <f t="shared" si="17"/>
        <v>6.2324275566028042E-4</v>
      </c>
      <c r="P102" s="50">
        <f t="shared" si="18"/>
        <v>2.5217091524624813E-2</v>
      </c>
      <c r="Q102" s="50">
        <f t="shared" si="19"/>
        <v>2.9948320000023898E-3</v>
      </c>
      <c r="R102" s="50">
        <f t="shared" si="20"/>
        <v>1.8609824055302981E-2</v>
      </c>
      <c r="S102" s="50">
        <f t="shared" si="21"/>
        <v>-2.2825603983769982E-2</v>
      </c>
      <c r="T102" s="50"/>
    </row>
    <row r="103" spans="2:20">
      <c r="B103" s="112">
        <v>42926</v>
      </c>
      <c r="C103" s="42">
        <v>32020.75</v>
      </c>
      <c r="D103" s="42">
        <v>1091.1872559999999</v>
      </c>
      <c r="E103" s="42">
        <v>6433.6616210000002</v>
      </c>
      <c r="F103" s="42">
        <v>1797.022095</v>
      </c>
      <c r="G103" s="42">
        <v>5218.0131840000004</v>
      </c>
      <c r="H103" s="42">
        <v>633.48877000000005</v>
      </c>
      <c r="I103" s="42">
        <v>311.70898399999999</v>
      </c>
      <c r="J103" s="42">
        <v>506.22345000000001</v>
      </c>
      <c r="L103" s="50">
        <f t="shared" si="14"/>
        <v>2.1049294064521495E-2</v>
      </c>
      <c r="M103" s="50">
        <f t="shared" si="15"/>
        <v>3.789757572296959E-2</v>
      </c>
      <c r="N103" s="50">
        <f t="shared" si="16"/>
        <v>-8.6026289874734374E-3</v>
      </c>
      <c r="O103" s="50">
        <f t="shared" si="17"/>
        <v>7.2690546927149935E-3</v>
      </c>
      <c r="P103" s="50">
        <f t="shared" si="18"/>
        <v>-3.2778303227110062E-4</v>
      </c>
      <c r="Q103" s="50">
        <f t="shared" si="19"/>
        <v>1.0195607411758179E-2</v>
      </c>
      <c r="R103" s="50">
        <f t="shared" si="20"/>
        <v>2.139267750189644E-2</v>
      </c>
      <c r="S103" s="50">
        <f t="shared" si="21"/>
        <v>2.507121788759803E-2</v>
      </c>
      <c r="T103" s="50"/>
    </row>
    <row r="104" spans="2:20">
      <c r="B104" s="112">
        <v>42933</v>
      </c>
      <c r="C104" s="42">
        <v>32028.890625</v>
      </c>
      <c r="D104" s="42">
        <v>1109.7200929999999</v>
      </c>
      <c r="E104" s="42">
        <v>6429.9775390000004</v>
      </c>
      <c r="F104" s="42">
        <v>1852.5195309999999</v>
      </c>
      <c r="G104" s="42">
        <v>5206.3627930000002</v>
      </c>
      <c r="H104" s="42">
        <v>621.44464100000005</v>
      </c>
      <c r="I104" s="42">
        <v>314.187073</v>
      </c>
      <c r="J104" s="42">
        <v>519.30963099999997</v>
      </c>
      <c r="L104" s="50">
        <f t="shared" si="14"/>
        <v>2.5422967919230821E-4</v>
      </c>
      <c r="M104" s="50">
        <f t="shared" si="15"/>
        <v>1.6984103230765824E-2</v>
      </c>
      <c r="N104" s="50">
        <f t="shared" si="16"/>
        <v>-5.7262601252983103E-4</v>
      </c>
      <c r="O104" s="50">
        <f t="shared" si="17"/>
        <v>3.0883001469161009E-2</v>
      </c>
      <c r="P104" s="50">
        <f t="shared" si="18"/>
        <v>-2.2327254817453568E-3</v>
      </c>
      <c r="Q104" s="50">
        <f t="shared" si="19"/>
        <v>-1.9012379651181521E-2</v>
      </c>
      <c r="R104" s="50">
        <f t="shared" si="20"/>
        <v>7.9500082679684336E-3</v>
      </c>
      <c r="S104" s="50">
        <f t="shared" si="21"/>
        <v>2.5850602140220724E-2</v>
      </c>
      <c r="T104" s="50"/>
    </row>
    <row r="105" spans="2:20">
      <c r="B105" s="112">
        <v>42940</v>
      </c>
      <c r="C105" s="42">
        <v>32309.880859000001</v>
      </c>
      <c r="D105" s="42">
        <v>1105.122803</v>
      </c>
      <c r="E105" s="42">
        <v>6405.0869140000004</v>
      </c>
      <c r="F105" s="42">
        <v>1887.5882570000001</v>
      </c>
      <c r="G105" s="42">
        <v>5264.9458009999998</v>
      </c>
      <c r="H105" s="42">
        <v>680.40875200000005</v>
      </c>
      <c r="I105" s="42">
        <v>316.80807499999997</v>
      </c>
      <c r="J105" s="42">
        <v>519.00421100000005</v>
      </c>
      <c r="L105" s="50">
        <f t="shared" si="14"/>
        <v>8.7730242452004337E-3</v>
      </c>
      <c r="M105" s="50">
        <f t="shared" si="15"/>
        <v>-4.1427473729629405E-3</v>
      </c>
      <c r="N105" s="50">
        <f t="shared" si="16"/>
        <v>-3.8710282966044618E-3</v>
      </c>
      <c r="O105" s="50">
        <f t="shared" si="17"/>
        <v>1.8930286786811967E-2</v>
      </c>
      <c r="P105" s="50">
        <f t="shared" si="18"/>
        <v>1.12521947334836E-2</v>
      </c>
      <c r="Q105" s="50">
        <f t="shared" si="19"/>
        <v>9.488232275222086E-2</v>
      </c>
      <c r="R105" s="50">
        <f t="shared" si="20"/>
        <v>8.342170080307465E-3</v>
      </c>
      <c r="S105" s="50">
        <f t="shared" si="21"/>
        <v>-5.881269704391956E-4</v>
      </c>
      <c r="T105" s="50"/>
    </row>
    <row r="106" spans="2:20">
      <c r="B106" s="112">
        <v>42947</v>
      </c>
      <c r="C106" s="42">
        <v>32325.410156000002</v>
      </c>
      <c r="D106" s="42">
        <v>1141.7574460000001</v>
      </c>
      <c r="E106" s="42">
        <v>6330.9829099999997</v>
      </c>
      <c r="F106" s="42">
        <v>1903.5920410000001</v>
      </c>
      <c r="G106" s="42">
        <v>5211.498047</v>
      </c>
      <c r="H106" s="42">
        <v>620.54070999999999</v>
      </c>
      <c r="I106" s="42">
        <v>309.61227400000001</v>
      </c>
      <c r="J106" s="42">
        <v>543.530396</v>
      </c>
      <c r="L106" s="50">
        <f t="shared" si="14"/>
        <v>4.8063615795346237E-4</v>
      </c>
      <c r="M106" s="50">
        <f t="shared" si="15"/>
        <v>3.3149839004815274E-2</v>
      </c>
      <c r="N106" s="50">
        <f t="shared" si="16"/>
        <v>-1.1569554792149161E-2</v>
      </c>
      <c r="O106" s="50">
        <f t="shared" si="17"/>
        <v>8.4784295201303372E-3</v>
      </c>
      <c r="P106" s="50">
        <f t="shared" si="18"/>
        <v>-1.0151624730846853E-2</v>
      </c>
      <c r="Q106" s="50">
        <f t="shared" si="19"/>
        <v>-8.7988347921779897E-2</v>
      </c>
      <c r="R106" s="50">
        <f t="shared" si="20"/>
        <v>-2.2713439359145049E-2</v>
      </c>
      <c r="S106" s="50">
        <f t="shared" si="21"/>
        <v>4.7256235075133102E-2</v>
      </c>
      <c r="T106" s="50"/>
    </row>
    <row r="107" spans="2:20">
      <c r="B107" s="112">
        <v>42954</v>
      </c>
      <c r="C107" s="42">
        <v>31213.589843999998</v>
      </c>
      <c r="D107" s="42">
        <v>1104.1171879999999</v>
      </c>
      <c r="E107" s="42">
        <v>6195.6459960000002</v>
      </c>
      <c r="F107" s="42">
        <v>1993.275879</v>
      </c>
      <c r="G107" s="42">
        <v>5129.810547</v>
      </c>
      <c r="H107" s="42">
        <v>581.11309800000004</v>
      </c>
      <c r="I107" s="42">
        <v>304.94207799999998</v>
      </c>
      <c r="J107" s="42">
        <v>507.90878300000003</v>
      </c>
      <c r="L107" s="50">
        <f t="shared" si="14"/>
        <v>-3.4394623506227573E-2</v>
      </c>
      <c r="M107" s="50">
        <f t="shared" si="15"/>
        <v>-3.2966947692671389E-2</v>
      </c>
      <c r="N107" s="50">
        <f t="shared" si="16"/>
        <v>-2.1376919812282291E-2</v>
      </c>
      <c r="O107" s="50">
        <f t="shared" si="17"/>
        <v>4.7112950710219925E-2</v>
      </c>
      <c r="P107" s="50">
        <f t="shared" si="18"/>
        <v>-1.5674475796268128E-2</v>
      </c>
      <c r="Q107" s="50">
        <f t="shared" si="19"/>
        <v>-6.3537510697726729E-2</v>
      </c>
      <c r="R107" s="50">
        <f t="shared" si="20"/>
        <v>-1.5084014401832269E-2</v>
      </c>
      <c r="S107" s="50">
        <f t="shared" si="21"/>
        <v>-6.5537480998578701E-2</v>
      </c>
      <c r="T107" s="50"/>
    </row>
    <row r="108" spans="2:20">
      <c r="B108" s="112">
        <v>42961</v>
      </c>
      <c r="C108" s="42">
        <v>31524.679688</v>
      </c>
      <c r="D108" s="42">
        <v>1151.4307859999999</v>
      </c>
      <c r="E108" s="42">
        <v>6298.9345700000003</v>
      </c>
      <c r="F108" s="42">
        <v>2065.9228520000001</v>
      </c>
      <c r="G108" s="42">
        <v>5160.734375</v>
      </c>
      <c r="H108" s="42">
        <v>593.74352999999996</v>
      </c>
      <c r="I108" s="42">
        <v>304.89437900000001</v>
      </c>
      <c r="J108" s="42">
        <v>520.113159</v>
      </c>
      <c r="L108" s="50">
        <f t="shared" si="14"/>
        <v>9.9664872113325309E-3</v>
      </c>
      <c r="M108" s="50">
        <f t="shared" si="15"/>
        <v>4.2851971252892085E-2</v>
      </c>
      <c r="N108" s="50">
        <f t="shared" si="16"/>
        <v>1.6671154883071804E-2</v>
      </c>
      <c r="O108" s="50">
        <f t="shared" si="17"/>
        <v>3.6446020224980558E-2</v>
      </c>
      <c r="P108" s="50">
        <f t="shared" si="18"/>
        <v>6.0282592732561202E-3</v>
      </c>
      <c r="Q108" s="50">
        <f t="shared" si="19"/>
        <v>2.1734894710633279E-2</v>
      </c>
      <c r="R108" s="50">
        <f t="shared" si="20"/>
        <v>-1.5641986934966656E-4</v>
      </c>
      <c r="S108" s="50">
        <f t="shared" si="21"/>
        <v>2.402867681853027E-2</v>
      </c>
      <c r="T108" s="50"/>
    </row>
    <row r="109" spans="2:20">
      <c r="B109" s="112">
        <v>42968</v>
      </c>
      <c r="C109" s="42">
        <v>31596.060547000001</v>
      </c>
      <c r="D109" s="42">
        <v>1129.8811040000001</v>
      </c>
      <c r="E109" s="42">
        <v>6250.8403319999998</v>
      </c>
      <c r="F109" s="42">
        <v>2047.768677</v>
      </c>
      <c r="G109" s="42">
        <v>5101.5839839999999</v>
      </c>
      <c r="H109" s="42">
        <v>593.12866199999996</v>
      </c>
      <c r="I109" s="42">
        <v>301.27267499999999</v>
      </c>
      <c r="J109" s="42">
        <v>507.55474900000002</v>
      </c>
      <c r="L109" s="50">
        <f t="shared" si="14"/>
        <v>2.2642849889817906E-3</v>
      </c>
      <c r="M109" s="50">
        <f t="shared" si="15"/>
        <v>-1.871556871851765E-2</v>
      </c>
      <c r="N109" s="50">
        <f t="shared" si="16"/>
        <v>-7.6352972817116394E-3</v>
      </c>
      <c r="O109" s="50">
        <f t="shared" si="17"/>
        <v>-8.78744091650141E-3</v>
      </c>
      <c r="P109" s="50">
        <f t="shared" si="18"/>
        <v>-1.1461622843163655E-2</v>
      </c>
      <c r="Q109" s="50">
        <f t="shared" si="19"/>
        <v>-1.0355784424295189E-3</v>
      </c>
      <c r="R109" s="50">
        <f t="shared" si="20"/>
        <v>-1.1878552867647385E-2</v>
      </c>
      <c r="S109" s="50">
        <f t="shared" si="21"/>
        <v>-2.4145534068289121E-2</v>
      </c>
      <c r="T109" s="50"/>
    </row>
    <row r="110" spans="2:20">
      <c r="B110" s="112">
        <v>42975</v>
      </c>
      <c r="C110" s="42">
        <v>31892.230468999998</v>
      </c>
      <c r="D110" s="42">
        <v>1164.791626</v>
      </c>
      <c r="E110" s="42">
        <v>6641.5541990000002</v>
      </c>
      <c r="F110" s="42">
        <v>2062.2783199999999</v>
      </c>
      <c r="G110" s="42">
        <v>5139.3959960000002</v>
      </c>
      <c r="H110" s="42">
        <v>602.18017599999996</v>
      </c>
      <c r="I110" s="42">
        <v>299.60476699999998</v>
      </c>
      <c r="J110" s="42">
        <v>518.41357400000004</v>
      </c>
      <c r="L110" s="50">
        <f t="shared" si="14"/>
        <v>9.3736344617847411E-3</v>
      </c>
      <c r="M110" s="50">
        <f t="shared" si="15"/>
        <v>3.0897518222412712E-2</v>
      </c>
      <c r="N110" s="50">
        <f t="shared" si="16"/>
        <v>6.2505814618206479E-2</v>
      </c>
      <c r="O110" s="50">
        <f t="shared" si="17"/>
        <v>7.085586942982669E-3</v>
      </c>
      <c r="P110" s="50">
        <f t="shared" si="18"/>
        <v>7.4118179997799682E-3</v>
      </c>
      <c r="Q110" s="50">
        <f t="shared" si="19"/>
        <v>1.5260624852420301E-2</v>
      </c>
      <c r="R110" s="50">
        <f t="shared" si="20"/>
        <v>-5.536207357670242E-3</v>
      </c>
      <c r="S110" s="50">
        <f t="shared" si="21"/>
        <v>2.1394391484651498E-2</v>
      </c>
      <c r="T110" s="50"/>
    </row>
    <row r="111" spans="2:20">
      <c r="B111" s="112">
        <v>42982</v>
      </c>
      <c r="C111" s="42">
        <v>31687.519531000002</v>
      </c>
      <c r="D111" s="42">
        <v>1156.5550539999999</v>
      </c>
      <c r="E111" s="42">
        <v>6817.7392579999996</v>
      </c>
      <c r="F111" s="42">
        <v>2083.795654</v>
      </c>
      <c r="G111" s="42">
        <v>4986.1728519999997</v>
      </c>
      <c r="H111" s="42">
        <v>596.91058299999997</v>
      </c>
      <c r="I111" s="42">
        <v>309.99343900000002</v>
      </c>
      <c r="J111" s="42">
        <v>532.95483400000001</v>
      </c>
      <c r="L111" s="50">
        <f t="shared" si="14"/>
        <v>-6.4188341483039091E-3</v>
      </c>
      <c r="M111" s="50">
        <f t="shared" si="15"/>
        <v>-7.0712836666633194E-3</v>
      </c>
      <c r="N111" s="50">
        <f t="shared" si="16"/>
        <v>2.6527685195511408E-2</v>
      </c>
      <c r="O111" s="50">
        <f t="shared" si="17"/>
        <v>1.0433768221934425E-2</v>
      </c>
      <c r="P111" s="50">
        <f t="shared" si="18"/>
        <v>-2.9813453588564576E-2</v>
      </c>
      <c r="Q111" s="50">
        <f t="shared" si="19"/>
        <v>-8.7508576502857149E-3</v>
      </c>
      <c r="R111" s="50">
        <f t="shared" si="20"/>
        <v>3.4674588472085377E-2</v>
      </c>
      <c r="S111" s="50">
        <f t="shared" si="21"/>
        <v>2.8049535601087472E-2</v>
      </c>
      <c r="T111" s="50"/>
    </row>
    <row r="112" spans="2:20">
      <c r="B112" s="112">
        <v>42989</v>
      </c>
      <c r="C112" s="42">
        <v>32272.609375</v>
      </c>
      <c r="D112" s="42">
        <v>1193.3811040000001</v>
      </c>
      <c r="E112" s="42">
        <v>6957.5224609999996</v>
      </c>
      <c r="F112" s="42">
        <v>2117.2082519999999</v>
      </c>
      <c r="G112" s="42">
        <v>4909.5375979999999</v>
      </c>
      <c r="H112" s="42">
        <v>606.93206799999996</v>
      </c>
      <c r="I112" s="42">
        <v>311.70898399999999</v>
      </c>
      <c r="J112" s="42">
        <v>540.76849400000003</v>
      </c>
      <c r="L112" s="50">
        <f t="shared" si="14"/>
        <v>1.8464362394399636E-2</v>
      </c>
      <c r="M112" s="50">
        <f t="shared" si="15"/>
        <v>3.1841156089055689E-2</v>
      </c>
      <c r="N112" s="50">
        <f t="shared" si="16"/>
        <v>2.0502867257056856E-2</v>
      </c>
      <c r="O112" s="50">
        <f t="shared" si="17"/>
        <v>1.6034488763743138E-2</v>
      </c>
      <c r="P112" s="50">
        <f t="shared" si="18"/>
        <v>-1.5369554220179271E-2</v>
      </c>
      <c r="Q112" s="50">
        <f t="shared" si="19"/>
        <v>1.6788921633175358E-2</v>
      </c>
      <c r="R112" s="50">
        <f t="shared" si="20"/>
        <v>5.5341332562846013E-3</v>
      </c>
      <c r="S112" s="50">
        <f t="shared" si="21"/>
        <v>1.4661017222333816E-2</v>
      </c>
      <c r="T112" s="50"/>
    </row>
    <row r="113" spans="2:20">
      <c r="B113" s="112">
        <v>42996</v>
      </c>
      <c r="C113" s="42">
        <v>31922.439452999999</v>
      </c>
      <c r="D113" s="42">
        <v>1186.86853</v>
      </c>
      <c r="E113" s="42">
        <v>6787.5869140000004</v>
      </c>
      <c r="F113" s="42">
        <v>2075.0776369999999</v>
      </c>
      <c r="G113" s="42">
        <v>4805.7353519999997</v>
      </c>
      <c r="H113" s="42">
        <v>592.83776899999998</v>
      </c>
      <c r="I113" s="42">
        <v>306.22872899999999</v>
      </c>
      <c r="J113" s="42">
        <v>526.43963599999995</v>
      </c>
      <c r="L113" s="50">
        <f t="shared" si="14"/>
        <v>-1.0850375249522259E-2</v>
      </c>
      <c r="M113" s="50">
        <f t="shared" si="15"/>
        <v>-5.4572457852491985E-3</v>
      </c>
      <c r="N113" s="50">
        <f t="shared" si="16"/>
        <v>-2.4424721293041185E-2</v>
      </c>
      <c r="O113" s="50">
        <f t="shared" si="17"/>
        <v>-1.9899136025094299E-2</v>
      </c>
      <c r="P113" s="50">
        <f t="shared" si="18"/>
        <v>-2.1142978117182798E-2</v>
      </c>
      <c r="Q113" s="50">
        <f t="shared" si="19"/>
        <v>-2.3222201862630798E-2</v>
      </c>
      <c r="R113" s="50">
        <f t="shared" si="20"/>
        <v>-1.758131873414337E-2</v>
      </c>
      <c r="S113" s="50">
        <f t="shared" si="21"/>
        <v>-2.6497213056942748E-2</v>
      </c>
      <c r="T113" s="50"/>
    </row>
    <row r="114" spans="2:20">
      <c r="B114" s="112">
        <v>43003</v>
      </c>
      <c r="C114" s="42">
        <v>31283.720702999999</v>
      </c>
      <c r="D114" s="42">
        <v>1124.3260499999999</v>
      </c>
      <c r="E114" s="42">
        <v>6832.0351559999999</v>
      </c>
      <c r="F114" s="42">
        <v>2111.0078130000002</v>
      </c>
      <c r="G114" s="42">
        <v>4832.998047</v>
      </c>
      <c r="H114" s="42">
        <v>594.22839399999998</v>
      </c>
      <c r="I114" s="42">
        <v>296.17364500000002</v>
      </c>
      <c r="J114" s="42">
        <v>516.57232699999997</v>
      </c>
      <c r="L114" s="50">
        <f t="shared" si="14"/>
        <v>-2.0008456776631878E-2</v>
      </c>
      <c r="M114" s="50">
        <f t="shared" si="15"/>
        <v>-5.2695373092418341E-2</v>
      </c>
      <c r="N114" s="50">
        <f t="shared" si="16"/>
        <v>6.5484600879763821E-3</v>
      </c>
      <c r="O114" s="50">
        <f t="shared" si="17"/>
        <v>1.731509961812594E-2</v>
      </c>
      <c r="P114" s="50">
        <f t="shared" si="18"/>
        <v>5.6729497159377917E-3</v>
      </c>
      <c r="Q114" s="50">
        <f t="shared" si="19"/>
        <v>2.3457091850704881E-3</v>
      </c>
      <c r="R114" s="50">
        <f t="shared" si="20"/>
        <v>-3.2835207959864388E-2</v>
      </c>
      <c r="S114" s="50">
        <f t="shared" si="21"/>
        <v>-1.874347660251019E-2</v>
      </c>
      <c r="T114" s="50"/>
    </row>
    <row r="115" spans="2:20">
      <c r="B115" s="112">
        <v>43010</v>
      </c>
      <c r="C115" s="42">
        <v>31814.220702999999</v>
      </c>
      <c r="D115" s="42">
        <v>1156.315552</v>
      </c>
      <c r="E115" s="42">
        <v>6961.0732420000004</v>
      </c>
      <c r="F115" s="42">
        <v>2119.5695799999999</v>
      </c>
      <c r="G115" s="42">
        <v>4814.5498049999997</v>
      </c>
      <c r="H115" s="42">
        <v>612.78241000000003</v>
      </c>
      <c r="I115" s="42">
        <v>300.12890599999997</v>
      </c>
      <c r="J115" s="42">
        <v>522.73339799999997</v>
      </c>
      <c r="L115" s="50">
        <f t="shared" si="14"/>
        <v>1.6957701580206486E-2</v>
      </c>
      <c r="M115" s="50">
        <f t="shared" si="15"/>
        <v>2.8452157628118702E-2</v>
      </c>
      <c r="N115" s="50">
        <f t="shared" si="16"/>
        <v>1.8887210480273531E-2</v>
      </c>
      <c r="O115" s="50">
        <f t="shared" si="17"/>
        <v>4.0557722938183716E-3</v>
      </c>
      <c r="P115" s="50">
        <f t="shared" si="18"/>
        <v>-3.8171424487646322E-3</v>
      </c>
      <c r="Q115" s="50">
        <f t="shared" si="19"/>
        <v>3.1223711602041071E-2</v>
      </c>
      <c r="R115" s="50">
        <f t="shared" si="20"/>
        <v>1.3354533959292425E-2</v>
      </c>
      <c r="S115" s="50">
        <f t="shared" si="21"/>
        <v>1.1926831303141094E-2</v>
      </c>
      <c r="T115" s="50"/>
    </row>
    <row r="116" spans="2:20">
      <c r="B116" s="112">
        <v>43017</v>
      </c>
      <c r="C116" s="42">
        <v>32432.689452999999</v>
      </c>
      <c r="D116" s="42">
        <v>1195.8714600000001</v>
      </c>
      <c r="E116" s="42">
        <v>6954.0668949999999</v>
      </c>
      <c r="F116" s="42">
        <v>2226.6403810000002</v>
      </c>
      <c r="G116" s="42">
        <v>4800.3891599999997</v>
      </c>
      <c r="H116" s="42">
        <v>627.91052200000001</v>
      </c>
      <c r="I116" s="42">
        <v>302.13043199999998</v>
      </c>
      <c r="J116" s="42">
        <v>533.21453899999995</v>
      </c>
      <c r="L116" s="50">
        <f t="shared" si="14"/>
        <v>1.9440009415087722E-2</v>
      </c>
      <c r="M116" s="50">
        <f t="shared" si="15"/>
        <v>3.4208575618984716E-2</v>
      </c>
      <c r="N116" s="50">
        <f t="shared" si="16"/>
        <v>-1.0065038473847654E-3</v>
      </c>
      <c r="O116" s="50">
        <f t="shared" si="17"/>
        <v>5.0515350857224695E-2</v>
      </c>
      <c r="P116" s="50">
        <f t="shared" si="18"/>
        <v>-2.9412189246217357E-3</v>
      </c>
      <c r="Q116" s="50">
        <f t="shared" si="19"/>
        <v>2.4687575480503821E-2</v>
      </c>
      <c r="R116" s="50">
        <f t="shared" si="20"/>
        <v>6.6688878011638142E-3</v>
      </c>
      <c r="S116" s="50">
        <f t="shared" si="21"/>
        <v>2.0050643483085828E-2</v>
      </c>
      <c r="T116" s="50"/>
    </row>
    <row r="117" spans="2:20">
      <c r="B117" s="112">
        <v>43024</v>
      </c>
      <c r="C117" s="42">
        <v>32389.960938</v>
      </c>
      <c r="D117" s="42">
        <v>1204.586914</v>
      </c>
      <c r="E117" s="42">
        <v>6831.7504879999997</v>
      </c>
      <c r="F117" s="42">
        <v>2252.9003910000001</v>
      </c>
      <c r="G117" s="42">
        <v>4793.5</v>
      </c>
      <c r="H117" s="42">
        <v>619.958618</v>
      </c>
      <c r="I117" s="42">
        <v>299.70007299999997</v>
      </c>
      <c r="J117" s="42">
        <v>544.28576699999996</v>
      </c>
      <c r="L117" s="50">
        <f t="shared" si="14"/>
        <v>-1.3174521052877752E-3</v>
      </c>
      <c r="M117" s="50">
        <f t="shared" si="15"/>
        <v>7.2879521683708592E-3</v>
      </c>
      <c r="N117" s="50">
        <f t="shared" si="16"/>
        <v>-1.7589190447383607E-2</v>
      </c>
      <c r="O117" s="50">
        <f t="shared" si="17"/>
        <v>1.1793556886903422E-2</v>
      </c>
      <c r="P117" s="50">
        <f t="shared" si="18"/>
        <v>-1.435125313881791E-3</v>
      </c>
      <c r="Q117" s="50">
        <f t="shared" si="19"/>
        <v>-1.2664071904181284E-2</v>
      </c>
      <c r="R117" s="50">
        <f t="shared" si="20"/>
        <v>-8.044072170790173E-3</v>
      </c>
      <c r="S117" s="50">
        <f t="shared" si="21"/>
        <v>2.076317727712973E-2</v>
      </c>
      <c r="T117" s="50"/>
    </row>
    <row r="118" spans="2:20">
      <c r="B118" s="112">
        <v>43031</v>
      </c>
      <c r="C118" s="42">
        <v>33157.21875</v>
      </c>
      <c r="D118" s="42">
        <v>1206.933716</v>
      </c>
      <c r="E118" s="42">
        <v>6788.6274409999996</v>
      </c>
      <c r="F118" s="42">
        <v>2234.006836</v>
      </c>
      <c r="G118" s="42">
        <v>4767.6342770000001</v>
      </c>
      <c r="H118" s="42">
        <v>599.23785399999997</v>
      </c>
      <c r="I118" s="42">
        <v>296.45953400000002</v>
      </c>
      <c r="J118" s="42">
        <v>587.24890100000005</v>
      </c>
      <c r="L118" s="50">
        <f t="shared" si="14"/>
        <v>2.3688136378696711E-2</v>
      </c>
      <c r="M118" s="50">
        <f t="shared" si="15"/>
        <v>1.9482213966670603E-3</v>
      </c>
      <c r="N118" s="50">
        <f t="shared" si="16"/>
        <v>-6.312151925885745E-3</v>
      </c>
      <c r="O118" s="50">
        <f t="shared" si="17"/>
        <v>-8.3863250570140879E-3</v>
      </c>
      <c r="P118" s="50">
        <f t="shared" si="18"/>
        <v>-5.3959993741524714E-3</v>
      </c>
      <c r="Q118" s="50">
        <f t="shared" si="19"/>
        <v>-3.3422817908146274E-2</v>
      </c>
      <c r="R118" s="50">
        <f t="shared" si="20"/>
        <v>-1.0812606642241152E-2</v>
      </c>
      <c r="S118" s="50">
        <f t="shared" si="21"/>
        <v>7.8934884218642587E-2</v>
      </c>
      <c r="T118" s="50"/>
    </row>
    <row r="119" spans="2:20">
      <c r="B119" s="112">
        <v>43038</v>
      </c>
      <c r="C119" s="42">
        <v>33685.558594000002</v>
      </c>
      <c r="D119" s="42">
        <v>1187.1557620000001</v>
      </c>
      <c r="E119" s="42">
        <v>7018.4931640000004</v>
      </c>
      <c r="F119" s="42">
        <v>2263.522461</v>
      </c>
      <c r="G119" s="42">
        <v>5194.2114259999998</v>
      </c>
      <c r="H119" s="42">
        <v>628.52435300000002</v>
      </c>
      <c r="I119" s="42">
        <v>297.841522</v>
      </c>
      <c r="J119" s="42">
        <v>583.44836399999997</v>
      </c>
      <c r="L119" s="50">
        <f t="shared" si="14"/>
        <v>1.5934383640063388E-2</v>
      </c>
      <c r="M119" s="50">
        <f t="shared" si="15"/>
        <v>-1.6386942992650533E-2</v>
      </c>
      <c r="N119" s="50">
        <f t="shared" si="16"/>
        <v>3.3860412137470375E-2</v>
      </c>
      <c r="O119" s="50">
        <f t="shared" si="17"/>
        <v>1.3211967181285811E-2</v>
      </c>
      <c r="P119" s="50">
        <f t="shared" si="18"/>
        <v>8.9473546882127941E-2</v>
      </c>
      <c r="Q119" s="50">
        <f t="shared" si="19"/>
        <v>4.8872912157515325E-2</v>
      </c>
      <c r="R119" s="50">
        <f t="shared" si="20"/>
        <v>4.6616412747919611E-3</v>
      </c>
      <c r="S119" s="50">
        <f t="shared" si="21"/>
        <v>-6.471765197905488E-3</v>
      </c>
      <c r="T119" s="50"/>
    </row>
    <row r="120" spans="2:20">
      <c r="B120" s="112">
        <v>43045</v>
      </c>
      <c r="C120" s="42">
        <v>33314.558594000002</v>
      </c>
      <c r="D120" s="42">
        <v>1244.189331</v>
      </c>
      <c r="E120" s="42">
        <v>7370.484375</v>
      </c>
      <c r="F120" s="42">
        <v>2367.9492190000001</v>
      </c>
      <c r="G120" s="42">
        <v>5832.2465819999998</v>
      </c>
      <c r="H120" s="42">
        <v>619.89361599999995</v>
      </c>
      <c r="I120" s="42">
        <v>295.93536399999999</v>
      </c>
      <c r="J120" s="42">
        <v>591.80487100000005</v>
      </c>
      <c r="L120" s="50">
        <f t="shared" si="14"/>
        <v>-1.1013621726495004E-2</v>
      </c>
      <c r="M120" s="50">
        <f t="shared" si="15"/>
        <v>4.8042195325671111E-2</v>
      </c>
      <c r="N120" s="50">
        <f t="shared" si="16"/>
        <v>5.0151963217043516E-2</v>
      </c>
      <c r="O120" s="50">
        <f t="shared" si="17"/>
        <v>4.6134624152952108E-2</v>
      </c>
      <c r="P120" s="50">
        <f t="shared" si="18"/>
        <v>0.12283580772362646</v>
      </c>
      <c r="Q120" s="50">
        <f t="shared" si="19"/>
        <v>-1.3731746365601927E-2</v>
      </c>
      <c r="R120" s="50">
        <f t="shared" si="20"/>
        <v>-6.3999068605350429E-3</v>
      </c>
      <c r="S120" s="50">
        <f t="shared" si="21"/>
        <v>1.4322616216985606E-2</v>
      </c>
      <c r="T120" s="50"/>
    </row>
    <row r="121" spans="2:20">
      <c r="B121" s="112">
        <v>43052</v>
      </c>
      <c r="C121" s="42">
        <v>33342.800780999998</v>
      </c>
      <c r="D121" s="42">
        <v>1232.1391599999999</v>
      </c>
      <c r="E121" s="42">
        <v>7280.6396480000003</v>
      </c>
      <c r="F121" s="42">
        <v>2308.1992190000001</v>
      </c>
      <c r="G121" s="42">
        <v>5795.5903319999998</v>
      </c>
      <c r="H121" s="42">
        <v>610.98107900000002</v>
      </c>
      <c r="I121" s="42">
        <v>294.63067599999999</v>
      </c>
      <c r="J121" s="42">
        <v>607.71533199999999</v>
      </c>
      <c r="L121" s="50">
        <f t="shared" si="14"/>
        <v>8.4774309466850717E-4</v>
      </c>
      <c r="M121" s="50">
        <f t="shared" si="15"/>
        <v>-9.6851586006728718E-3</v>
      </c>
      <c r="N121" s="50">
        <f t="shared" si="16"/>
        <v>-1.2189799534036649E-2</v>
      </c>
      <c r="O121" s="50">
        <f t="shared" si="17"/>
        <v>-2.5232804622910332E-2</v>
      </c>
      <c r="P121" s="50">
        <f t="shared" si="18"/>
        <v>-6.2850994868995924E-3</v>
      </c>
      <c r="Q121" s="50">
        <f t="shared" si="19"/>
        <v>-1.4377526675480312E-2</v>
      </c>
      <c r="R121" s="50">
        <f t="shared" si="20"/>
        <v>-4.4086924332571442E-3</v>
      </c>
      <c r="S121" s="50">
        <f t="shared" si="21"/>
        <v>2.6884640157008644E-2</v>
      </c>
      <c r="T121" s="50"/>
    </row>
    <row r="122" spans="2:20">
      <c r="B122" s="112">
        <v>43059</v>
      </c>
      <c r="C122" s="42">
        <v>33679.238280999998</v>
      </c>
      <c r="D122" s="42">
        <v>1220.3781739999999</v>
      </c>
      <c r="E122" s="42">
        <v>7102.5610349999997</v>
      </c>
      <c r="F122" s="42">
        <v>2304.2919919999999</v>
      </c>
      <c r="G122" s="42">
        <v>5824.0576170000004</v>
      </c>
      <c r="H122" s="42">
        <v>629.39300500000002</v>
      </c>
      <c r="I122" s="42">
        <v>296.73928799999999</v>
      </c>
      <c r="J122" s="42">
        <v>597.77722200000005</v>
      </c>
      <c r="L122" s="50">
        <f t="shared" si="14"/>
        <v>1.0090259129992285E-2</v>
      </c>
      <c r="M122" s="50">
        <f t="shared" si="15"/>
        <v>-9.545176699034541E-3</v>
      </c>
      <c r="N122" s="50">
        <f t="shared" si="16"/>
        <v>-2.4459198862962439E-2</v>
      </c>
      <c r="O122" s="50">
        <f t="shared" si="17"/>
        <v>-1.6927598657159315E-3</v>
      </c>
      <c r="P122" s="50">
        <f t="shared" si="18"/>
        <v>4.9118870329429853E-3</v>
      </c>
      <c r="Q122" s="50">
        <f t="shared" si="19"/>
        <v>3.0135018305534222E-2</v>
      </c>
      <c r="R122" s="50">
        <f t="shared" si="20"/>
        <v>7.1567972100772259E-3</v>
      </c>
      <c r="S122" s="50">
        <f t="shared" si="21"/>
        <v>-1.6353232305812426E-2</v>
      </c>
      <c r="T122" s="50"/>
    </row>
    <row r="123" spans="2:20">
      <c r="B123" s="112">
        <v>43066</v>
      </c>
      <c r="C123" s="42">
        <v>32832.941405999998</v>
      </c>
      <c r="D123" s="42">
        <v>1205.484375</v>
      </c>
      <c r="E123" s="42">
        <v>7286.4155270000001</v>
      </c>
      <c r="F123" s="42">
        <v>2335.3725589999999</v>
      </c>
      <c r="G123" s="42">
        <v>5859.2690430000002</v>
      </c>
      <c r="H123" s="42">
        <v>631.43158000000005</v>
      </c>
      <c r="I123" s="42">
        <v>297.50607300000001</v>
      </c>
      <c r="J123" s="42">
        <v>615.71783400000004</v>
      </c>
      <c r="L123" s="50">
        <f t="shared" si="14"/>
        <v>-2.5128147731222183E-2</v>
      </c>
      <c r="M123" s="50">
        <f t="shared" si="15"/>
        <v>-1.2204248910141491E-2</v>
      </c>
      <c r="N123" s="50">
        <f t="shared" si="16"/>
        <v>2.5885661678090699E-2</v>
      </c>
      <c r="O123" s="50">
        <f t="shared" si="17"/>
        <v>1.34881200420367E-2</v>
      </c>
      <c r="P123" s="50">
        <f t="shared" si="18"/>
        <v>6.0458581139755108E-3</v>
      </c>
      <c r="Q123" s="50">
        <f t="shared" si="19"/>
        <v>3.2389540141140039E-3</v>
      </c>
      <c r="R123" s="50">
        <f t="shared" si="20"/>
        <v>2.584035990542688E-3</v>
      </c>
      <c r="S123" s="50">
        <f t="shared" si="21"/>
        <v>3.0012204111718344E-2</v>
      </c>
      <c r="T123" s="50"/>
    </row>
    <row r="124" spans="2:20">
      <c r="B124" s="112">
        <v>43073</v>
      </c>
      <c r="C124" s="42">
        <v>33250.300780999998</v>
      </c>
      <c r="D124" s="42">
        <v>1278.893311</v>
      </c>
      <c r="E124" s="42">
        <v>7499.0493159999996</v>
      </c>
      <c r="F124" s="42">
        <v>2359.6203609999998</v>
      </c>
      <c r="G124" s="42">
        <v>5912.9765630000002</v>
      </c>
      <c r="H124" s="42">
        <v>652.10821499999997</v>
      </c>
      <c r="I124" s="42">
        <v>298.991669</v>
      </c>
      <c r="J124" s="42">
        <v>592.86712599999998</v>
      </c>
      <c r="L124" s="50">
        <f t="shared" si="14"/>
        <v>1.2711604782498442E-2</v>
      </c>
      <c r="M124" s="50">
        <f t="shared" si="15"/>
        <v>6.089580049513299E-2</v>
      </c>
      <c r="N124" s="50">
        <f t="shared" si="16"/>
        <v>2.9182221108867479E-2</v>
      </c>
      <c r="O124" s="50">
        <f t="shared" si="17"/>
        <v>1.0382841018900413E-2</v>
      </c>
      <c r="P124" s="50">
        <f t="shared" si="18"/>
        <v>9.1662491696236081E-3</v>
      </c>
      <c r="Q124" s="50">
        <f t="shared" si="19"/>
        <v>3.2745646012826812E-2</v>
      </c>
      <c r="R124" s="50">
        <f t="shared" si="20"/>
        <v>4.9934980654999794E-3</v>
      </c>
      <c r="S124" s="50">
        <f t="shared" si="21"/>
        <v>-3.7112304919853956E-2</v>
      </c>
      <c r="T124" s="50"/>
    </row>
    <row r="125" spans="2:20">
      <c r="B125" s="112">
        <v>43080</v>
      </c>
      <c r="C125" s="42">
        <v>33462.96875</v>
      </c>
      <c r="D125" s="42">
        <v>1276.869019</v>
      </c>
      <c r="E125" s="42">
        <v>7430.5541990000002</v>
      </c>
      <c r="F125" s="42">
        <v>2285.6323240000002</v>
      </c>
      <c r="G125" s="42">
        <v>6133.201172</v>
      </c>
      <c r="H125" s="42">
        <v>639.13232400000004</v>
      </c>
      <c r="I125" s="42">
        <v>293.24093599999998</v>
      </c>
      <c r="J125" s="42">
        <v>605.16595500000005</v>
      </c>
      <c r="L125" s="50">
        <f t="shared" si="14"/>
        <v>6.395971284612445E-3</v>
      </c>
      <c r="M125" s="50">
        <f t="shared" si="15"/>
        <v>-1.5828466554549392E-3</v>
      </c>
      <c r="N125" s="50">
        <f t="shared" si="16"/>
        <v>-9.1338400527462005E-3</v>
      </c>
      <c r="O125" s="50">
        <f t="shared" si="17"/>
        <v>-3.1355907171712882E-2</v>
      </c>
      <c r="P125" s="50">
        <f t="shared" si="18"/>
        <v>3.7244289175444756E-2</v>
      </c>
      <c r="Q125" s="50">
        <f t="shared" si="19"/>
        <v>-1.9898370702169377E-2</v>
      </c>
      <c r="R125" s="50">
        <f t="shared" si="20"/>
        <v>-1.9233756643567301E-2</v>
      </c>
      <c r="S125" s="50">
        <f t="shared" si="21"/>
        <v>2.0744663450946721E-2</v>
      </c>
      <c r="T125" s="50"/>
    </row>
    <row r="126" spans="2:20">
      <c r="B126" s="112">
        <v>43087</v>
      </c>
      <c r="C126" s="42">
        <v>33940.300780999998</v>
      </c>
      <c r="D126" s="42">
        <v>1307.6687010000001</v>
      </c>
      <c r="E126" s="42">
        <v>7494.5336909999996</v>
      </c>
      <c r="F126" s="42">
        <v>2306.5471189999998</v>
      </c>
      <c r="G126" s="42">
        <v>6261.9057620000003</v>
      </c>
      <c r="H126" s="42">
        <v>639.13232400000004</v>
      </c>
      <c r="I126" s="42">
        <v>303.783997</v>
      </c>
      <c r="J126" s="42">
        <v>618.69219999999996</v>
      </c>
      <c r="L126" s="50">
        <f t="shared" si="14"/>
        <v>1.4264485454536846E-2</v>
      </c>
      <c r="M126" s="50">
        <f t="shared" si="15"/>
        <v>2.4121254053232066E-2</v>
      </c>
      <c r="N126" s="50">
        <f t="shared" si="16"/>
        <v>8.610325728948931E-3</v>
      </c>
      <c r="O126" s="50">
        <f t="shared" si="17"/>
        <v>9.1505509352429737E-3</v>
      </c>
      <c r="P126" s="50">
        <f t="shared" si="18"/>
        <v>2.0984896205195058E-2</v>
      </c>
      <c r="Q126" s="50">
        <f t="shared" si="19"/>
        <v>0</v>
      </c>
      <c r="R126" s="50">
        <f t="shared" si="20"/>
        <v>3.5953578459454905E-2</v>
      </c>
      <c r="S126" s="50">
        <f t="shared" si="21"/>
        <v>2.2351298661537955E-2</v>
      </c>
      <c r="T126" s="50"/>
    </row>
    <row r="127" spans="2:20">
      <c r="B127" s="112">
        <v>43094</v>
      </c>
      <c r="C127" s="42">
        <v>34056.828125</v>
      </c>
      <c r="D127" s="42">
        <v>1318.6099850000001</v>
      </c>
      <c r="E127" s="42">
        <v>7482.7441410000001</v>
      </c>
      <c r="F127" s="42">
        <v>2288.373047</v>
      </c>
      <c r="G127" s="42">
        <v>6298.4658200000003</v>
      </c>
      <c r="H127" s="42">
        <v>646.80120799999997</v>
      </c>
      <c r="I127" s="42">
        <v>309.10342400000002</v>
      </c>
      <c r="J127" s="42">
        <v>628.01660200000003</v>
      </c>
      <c r="L127" s="50">
        <f t="shared" si="14"/>
        <v>3.4333032212028325E-3</v>
      </c>
      <c r="M127" s="50">
        <f t="shared" si="15"/>
        <v>8.3670152781305518E-3</v>
      </c>
      <c r="N127" s="50">
        <f t="shared" si="16"/>
        <v>-1.5730865302743258E-3</v>
      </c>
      <c r="O127" s="50">
        <f t="shared" si="17"/>
        <v>-7.8793413107810517E-3</v>
      </c>
      <c r="P127" s="50">
        <f t="shared" si="18"/>
        <v>5.8384874173391665E-3</v>
      </c>
      <c r="Q127" s="50">
        <f t="shared" si="19"/>
        <v>1.1998898681894854E-2</v>
      </c>
      <c r="R127" s="50">
        <f t="shared" si="20"/>
        <v>1.7510557015944617E-2</v>
      </c>
      <c r="S127" s="50">
        <f t="shared" si="21"/>
        <v>1.5071148464454565E-2</v>
      </c>
      <c r="T127" s="50"/>
    </row>
    <row r="128" spans="2:20">
      <c r="B128" s="112">
        <v>43101</v>
      </c>
      <c r="C128" s="42">
        <v>34153.851562999997</v>
      </c>
      <c r="D128" s="42">
        <v>1307.716919</v>
      </c>
      <c r="E128" s="42">
        <v>7469.2934569999998</v>
      </c>
      <c r="F128" s="42">
        <v>2256.7192380000001</v>
      </c>
      <c r="G128" s="42">
        <v>6164.0288090000004</v>
      </c>
      <c r="H128" s="42">
        <v>640.71771200000001</v>
      </c>
      <c r="I128" s="42">
        <v>313.36862200000002</v>
      </c>
      <c r="J128" s="42">
        <v>626.95434599999999</v>
      </c>
      <c r="L128" s="50">
        <f t="shared" si="14"/>
        <v>2.8488688859658051E-3</v>
      </c>
      <c r="M128" s="50">
        <f t="shared" si="15"/>
        <v>-8.2610219275717212E-3</v>
      </c>
      <c r="N128" s="50">
        <f t="shared" si="16"/>
        <v>-1.7975603263380435E-3</v>
      </c>
      <c r="O128" s="50">
        <f t="shared" si="17"/>
        <v>-1.383245141848588E-2</v>
      </c>
      <c r="P128" s="50">
        <f t="shared" si="18"/>
        <v>-2.1344405898514496E-2</v>
      </c>
      <c r="Q128" s="50">
        <f t="shared" si="19"/>
        <v>-9.4055111906964362E-3</v>
      </c>
      <c r="R128" s="50">
        <f t="shared" si="20"/>
        <v>1.3798611302345165E-2</v>
      </c>
      <c r="S128" s="50">
        <f t="shared" si="21"/>
        <v>-1.6914457302834585E-3</v>
      </c>
      <c r="T128" s="50"/>
    </row>
    <row r="129" spans="2:20">
      <c r="B129" s="112">
        <v>43108</v>
      </c>
      <c r="C129" s="42">
        <v>34592.390625</v>
      </c>
      <c r="D129" s="42">
        <v>1324.538818</v>
      </c>
      <c r="E129" s="42">
        <v>7405.1215819999998</v>
      </c>
      <c r="F129" s="42">
        <v>2287.91626</v>
      </c>
      <c r="G129" s="42">
        <v>6272.6958009999998</v>
      </c>
      <c r="H129" s="42">
        <v>641.52722200000005</v>
      </c>
      <c r="I129" s="42">
        <v>299.71051</v>
      </c>
      <c r="J129" s="42">
        <v>607.97503700000004</v>
      </c>
      <c r="L129" s="50">
        <f t="shared" si="14"/>
        <v>1.284010563760507E-2</v>
      </c>
      <c r="M129" s="50">
        <f t="shared" si="15"/>
        <v>1.2863563020094393E-2</v>
      </c>
      <c r="N129" s="50">
        <f t="shared" si="16"/>
        <v>-8.5914250617452614E-3</v>
      </c>
      <c r="O129" s="50">
        <f t="shared" si="17"/>
        <v>1.3824059933856825E-2</v>
      </c>
      <c r="P129" s="50">
        <f t="shared" si="18"/>
        <v>1.7629215463973225E-2</v>
      </c>
      <c r="Q129" s="50">
        <f t="shared" si="19"/>
        <v>1.2634425189732568E-3</v>
      </c>
      <c r="R129" s="50">
        <f t="shared" si="20"/>
        <v>-4.358481047920626E-2</v>
      </c>
      <c r="S129" s="50">
        <f t="shared" si="21"/>
        <v>-3.0272234527264796E-2</v>
      </c>
      <c r="T129" s="50"/>
    </row>
    <row r="130" spans="2:20">
      <c r="B130" s="112">
        <v>43115</v>
      </c>
      <c r="C130" s="42">
        <v>35511.578125</v>
      </c>
      <c r="D130" s="42">
        <v>1313.404419</v>
      </c>
      <c r="E130" s="42">
        <v>7301.876953</v>
      </c>
      <c r="F130" s="42">
        <v>2276.3317870000001</v>
      </c>
      <c r="G130" s="42">
        <v>6398.0776370000003</v>
      </c>
      <c r="H130" s="42">
        <v>680.129456</v>
      </c>
      <c r="I130" s="42">
        <v>301.052368</v>
      </c>
      <c r="J130" s="42">
        <v>595.93591300000003</v>
      </c>
      <c r="L130" s="50">
        <f t="shared" si="14"/>
        <v>2.6571956531263874E-2</v>
      </c>
      <c r="M130" s="50">
        <f t="shared" si="15"/>
        <v>-8.4062458938066742E-3</v>
      </c>
      <c r="N130" s="50">
        <f t="shared" si="16"/>
        <v>-1.3942327328016035E-2</v>
      </c>
      <c r="O130" s="50">
        <f t="shared" si="17"/>
        <v>-5.063329109781245E-3</v>
      </c>
      <c r="P130" s="50">
        <f t="shared" si="18"/>
        <v>1.9988508924665638E-2</v>
      </c>
      <c r="Q130" s="50">
        <f t="shared" si="19"/>
        <v>6.0172402161914773E-2</v>
      </c>
      <c r="R130" s="50">
        <f t="shared" si="20"/>
        <v>4.4771803297789514E-3</v>
      </c>
      <c r="S130" s="50">
        <f t="shared" si="21"/>
        <v>-1.9802003811547952E-2</v>
      </c>
      <c r="T130" s="50"/>
    </row>
    <row r="131" spans="2:20">
      <c r="B131" s="112">
        <v>43122</v>
      </c>
      <c r="C131" s="42">
        <v>36050.441405999998</v>
      </c>
      <c r="D131" s="42">
        <v>1323.33374</v>
      </c>
      <c r="E131" s="42">
        <v>7121.3427730000003</v>
      </c>
      <c r="F131" s="42">
        <v>2247.7297359999998</v>
      </c>
      <c r="G131" s="42">
        <v>6239.7490230000003</v>
      </c>
      <c r="H131" s="42">
        <v>695.69433600000002</v>
      </c>
      <c r="I131" s="42">
        <v>294.67858899999999</v>
      </c>
      <c r="J131" s="42">
        <v>567.70306400000004</v>
      </c>
      <c r="L131" s="50">
        <f t="shared" si="14"/>
        <v>1.51742983401979E-2</v>
      </c>
      <c r="M131" s="50">
        <f t="shared" si="15"/>
        <v>7.5599875075493816E-3</v>
      </c>
      <c r="N131" s="50">
        <f t="shared" si="16"/>
        <v>-2.4724352541414252E-2</v>
      </c>
      <c r="O131" s="50">
        <f t="shared" si="17"/>
        <v>-1.2564974562735087E-2</v>
      </c>
      <c r="P131" s="50">
        <f t="shared" si="18"/>
        <v>-2.4746278957977541E-2</v>
      </c>
      <c r="Q131" s="50">
        <f t="shared" si="19"/>
        <v>2.2885172613373861E-2</v>
      </c>
      <c r="R131" s="50">
        <f t="shared" si="20"/>
        <v>-2.1171662067776875E-2</v>
      </c>
      <c r="S131" s="50">
        <f t="shared" si="21"/>
        <v>-4.7375646246713088E-2</v>
      </c>
      <c r="T131" s="50"/>
    </row>
    <row r="132" spans="2:20">
      <c r="B132" s="112">
        <v>43129</v>
      </c>
      <c r="C132" s="42">
        <v>35066.75</v>
      </c>
      <c r="D132" s="42">
        <v>1322.803467</v>
      </c>
      <c r="E132" s="42">
        <v>6783.5639650000003</v>
      </c>
      <c r="F132" s="42">
        <v>2296.7409670000002</v>
      </c>
      <c r="G132" s="42">
        <v>6365.8530270000001</v>
      </c>
      <c r="H132" s="42">
        <v>680.55078100000003</v>
      </c>
      <c r="I132" s="42">
        <v>291.851135</v>
      </c>
      <c r="J132" s="42">
        <v>521.62390100000005</v>
      </c>
      <c r="L132" s="50">
        <f t="shared" si="14"/>
        <v>-2.7286528753467043E-2</v>
      </c>
      <c r="M132" s="50">
        <f t="shared" si="15"/>
        <v>-4.0070995242669216E-4</v>
      </c>
      <c r="N132" s="50">
        <f t="shared" si="16"/>
        <v>-4.743189855720209E-2</v>
      </c>
      <c r="O132" s="50">
        <f t="shared" si="17"/>
        <v>2.1804770482424463E-2</v>
      </c>
      <c r="P132" s="50">
        <f t="shared" si="18"/>
        <v>2.0209787851270145E-2</v>
      </c>
      <c r="Q132" s="50">
        <f t="shared" si="19"/>
        <v>-2.1767541025373482E-2</v>
      </c>
      <c r="R132" s="50">
        <f t="shared" si="20"/>
        <v>-9.5950439073128058E-3</v>
      </c>
      <c r="S132" s="50">
        <f t="shared" si="21"/>
        <v>-8.1167719397758908E-2</v>
      </c>
      <c r="T132" s="50"/>
    </row>
    <row r="133" spans="2:20">
      <c r="B133" s="112">
        <v>43136</v>
      </c>
      <c r="C133" s="42">
        <v>34005.761719000002</v>
      </c>
      <c r="D133" s="42">
        <v>1285.0629879999999</v>
      </c>
      <c r="E133" s="42">
        <v>6625.9399409999996</v>
      </c>
      <c r="F133" s="42">
        <v>2255.2810060000002</v>
      </c>
      <c r="G133" s="42">
        <v>5857.4384769999997</v>
      </c>
      <c r="H133" s="42">
        <v>657.89959699999997</v>
      </c>
      <c r="I133" s="42">
        <v>284.854401</v>
      </c>
      <c r="J133" s="42">
        <v>513.69238299999995</v>
      </c>
      <c r="L133" s="50">
        <f t="shared" ref="L133:L196" si="22">C133/C132-1</f>
        <v>-3.0256247898650335E-2</v>
      </c>
      <c r="M133" s="50">
        <f t="shared" ref="M133:M196" si="23">D133/D132-1</f>
        <v>-2.8530677414682071E-2</v>
      </c>
      <c r="N133" s="50">
        <f t="shared" ref="N133:N196" si="24">E133/E132-1</f>
        <v>-2.3236166831073879E-2</v>
      </c>
      <c r="O133" s="50">
        <f t="shared" ref="O133:O196" si="25">F133/F132-1</f>
        <v>-1.8051648660299291E-2</v>
      </c>
      <c r="P133" s="50">
        <f t="shared" ref="P133:P196" si="26">G133/G132-1</f>
        <v>-7.9865895087998573E-2</v>
      </c>
      <c r="Q133" s="50">
        <f t="shared" ref="Q133:Q196" si="27">H133/H132-1</f>
        <v>-3.3283605915074288E-2</v>
      </c>
      <c r="R133" s="50">
        <f t="shared" ref="R133:R196" si="28">I133/I132-1</f>
        <v>-2.3973639848959283E-2</v>
      </c>
      <c r="S133" s="50">
        <f t="shared" ref="S133:S196" si="29">J133/J132-1</f>
        <v>-1.5205434384418903E-2</v>
      </c>
      <c r="T133" s="50"/>
    </row>
    <row r="134" spans="2:20">
      <c r="B134" s="112">
        <v>43143</v>
      </c>
      <c r="C134" s="42">
        <v>34010.761719000002</v>
      </c>
      <c r="D134" s="42">
        <v>1303.427246</v>
      </c>
      <c r="E134" s="42">
        <v>7218.4072269999997</v>
      </c>
      <c r="F134" s="42">
        <v>2323.7102049999999</v>
      </c>
      <c r="G134" s="42">
        <v>6296.2504879999997</v>
      </c>
      <c r="H134" s="42">
        <v>667.79736300000002</v>
      </c>
      <c r="I134" s="42">
        <v>294.00769000000003</v>
      </c>
      <c r="J134" s="42">
        <v>511.49694799999997</v>
      </c>
      <c r="L134" s="50">
        <f t="shared" si="22"/>
        <v>1.4703390682191397E-4</v>
      </c>
      <c r="M134" s="50">
        <f t="shared" si="23"/>
        <v>1.4290550869090923E-2</v>
      </c>
      <c r="N134" s="50">
        <f t="shared" si="24"/>
        <v>8.9416338100792414E-2</v>
      </c>
      <c r="O134" s="50">
        <f t="shared" si="25"/>
        <v>3.0341761766249586E-2</v>
      </c>
      <c r="P134" s="50">
        <f t="shared" si="26"/>
        <v>7.491534272584377E-2</v>
      </c>
      <c r="Q134" s="50">
        <f t="shared" si="27"/>
        <v>1.5044493179709351E-2</v>
      </c>
      <c r="R134" s="50">
        <f t="shared" si="28"/>
        <v>3.2133219525016354E-2</v>
      </c>
      <c r="S134" s="50">
        <f t="shared" si="29"/>
        <v>-4.2738321078044095E-3</v>
      </c>
      <c r="T134" s="50"/>
    </row>
    <row r="135" spans="2:20">
      <c r="B135" s="112">
        <v>43150</v>
      </c>
      <c r="C135" s="42">
        <v>34142.148437999997</v>
      </c>
      <c r="D135" s="42">
        <v>1275.5192870000001</v>
      </c>
      <c r="E135" s="42">
        <v>7208.8520509999998</v>
      </c>
      <c r="F135" s="42">
        <v>2411.148682</v>
      </c>
      <c r="G135" s="42">
        <v>6539.9331050000001</v>
      </c>
      <c r="H135" s="42">
        <v>679.00366199999996</v>
      </c>
      <c r="I135" s="42">
        <v>296.30172700000003</v>
      </c>
      <c r="J135" s="42">
        <v>506.20916699999998</v>
      </c>
      <c r="L135" s="50">
        <f t="shared" si="22"/>
        <v>3.8630925142320027E-3</v>
      </c>
      <c r="M135" s="50">
        <f t="shared" si="23"/>
        <v>-2.1411213464844092E-2</v>
      </c>
      <c r="N135" s="50">
        <f t="shared" si="24"/>
        <v>-1.323723599890525E-3</v>
      </c>
      <c r="O135" s="50">
        <f t="shared" si="25"/>
        <v>3.7628821705846027E-2</v>
      </c>
      <c r="P135" s="50">
        <f t="shared" si="26"/>
        <v>3.8702814868060598E-2</v>
      </c>
      <c r="Q135" s="50">
        <f t="shared" si="27"/>
        <v>1.6780987198956598E-2</v>
      </c>
      <c r="R135" s="50">
        <f t="shared" si="28"/>
        <v>7.8026428492397049E-3</v>
      </c>
      <c r="S135" s="50">
        <f t="shared" si="29"/>
        <v>-1.0337854449915529E-2</v>
      </c>
      <c r="T135" s="50"/>
    </row>
    <row r="136" spans="2:20">
      <c r="B136" s="112">
        <v>43157</v>
      </c>
      <c r="C136" s="42">
        <v>34046.941405999998</v>
      </c>
      <c r="D136" s="42">
        <v>1276.5795900000001</v>
      </c>
      <c r="E136" s="42">
        <v>7462.3061520000001</v>
      </c>
      <c r="F136" s="42">
        <v>2402.382568</v>
      </c>
      <c r="G136" s="42">
        <v>6542.6787109999996</v>
      </c>
      <c r="H136" s="42">
        <v>699.73236099999997</v>
      </c>
      <c r="I136" s="42">
        <v>301.61615</v>
      </c>
      <c r="J136" s="42">
        <v>510.45825200000002</v>
      </c>
      <c r="L136" s="50">
        <f t="shared" si="22"/>
        <v>-2.788548359013987E-3</v>
      </c>
      <c r="M136" s="50">
        <f t="shared" si="23"/>
        <v>8.3127163250806824E-4</v>
      </c>
      <c r="N136" s="50">
        <f t="shared" si="24"/>
        <v>3.515873251481727E-2</v>
      </c>
      <c r="O136" s="50">
        <f t="shared" si="25"/>
        <v>-3.635658831594224E-3</v>
      </c>
      <c r="P136" s="50">
        <f t="shared" si="26"/>
        <v>4.1982172537835538E-4</v>
      </c>
      <c r="Q136" s="50">
        <f t="shared" si="27"/>
        <v>3.0528110760027038E-2</v>
      </c>
      <c r="R136" s="50">
        <f t="shared" si="28"/>
        <v>1.7935848885551664E-2</v>
      </c>
      <c r="S136" s="50">
        <f t="shared" si="29"/>
        <v>8.3939313568377472E-3</v>
      </c>
      <c r="T136" s="50"/>
    </row>
    <row r="137" spans="2:20">
      <c r="B137" s="112">
        <v>43164</v>
      </c>
      <c r="C137" s="42">
        <v>33307.140625</v>
      </c>
      <c r="D137" s="42">
        <v>1253.9255370000001</v>
      </c>
      <c r="E137" s="42">
        <v>7279.7270509999998</v>
      </c>
      <c r="F137" s="42">
        <v>2352.7878420000002</v>
      </c>
      <c r="G137" s="42">
        <v>6383.9643550000001</v>
      </c>
      <c r="H137" s="42">
        <v>694.97113000000002</v>
      </c>
      <c r="I137" s="42">
        <v>298.18594400000001</v>
      </c>
      <c r="J137" s="42">
        <v>512.01623500000005</v>
      </c>
      <c r="L137" s="50">
        <f t="shared" si="22"/>
        <v>-2.17288470108985E-2</v>
      </c>
      <c r="M137" s="50">
        <f t="shared" si="23"/>
        <v>-1.7745899415484101E-2</v>
      </c>
      <c r="N137" s="50">
        <f t="shared" si="24"/>
        <v>-2.4466846746975968E-2</v>
      </c>
      <c r="O137" s="50">
        <f t="shared" si="25"/>
        <v>-2.0643975135603676E-2</v>
      </c>
      <c r="P137" s="50">
        <f t="shared" si="26"/>
        <v>-2.4258314218174593E-2</v>
      </c>
      <c r="Q137" s="50">
        <f t="shared" si="27"/>
        <v>-6.8043601602126857E-3</v>
      </c>
      <c r="R137" s="50">
        <f t="shared" si="28"/>
        <v>-1.1372753083679354E-2</v>
      </c>
      <c r="S137" s="50">
        <f t="shared" si="29"/>
        <v>3.0521261903315722E-3</v>
      </c>
      <c r="T137" s="50"/>
    </row>
    <row r="138" spans="2:20">
      <c r="B138" s="112">
        <v>43171</v>
      </c>
      <c r="C138" s="42">
        <v>33176</v>
      </c>
      <c r="D138" s="42">
        <v>1252.3833010000001</v>
      </c>
      <c r="E138" s="42">
        <v>7315.8530270000001</v>
      </c>
      <c r="F138" s="42">
        <v>2361.923828</v>
      </c>
      <c r="G138" s="42">
        <v>6277.8500979999999</v>
      </c>
      <c r="H138" s="42">
        <v>684.05639599999995</v>
      </c>
      <c r="I138" s="42">
        <v>291.08398399999999</v>
      </c>
      <c r="J138" s="42">
        <v>482.508667</v>
      </c>
      <c r="L138" s="50">
        <f t="shared" si="22"/>
        <v>-3.9373126164293781E-3</v>
      </c>
      <c r="M138" s="50">
        <f t="shared" si="23"/>
        <v>-1.2299263030320917E-3</v>
      </c>
      <c r="N138" s="50">
        <f t="shared" si="24"/>
        <v>4.962545401346885E-3</v>
      </c>
      <c r="O138" s="50">
        <f t="shared" si="25"/>
        <v>3.8830470971125131E-3</v>
      </c>
      <c r="P138" s="50">
        <f t="shared" si="26"/>
        <v>-1.6622000233583734E-2</v>
      </c>
      <c r="Q138" s="50">
        <f t="shared" si="27"/>
        <v>-1.5705305629026722E-2</v>
      </c>
      <c r="R138" s="50">
        <f t="shared" si="28"/>
        <v>-2.3817219231500819E-2</v>
      </c>
      <c r="S138" s="50">
        <f t="shared" si="29"/>
        <v>-5.7630141356748266E-2</v>
      </c>
      <c r="T138" s="50"/>
    </row>
    <row r="139" spans="2:20">
      <c r="B139" s="112">
        <v>43178</v>
      </c>
      <c r="C139" s="42">
        <v>32596.539063</v>
      </c>
      <c r="D139" s="42">
        <v>1254.7933350000001</v>
      </c>
      <c r="E139" s="42">
        <v>7409.4472660000001</v>
      </c>
      <c r="F139" s="42">
        <v>2351.7387699999999</v>
      </c>
      <c r="G139" s="42">
        <v>6190.5693359999996</v>
      </c>
      <c r="H139" s="42">
        <v>709.254639</v>
      </c>
      <c r="I139" s="42">
        <v>314.56393400000002</v>
      </c>
      <c r="J139" s="42">
        <v>500.52011099999999</v>
      </c>
      <c r="L139" s="50">
        <f t="shared" si="22"/>
        <v>-1.7466268899204218E-2</v>
      </c>
      <c r="M139" s="50">
        <f t="shared" si="23"/>
        <v>1.9243581402559329E-3</v>
      </c>
      <c r="N139" s="50">
        <f t="shared" si="24"/>
        <v>1.2793345991858995E-2</v>
      </c>
      <c r="O139" s="50">
        <f t="shared" si="25"/>
        <v>-4.3121873276601441E-3</v>
      </c>
      <c r="P139" s="50">
        <f t="shared" si="26"/>
        <v>-1.3902970067381282E-2</v>
      </c>
      <c r="Q139" s="50">
        <f t="shared" si="27"/>
        <v>3.6836499369563791E-2</v>
      </c>
      <c r="R139" s="50">
        <f t="shared" si="28"/>
        <v>8.0663833431660059E-2</v>
      </c>
      <c r="S139" s="50">
        <f t="shared" si="29"/>
        <v>3.7328747091707637E-2</v>
      </c>
      <c r="T139" s="50"/>
    </row>
    <row r="140" spans="2:20">
      <c r="B140" s="112">
        <v>43185</v>
      </c>
      <c r="C140" s="42">
        <v>32968.679687999997</v>
      </c>
      <c r="D140" s="42">
        <v>1285.3519289999999</v>
      </c>
      <c r="E140" s="42">
        <v>7798.9897460000002</v>
      </c>
      <c r="F140" s="42">
        <v>2415.376221</v>
      </c>
      <c r="G140" s="42">
        <v>5876.609375</v>
      </c>
      <c r="H140" s="42">
        <v>708.44519000000003</v>
      </c>
      <c r="I140" s="42">
        <v>315.04705799999999</v>
      </c>
      <c r="J140" s="42">
        <v>504.62756300000001</v>
      </c>
      <c r="L140" s="50">
        <f t="shared" si="22"/>
        <v>1.1416568620391088E-2</v>
      </c>
      <c r="M140" s="50">
        <f t="shared" si="23"/>
        <v>2.4353487660180972E-2</v>
      </c>
      <c r="N140" s="50">
        <f t="shared" si="24"/>
        <v>5.2573756990957676E-2</v>
      </c>
      <c r="O140" s="50">
        <f t="shared" si="25"/>
        <v>2.7059744820212339E-2</v>
      </c>
      <c r="P140" s="50">
        <f t="shared" si="26"/>
        <v>-5.0715845984347419E-2</v>
      </c>
      <c r="Q140" s="50">
        <f t="shared" si="27"/>
        <v>-1.1412671211304959E-3</v>
      </c>
      <c r="R140" s="50">
        <f t="shared" si="28"/>
        <v>1.5358531216740356E-3</v>
      </c>
      <c r="S140" s="50">
        <f t="shared" si="29"/>
        <v>8.2063675559282956E-3</v>
      </c>
      <c r="T140" s="50"/>
    </row>
    <row r="141" spans="2:20">
      <c r="B141" s="112">
        <v>43192</v>
      </c>
      <c r="C141" s="42">
        <v>33626.96875</v>
      </c>
      <c r="D141" s="42">
        <v>1325.3100589999999</v>
      </c>
      <c r="E141" s="42">
        <v>7935.3188479999999</v>
      </c>
      <c r="F141" s="42">
        <v>2516.275635</v>
      </c>
      <c r="G141" s="42">
        <v>5876.4165039999998</v>
      </c>
      <c r="H141" s="42">
        <v>705.95098900000005</v>
      </c>
      <c r="I141" s="42">
        <v>309.82928500000003</v>
      </c>
      <c r="J141" s="42">
        <v>539.16332999999997</v>
      </c>
      <c r="L141" s="50">
        <f t="shared" si="22"/>
        <v>1.9967104179777317E-2</v>
      </c>
      <c r="M141" s="50">
        <f t="shared" si="23"/>
        <v>3.1087306984544982E-2</v>
      </c>
      <c r="N141" s="50">
        <f t="shared" si="24"/>
        <v>1.7480354050974478E-2</v>
      </c>
      <c r="O141" s="50">
        <f t="shared" si="25"/>
        <v>4.1773787918730987E-2</v>
      </c>
      <c r="P141" s="50">
        <f t="shared" si="26"/>
        <v>-3.2820115766218905E-5</v>
      </c>
      <c r="Q141" s="50">
        <f t="shared" si="27"/>
        <v>-3.5206689736999586E-3</v>
      </c>
      <c r="R141" s="50">
        <f t="shared" si="28"/>
        <v>-1.6561884542340199E-2</v>
      </c>
      <c r="S141" s="50">
        <f t="shared" si="29"/>
        <v>6.8438130479210324E-2</v>
      </c>
      <c r="T141" s="50"/>
    </row>
    <row r="142" spans="2:20">
      <c r="B142" s="112">
        <v>43199</v>
      </c>
      <c r="C142" s="42">
        <v>34192.648437999997</v>
      </c>
      <c r="D142" s="42">
        <v>1359.773193</v>
      </c>
      <c r="E142" s="42">
        <v>8259.0751949999994</v>
      </c>
      <c r="F142" s="42">
        <v>2531.1740719999998</v>
      </c>
      <c r="G142" s="42">
        <v>5779.7431640000004</v>
      </c>
      <c r="H142" s="42">
        <v>694.35607900000002</v>
      </c>
      <c r="I142" s="42">
        <v>305.38449100000003</v>
      </c>
      <c r="J142" s="42">
        <v>528.89459199999999</v>
      </c>
      <c r="L142" s="50">
        <f t="shared" si="22"/>
        <v>1.6822202804110731E-2</v>
      </c>
      <c r="M142" s="50">
        <f t="shared" si="23"/>
        <v>2.600382738059337E-2</v>
      </c>
      <c r="N142" s="50">
        <f t="shared" si="24"/>
        <v>4.0799412500179377E-2</v>
      </c>
      <c r="O142" s="50">
        <f t="shared" si="25"/>
        <v>5.9208287012642025E-3</v>
      </c>
      <c r="P142" s="50">
        <f t="shared" si="26"/>
        <v>-1.6451070126529466E-2</v>
      </c>
      <c r="Q142" s="50">
        <f t="shared" si="27"/>
        <v>-1.6424525470846829E-2</v>
      </c>
      <c r="R142" s="50">
        <f t="shared" si="28"/>
        <v>-1.4345945380857095E-2</v>
      </c>
      <c r="S142" s="50">
        <f t="shared" si="29"/>
        <v>-1.90456906629759E-2</v>
      </c>
      <c r="T142" s="50"/>
    </row>
    <row r="143" spans="2:20">
      <c r="B143" s="112">
        <v>43206</v>
      </c>
      <c r="C143" s="42">
        <v>34415.578125</v>
      </c>
      <c r="D143" s="42">
        <v>1414.96228</v>
      </c>
      <c r="E143" s="42">
        <v>8710.1738280000009</v>
      </c>
      <c r="F143" s="42">
        <v>2586.3078609999998</v>
      </c>
      <c r="G143" s="42">
        <v>5732.8754879999997</v>
      </c>
      <c r="H143" s="42">
        <v>725.22314500000005</v>
      </c>
      <c r="I143" s="42">
        <v>306.205872</v>
      </c>
      <c r="J143" s="42">
        <v>540.83935499999995</v>
      </c>
      <c r="L143" s="50">
        <f t="shared" si="22"/>
        <v>6.5198133863257901E-3</v>
      </c>
      <c r="M143" s="50">
        <f t="shared" si="23"/>
        <v>4.0586979714049898E-2</v>
      </c>
      <c r="N143" s="50">
        <f t="shared" si="24"/>
        <v>5.461854049628867E-2</v>
      </c>
      <c r="O143" s="50">
        <f t="shared" si="25"/>
        <v>2.1781903350659881E-2</v>
      </c>
      <c r="P143" s="50">
        <f t="shared" si="26"/>
        <v>-8.1089547874588774E-3</v>
      </c>
      <c r="Q143" s="50">
        <f t="shared" si="27"/>
        <v>4.4454231673832556E-2</v>
      </c>
      <c r="R143" s="50">
        <f t="shared" si="28"/>
        <v>2.6896618008016571E-3</v>
      </c>
      <c r="S143" s="50">
        <f t="shared" si="29"/>
        <v>2.258439239250154E-2</v>
      </c>
      <c r="T143" s="50"/>
    </row>
    <row r="144" spans="2:20">
      <c r="B144" s="112">
        <v>43213</v>
      </c>
      <c r="C144" s="42">
        <v>34969.699219000002</v>
      </c>
      <c r="D144" s="42">
        <v>1420.8907469999999</v>
      </c>
      <c r="E144" s="42">
        <v>8614.8203130000002</v>
      </c>
      <c r="F144" s="42">
        <v>2653.5610350000002</v>
      </c>
      <c r="G144" s="42">
        <v>5796.0244140000004</v>
      </c>
      <c r="H144" s="42">
        <v>722.40521200000001</v>
      </c>
      <c r="I144" s="42">
        <v>310.26413000000002</v>
      </c>
      <c r="J144" s="42">
        <v>526.77002000000005</v>
      </c>
      <c r="L144" s="50">
        <f t="shared" si="22"/>
        <v>1.6100880013910857E-2</v>
      </c>
      <c r="M144" s="50">
        <f t="shared" si="23"/>
        <v>4.1898410182354962E-3</v>
      </c>
      <c r="N144" s="50">
        <f t="shared" si="24"/>
        <v>-1.0947372220457163E-2</v>
      </c>
      <c r="O144" s="50">
        <f t="shared" si="25"/>
        <v>2.600354544566752E-2</v>
      </c>
      <c r="P144" s="50">
        <f t="shared" si="26"/>
        <v>1.1015227198320154E-2</v>
      </c>
      <c r="Q144" s="50">
        <f t="shared" si="27"/>
        <v>-3.8856082013213333E-3</v>
      </c>
      <c r="R144" s="50">
        <f t="shared" si="28"/>
        <v>1.3253364390086064E-2</v>
      </c>
      <c r="S144" s="50">
        <f t="shared" si="29"/>
        <v>-2.6013889096513476E-2</v>
      </c>
      <c r="T144" s="50"/>
    </row>
    <row r="145" spans="2:20">
      <c r="B145" s="112">
        <v>43220</v>
      </c>
      <c r="C145" s="42">
        <v>34915.378905999998</v>
      </c>
      <c r="D145" s="42">
        <v>1411.4918210000001</v>
      </c>
      <c r="E145" s="42">
        <v>8662.0703130000002</v>
      </c>
      <c r="F145" s="42">
        <v>2616.5036620000001</v>
      </c>
      <c r="G145" s="42">
        <v>5685.0927730000003</v>
      </c>
      <c r="H145" s="42">
        <v>717.222351</v>
      </c>
      <c r="I145" s="42">
        <v>306.157532</v>
      </c>
      <c r="J145" s="42">
        <v>494.83102400000001</v>
      </c>
      <c r="L145" s="50">
        <f t="shared" si="22"/>
        <v>-1.5533537380409967E-3</v>
      </c>
      <c r="M145" s="50">
        <f t="shared" si="23"/>
        <v>-6.6148125884022413E-3</v>
      </c>
      <c r="N145" s="50">
        <f t="shared" si="24"/>
        <v>5.4847342467141402E-3</v>
      </c>
      <c r="O145" s="50">
        <f t="shared" si="25"/>
        <v>-1.3965148157973339E-2</v>
      </c>
      <c r="P145" s="50">
        <f t="shared" si="26"/>
        <v>-1.913926392926335E-2</v>
      </c>
      <c r="Q145" s="50">
        <f t="shared" si="27"/>
        <v>-7.1744512828902929E-3</v>
      </c>
      <c r="R145" s="50">
        <f t="shared" si="28"/>
        <v>-1.3235812982957507E-2</v>
      </c>
      <c r="S145" s="50">
        <f t="shared" si="29"/>
        <v>-6.0631764882899009E-2</v>
      </c>
      <c r="T145" s="50"/>
    </row>
    <row r="146" spans="2:20">
      <c r="B146" s="112">
        <v>43227</v>
      </c>
      <c r="C146" s="42">
        <v>35535.789062999997</v>
      </c>
      <c r="D146" s="42">
        <v>1449.9554439999999</v>
      </c>
      <c r="E146" s="42">
        <v>9053.3701170000004</v>
      </c>
      <c r="F146" s="42">
        <v>2661.7927249999998</v>
      </c>
      <c r="G146" s="42">
        <v>5698.1943359999996</v>
      </c>
      <c r="H146" s="42">
        <v>699.08514400000001</v>
      </c>
      <c r="I146" s="42">
        <v>299.49041699999998</v>
      </c>
      <c r="J146" s="42">
        <v>496.53060900000003</v>
      </c>
      <c r="L146" s="50">
        <f t="shared" si="22"/>
        <v>1.776896532242378E-2</v>
      </c>
      <c r="M146" s="50">
        <f t="shared" si="23"/>
        <v>2.725033360288931E-2</v>
      </c>
      <c r="N146" s="50">
        <f t="shared" si="24"/>
        <v>4.5173935313447933E-2</v>
      </c>
      <c r="O146" s="50">
        <f t="shared" si="25"/>
        <v>1.7309000425927756E-2</v>
      </c>
      <c r="P146" s="50">
        <f t="shared" si="26"/>
        <v>2.30454691297588E-3</v>
      </c>
      <c r="Q146" s="50">
        <f t="shared" si="27"/>
        <v>-2.5288122957562442E-2</v>
      </c>
      <c r="R146" s="50">
        <f t="shared" si="28"/>
        <v>-2.1776746619449616E-2</v>
      </c>
      <c r="S146" s="50">
        <f t="shared" si="29"/>
        <v>3.4346775314557654E-3</v>
      </c>
      <c r="T146" s="50"/>
    </row>
    <row r="147" spans="2:20">
      <c r="B147" s="112">
        <v>43234</v>
      </c>
      <c r="C147" s="42">
        <v>34848.300780999998</v>
      </c>
      <c r="D147" s="42">
        <v>1547.9945070000001</v>
      </c>
      <c r="E147" s="42">
        <v>9205.9570309999999</v>
      </c>
      <c r="F147" s="42">
        <v>2719.7839359999998</v>
      </c>
      <c r="G147" s="42">
        <v>5722.3271480000003</v>
      </c>
      <c r="H147" s="42">
        <v>702.71246299999996</v>
      </c>
      <c r="I147" s="42">
        <v>307.46203600000001</v>
      </c>
      <c r="J147" s="42">
        <v>486.73413099999999</v>
      </c>
      <c r="L147" s="50">
        <f t="shared" si="22"/>
        <v>-1.9346363205307693E-2</v>
      </c>
      <c r="M147" s="50">
        <f t="shared" si="23"/>
        <v>6.7615224595825696E-2</v>
      </c>
      <c r="N147" s="50">
        <f t="shared" si="24"/>
        <v>1.685415619024333E-2</v>
      </c>
      <c r="O147" s="50">
        <f t="shared" si="25"/>
        <v>2.1786523967601612E-2</v>
      </c>
      <c r="P147" s="50">
        <f t="shared" si="26"/>
        <v>4.235168296653935E-3</v>
      </c>
      <c r="Q147" s="50">
        <f t="shared" si="27"/>
        <v>5.1886655454373987E-3</v>
      </c>
      <c r="R147" s="50">
        <f t="shared" si="28"/>
        <v>2.6617275704017063E-2</v>
      </c>
      <c r="S147" s="50">
        <f t="shared" si="29"/>
        <v>-1.9729857177848253E-2</v>
      </c>
      <c r="T147" s="50"/>
    </row>
    <row r="148" spans="2:20">
      <c r="B148" s="112">
        <v>43241</v>
      </c>
      <c r="C148" s="42">
        <v>34924.871094000002</v>
      </c>
      <c r="D148" s="42">
        <v>1519.026245</v>
      </c>
      <c r="E148" s="42">
        <v>9318.7802730000003</v>
      </c>
      <c r="F148" s="42">
        <v>2831.7722170000002</v>
      </c>
      <c r="G148" s="42">
        <v>6294.6127930000002</v>
      </c>
      <c r="H148" s="42">
        <v>732.62164299999995</v>
      </c>
      <c r="I148" s="42">
        <v>307.02719100000002</v>
      </c>
      <c r="J148" s="42">
        <v>493.62713600000001</v>
      </c>
      <c r="L148" s="50">
        <f t="shared" si="22"/>
        <v>2.1972466744131225E-3</v>
      </c>
      <c r="M148" s="50">
        <f t="shared" si="23"/>
        <v>-1.8713413948826196E-2</v>
      </c>
      <c r="N148" s="50">
        <f t="shared" si="24"/>
        <v>1.2255460417649244E-2</v>
      </c>
      <c r="O148" s="50">
        <f t="shared" si="25"/>
        <v>4.1175432914977161E-2</v>
      </c>
      <c r="P148" s="50">
        <f t="shared" si="26"/>
        <v>0.1000092497682552</v>
      </c>
      <c r="Q148" s="50">
        <f t="shared" si="27"/>
        <v>4.2562472668141726E-2</v>
      </c>
      <c r="R148" s="50">
        <f t="shared" si="28"/>
        <v>-1.4143046915879864E-3</v>
      </c>
      <c r="S148" s="50">
        <f t="shared" si="29"/>
        <v>1.4161745727258257E-2</v>
      </c>
      <c r="T148" s="50"/>
    </row>
    <row r="149" spans="2:20">
      <c r="B149" s="112">
        <v>43248</v>
      </c>
      <c r="C149" s="42">
        <v>35227.261719000002</v>
      </c>
      <c r="D149" s="42">
        <v>1531.654663</v>
      </c>
      <c r="E149" s="42">
        <v>9475.5322269999997</v>
      </c>
      <c r="F149" s="42">
        <v>2824.4636230000001</v>
      </c>
      <c r="G149" s="42">
        <v>6310.3149409999996</v>
      </c>
      <c r="H149" s="42">
        <v>757.20178199999998</v>
      </c>
      <c r="I149" s="42">
        <v>313.45275900000001</v>
      </c>
      <c r="J149" s="42">
        <v>489.89736900000003</v>
      </c>
      <c r="L149" s="50">
        <f t="shared" si="22"/>
        <v>8.6583175693366599E-3</v>
      </c>
      <c r="M149" s="50">
        <f t="shared" si="23"/>
        <v>8.3134955973060976E-3</v>
      </c>
      <c r="N149" s="50">
        <f t="shared" si="24"/>
        <v>1.6821080592936521E-2</v>
      </c>
      <c r="O149" s="50">
        <f t="shared" si="25"/>
        <v>-2.5809258089772857E-3</v>
      </c>
      <c r="P149" s="50">
        <f t="shared" si="26"/>
        <v>2.494537553995535E-3</v>
      </c>
      <c r="Q149" s="50">
        <f t="shared" si="27"/>
        <v>3.3550932100978148E-2</v>
      </c>
      <c r="R149" s="50">
        <f t="shared" si="28"/>
        <v>2.0928335301741985E-2</v>
      </c>
      <c r="S149" s="50">
        <f t="shared" si="29"/>
        <v>-7.5558386644286601E-3</v>
      </c>
      <c r="T149" s="50"/>
    </row>
    <row r="150" spans="2:20">
      <c r="B150" s="112">
        <v>43255</v>
      </c>
      <c r="C150" s="42">
        <v>35443.671875</v>
      </c>
      <c r="D150" s="42">
        <v>1538.161499</v>
      </c>
      <c r="E150" s="42">
        <v>9466.2460940000001</v>
      </c>
      <c r="F150" s="42">
        <v>2875.5742190000001</v>
      </c>
      <c r="G150" s="42">
        <v>6204.6342770000001</v>
      </c>
      <c r="H150" s="42">
        <v>761.89624000000003</v>
      </c>
      <c r="I150" s="42">
        <v>332.05316199999999</v>
      </c>
      <c r="J150" s="42">
        <v>503.37643400000002</v>
      </c>
      <c r="L150" s="50">
        <f t="shared" si="22"/>
        <v>6.1432579610147808E-3</v>
      </c>
      <c r="M150" s="50">
        <f t="shared" si="23"/>
        <v>4.2482396046477078E-3</v>
      </c>
      <c r="N150" s="50">
        <f t="shared" si="24"/>
        <v>-9.8001175844664168E-4</v>
      </c>
      <c r="O150" s="50">
        <f t="shared" si="25"/>
        <v>1.8095682162021509E-2</v>
      </c>
      <c r="P150" s="50">
        <f t="shared" si="26"/>
        <v>-1.6747288366442792E-2</v>
      </c>
      <c r="Q150" s="50">
        <f t="shared" si="27"/>
        <v>6.1997450502566664E-3</v>
      </c>
      <c r="R150" s="50">
        <f t="shared" si="28"/>
        <v>5.9340370967990053E-2</v>
      </c>
      <c r="S150" s="50">
        <f t="shared" si="29"/>
        <v>2.7514058766051397E-2</v>
      </c>
      <c r="T150" s="50"/>
    </row>
    <row r="151" spans="2:20">
      <c r="B151" s="112">
        <v>43262</v>
      </c>
      <c r="C151" s="42">
        <v>35622.140625</v>
      </c>
      <c r="D151" s="42">
        <v>1562.9366460000001</v>
      </c>
      <c r="E151" s="42">
        <v>9326.1503909999992</v>
      </c>
      <c r="F151" s="42">
        <v>2981.9736330000001</v>
      </c>
      <c r="G151" s="42">
        <v>5958.2543949999999</v>
      </c>
      <c r="H151" s="42">
        <v>758.21319600000004</v>
      </c>
      <c r="I151" s="42">
        <v>327.17358400000001</v>
      </c>
      <c r="J151" s="42">
        <v>518.31909199999996</v>
      </c>
      <c r="L151" s="50">
        <f t="shared" si="22"/>
        <v>5.0352782473952473E-3</v>
      </c>
      <c r="M151" s="50">
        <f t="shared" si="23"/>
        <v>1.6106986825575209E-2</v>
      </c>
      <c r="N151" s="50">
        <f t="shared" si="24"/>
        <v>-1.4799499358969515E-2</v>
      </c>
      <c r="O151" s="50">
        <f t="shared" si="25"/>
        <v>3.7001101657185176E-2</v>
      </c>
      <c r="P151" s="50">
        <f t="shared" si="26"/>
        <v>-3.9709009588737132E-2</v>
      </c>
      <c r="Q151" s="50">
        <f t="shared" si="27"/>
        <v>-4.8340493188415712E-3</v>
      </c>
      <c r="R151" s="50">
        <f t="shared" si="28"/>
        <v>-1.4695171009996177E-2</v>
      </c>
      <c r="S151" s="50">
        <f t="shared" si="29"/>
        <v>2.9684858071842068E-2</v>
      </c>
      <c r="T151" s="50"/>
    </row>
    <row r="152" spans="2:20">
      <c r="B152" s="112">
        <v>43269</v>
      </c>
      <c r="C152" s="42">
        <v>35689.601562999997</v>
      </c>
      <c r="D152" s="42">
        <v>1550.211548</v>
      </c>
      <c r="E152" s="42">
        <v>9449.2070309999999</v>
      </c>
      <c r="F152" s="42">
        <v>2895.8957519999999</v>
      </c>
      <c r="G152" s="42">
        <v>5797.373047</v>
      </c>
      <c r="H152" s="42">
        <v>760.20129399999996</v>
      </c>
      <c r="I152" s="42">
        <v>322.29394500000001</v>
      </c>
      <c r="J152" s="42">
        <v>495.53921500000001</v>
      </c>
      <c r="L152" s="50">
        <f t="shared" si="22"/>
        <v>1.893792366667979E-3</v>
      </c>
      <c r="M152" s="50">
        <f t="shared" si="23"/>
        <v>-8.1417874694840187E-3</v>
      </c>
      <c r="N152" s="50">
        <f t="shared" si="24"/>
        <v>1.3194794726745229E-2</v>
      </c>
      <c r="O152" s="50">
        <f t="shared" si="25"/>
        <v>-2.8866077166953996E-2</v>
      </c>
      <c r="P152" s="50">
        <f t="shared" si="26"/>
        <v>-2.7001423124028867E-2</v>
      </c>
      <c r="Q152" s="50">
        <f t="shared" si="27"/>
        <v>2.6220830902023984E-3</v>
      </c>
      <c r="R152" s="50">
        <f t="shared" si="28"/>
        <v>-1.4914526228987923E-2</v>
      </c>
      <c r="S152" s="50">
        <f t="shared" si="29"/>
        <v>-4.3949523279377734E-2</v>
      </c>
      <c r="T152" s="50"/>
    </row>
    <row r="153" spans="2:20">
      <c r="B153" s="112">
        <v>43276</v>
      </c>
      <c r="C153" s="42">
        <v>35423.480469000002</v>
      </c>
      <c r="D153" s="42">
        <v>1594.009033</v>
      </c>
      <c r="E153" s="42">
        <v>9390.8623050000006</v>
      </c>
      <c r="F153" s="42">
        <v>3019.468018</v>
      </c>
      <c r="G153" s="42">
        <v>6266.4819340000004</v>
      </c>
      <c r="H153" s="42">
        <v>799.15808100000004</v>
      </c>
      <c r="I153" s="42">
        <v>320.458099</v>
      </c>
      <c r="J153" s="42">
        <v>506.25173999999998</v>
      </c>
      <c r="L153" s="50">
        <f t="shared" si="22"/>
        <v>-7.4565442690703865E-3</v>
      </c>
      <c r="M153" s="50">
        <f t="shared" si="23"/>
        <v>2.8252585949643638E-2</v>
      </c>
      <c r="N153" s="50">
        <f t="shared" si="24"/>
        <v>-6.1745631997042194E-3</v>
      </c>
      <c r="O153" s="50">
        <f t="shared" si="25"/>
        <v>4.267151741034092E-2</v>
      </c>
      <c r="P153" s="50">
        <f t="shared" si="26"/>
        <v>8.0917491973843791E-2</v>
      </c>
      <c r="Q153" s="50">
        <f t="shared" si="27"/>
        <v>5.124535739082825E-2</v>
      </c>
      <c r="R153" s="50">
        <f t="shared" si="28"/>
        <v>-5.6961852013694969E-3</v>
      </c>
      <c r="S153" s="50">
        <f t="shared" si="29"/>
        <v>2.1617915748605165E-2</v>
      </c>
      <c r="T153" s="50"/>
    </row>
    <row r="154" spans="2:20">
      <c r="B154" s="112">
        <v>43283</v>
      </c>
      <c r="C154" s="42">
        <v>35657.859375</v>
      </c>
      <c r="D154" s="42">
        <v>1630.0920410000001</v>
      </c>
      <c r="E154" s="42">
        <v>9518.1289059999999</v>
      </c>
      <c r="F154" s="42">
        <v>3066.1857909999999</v>
      </c>
      <c r="G154" s="42">
        <v>6157.9116210000002</v>
      </c>
      <c r="H154" s="42">
        <v>815.00183100000004</v>
      </c>
      <c r="I154" s="42">
        <v>335.43502799999999</v>
      </c>
      <c r="J154" s="42">
        <v>509.64807100000002</v>
      </c>
      <c r="L154" s="50">
        <f t="shared" si="22"/>
        <v>6.6164844023475222E-3</v>
      </c>
      <c r="M154" s="50">
        <f t="shared" si="23"/>
        <v>2.2636639600523534E-2</v>
      </c>
      <c r="N154" s="50">
        <f t="shared" si="24"/>
        <v>1.3552174109957793E-2</v>
      </c>
      <c r="O154" s="50">
        <f t="shared" si="25"/>
        <v>1.5472186730079773E-2</v>
      </c>
      <c r="P154" s="50">
        <f t="shared" si="26"/>
        <v>-1.7325560680376495E-2</v>
      </c>
      <c r="Q154" s="50">
        <f t="shared" si="27"/>
        <v>1.9825551886022863E-2</v>
      </c>
      <c r="R154" s="50">
        <f t="shared" si="28"/>
        <v>4.673599776924342E-2</v>
      </c>
      <c r="S154" s="50">
        <f t="shared" si="29"/>
        <v>6.7087789169870682E-3</v>
      </c>
      <c r="T154" s="50"/>
    </row>
    <row r="155" spans="2:20">
      <c r="B155" s="112">
        <v>43290</v>
      </c>
      <c r="C155" s="42">
        <v>36541.628905999998</v>
      </c>
      <c r="D155" s="42">
        <v>1692.5935059999999</v>
      </c>
      <c r="E155" s="42">
        <v>9708.578125</v>
      </c>
      <c r="F155" s="42">
        <v>3146.4616700000001</v>
      </c>
      <c r="G155" s="42">
        <v>5982.3388670000004</v>
      </c>
      <c r="H155" s="42">
        <v>853.89398200000005</v>
      </c>
      <c r="I155" s="42">
        <v>342.92349200000001</v>
      </c>
      <c r="J155" s="42">
        <v>507.68685900000003</v>
      </c>
      <c r="L155" s="50">
        <f t="shared" si="22"/>
        <v>2.478470515309783E-2</v>
      </c>
      <c r="M155" s="50">
        <f t="shared" si="23"/>
        <v>3.8342291985952848E-2</v>
      </c>
      <c r="N155" s="50">
        <f t="shared" si="24"/>
        <v>2.0009102721853855E-2</v>
      </c>
      <c r="O155" s="50">
        <f t="shared" si="25"/>
        <v>2.6181022440202151E-2</v>
      </c>
      <c r="P155" s="50">
        <f t="shared" si="26"/>
        <v>-2.8511736576610325E-2</v>
      </c>
      <c r="Q155" s="50">
        <f t="shared" si="27"/>
        <v>4.7720323465138437E-2</v>
      </c>
      <c r="R155" s="50">
        <f t="shared" si="28"/>
        <v>2.2324633311700648E-2</v>
      </c>
      <c r="S155" s="50">
        <f t="shared" si="29"/>
        <v>-3.8481691810425822E-3</v>
      </c>
      <c r="T155" s="50"/>
    </row>
    <row r="156" spans="2:20">
      <c r="B156" s="112">
        <v>43297</v>
      </c>
      <c r="C156" s="42">
        <v>36496.371094000002</v>
      </c>
      <c r="D156" s="42">
        <v>1608.286865</v>
      </c>
      <c r="E156" s="42">
        <v>9905.9667969999991</v>
      </c>
      <c r="F156" s="42">
        <v>3089.6271969999998</v>
      </c>
      <c r="G156" s="42">
        <v>6268.1196289999998</v>
      </c>
      <c r="H156" s="42">
        <v>839.15850799999998</v>
      </c>
      <c r="I156" s="42">
        <v>339.49331699999999</v>
      </c>
      <c r="J156" s="42">
        <v>534.85772699999995</v>
      </c>
      <c r="L156" s="50">
        <f t="shared" si="22"/>
        <v>-1.2385274919303191E-3</v>
      </c>
      <c r="M156" s="50">
        <f t="shared" si="23"/>
        <v>-4.9809148328375907E-2</v>
      </c>
      <c r="N156" s="50">
        <f t="shared" si="24"/>
        <v>2.0331367730534566E-2</v>
      </c>
      <c r="O156" s="50">
        <f t="shared" si="25"/>
        <v>-1.8062979613541641E-2</v>
      </c>
      <c r="P156" s="50">
        <f t="shared" si="26"/>
        <v>4.7770741235745318E-2</v>
      </c>
      <c r="Q156" s="50">
        <f t="shared" si="27"/>
        <v>-1.7256795703708416E-2</v>
      </c>
      <c r="R156" s="50">
        <f t="shared" si="28"/>
        <v>-1.000274136949475E-2</v>
      </c>
      <c r="S156" s="50">
        <f t="shared" si="29"/>
        <v>5.3518950743611571E-2</v>
      </c>
      <c r="T156" s="50"/>
    </row>
    <row r="157" spans="2:20">
      <c r="B157" s="112">
        <v>43304</v>
      </c>
      <c r="C157" s="42">
        <v>37336.851562999997</v>
      </c>
      <c r="D157" s="42">
        <v>1611.346436</v>
      </c>
      <c r="E157" s="42">
        <v>9844.7011719999991</v>
      </c>
      <c r="F157" s="42">
        <v>3102.7768550000001</v>
      </c>
      <c r="G157" s="42">
        <v>6216.580078</v>
      </c>
      <c r="H157" s="42">
        <v>853.07934599999999</v>
      </c>
      <c r="I157" s="42">
        <v>348.96258499999999</v>
      </c>
      <c r="J157" s="42">
        <v>542.12890600000003</v>
      </c>
      <c r="L157" s="50">
        <f t="shared" si="22"/>
        <v>2.3029151770603606E-2</v>
      </c>
      <c r="M157" s="50">
        <f t="shared" si="23"/>
        <v>1.9023789017886816E-3</v>
      </c>
      <c r="N157" s="50">
        <f t="shared" si="24"/>
        <v>-6.1847193974599035E-3</v>
      </c>
      <c r="O157" s="50">
        <f t="shared" si="25"/>
        <v>4.2560662376252001E-3</v>
      </c>
      <c r="P157" s="50">
        <f t="shared" si="26"/>
        <v>-8.2224900050642535E-3</v>
      </c>
      <c r="Q157" s="50">
        <f t="shared" si="27"/>
        <v>1.6589044700479949E-2</v>
      </c>
      <c r="R157" s="50">
        <f t="shared" si="28"/>
        <v>2.7892354652742757E-2</v>
      </c>
      <c r="S157" s="50">
        <f t="shared" si="29"/>
        <v>1.3594604009525835E-2</v>
      </c>
      <c r="T157" s="50"/>
    </row>
    <row r="158" spans="2:20">
      <c r="B158" s="112">
        <v>43311</v>
      </c>
      <c r="C158" s="42">
        <v>37556.160155999998</v>
      </c>
      <c r="D158" s="42">
        <v>1712.359009</v>
      </c>
      <c r="E158" s="42">
        <v>9883.375</v>
      </c>
      <c r="F158" s="42">
        <v>3118.508057</v>
      </c>
      <c r="G158" s="42">
        <v>6544.6528319999998</v>
      </c>
      <c r="H158" s="42">
        <v>866.96698000000004</v>
      </c>
      <c r="I158" s="42">
        <v>340.60449199999999</v>
      </c>
      <c r="J158" s="42">
        <v>543.94665499999996</v>
      </c>
      <c r="L158" s="50">
        <f t="shared" si="22"/>
        <v>5.8737837771338786E-3</v>
      </c>
      <c r="M158" s="50">
        <f t="shared" si="23"/>
        <v>6.2688302616508151E-2</v>
      </c>
      <c r="N158" s="50">
        <f t="shared" si="24"/>
        <v>3.9283902400202297E-3</v>
      </c>
      <c r="O158" s="50">
        <f t="shared" si="25"/>
        <v>5.0700397531486807E-3</v>
      </c>
      <c r="P158" s="50">
        <f t="shared" si="26"/>
        <v>5.2773832217013261E-2</v>
      </c>
      <c r="Q158" s="50">
        <f t="shared" si="27"/>
        <v>1.6279416522176682E-2</v>
      </c>
      <c r="R158" s="50">
        <f t="shared" si="28"/>
        <v>-2.3951258270281328E-2</v>
      </c>
      <c r="S158" s="50">
        <f t="shared" si="29"/>
        <v>3.3529829896212782E-3</v>
      </c>
      <c r="T158" s="50"/>
    </row>
    <row r="159" spans="2:20">
      <c r="B159" s="112">
        <v>43318</v>
      </c>
      <c r="C159" s="42">
        <v>37869.230469000002</v>
      </c>
      <c r="D159" s="42">
        <v>1702.3548579999999</v>
      </c>
      <c r="E159" s="42">
        <v>10229.331055000001</v>
      </c>
      <c r="F159" s="42">
        <v>3119.0578609999998</v>
      </c>
      <c r="G159" s="42">
        <v>6639.4409180000002</v>
      </c>
      <c r="H159" s="42">
        <v>843.95068400000002</v>
      </c>
      <c r="I159" s="42">
        <v>352.68264799999997</v>
      </c>
      <c r="J159" s="42">
        <v>553.60968000000003</v>
      </c>
      <c r="L159" s="50">
        <f t="shared" si="22"/>
        <v>8.3360575655120339E-3</v>
      </c>
      <c r="M159" s="50">
        <f t="shared" si="23"/>
        <v>-5.8423210012732429E-3</v>
      </c>
      <c r="N159" s="50">
        <f t="shared" si="24"/>
        <v>3.5003837757850986E-2</v>
      </c>
      <c r="O159" s="50">
        <f t="shared" si="25"/>
        <v>1.7630353680364586E-4</v>
      </c>
      <c r="P159" s="50">
        <f t="shared" si="26"/>
        <v>1.448328710982727E-2</v>
      </c>
      <c r="Q159" s="50">
        <f t="shared" si="27"/>
        <v>-2.6548065302325563E-2</v>
      </c>
      <c r="R159" s="50">
        <f t="shared" si="28"/>
        <v>3.5460941601439533E-2</v>
      </c>
      <c r="S159" s="50">
        <f t="shared" si="29"/>
        <v>1.7764655616827163E-2</v>
      </c>
      <c r="T159" s="50"/>
    </row>
    <row r="160" spans="2:20">
      <c r="B160" s="112">
        <v>43325</v>
      </c>
      <c r="C160" s="42">
        <v>37947.878905999998</v>
      </c>
      <c r="D160" s="42">
        <v>1733.4842530000001</v>
      </c>
      <c r="E160" s="42">
        <v>10427.502930000001</v>
      </c>
      <c r="F160" s="42">
        <v>3259.7451169999999</v>
      </c>
      <c r="G160" s="42">
        <v>6597.8325199999999</v>
      </c>
      <c r="H160" s="42">
        <v>878.81787099999997</v>
      </c>
      <c r="I160" s="42">
        <v>358.62512199999998</v>
      </c>
      <c r="J160" s="42">
        <v>549.44793700000002</v>
      </c>
      <c r="L160" s="50">
        <f t="shared" si="22"/>
        <v>2.076842756664421E-3</v>
      </c>
      <c r="M160" s="50">
        <f t="shared" si="23"/>
        <v>1.8286078753622759E-2</v>
      </c>
      <c r="N160" s="50">
        <f t="shared" si="24"/>
        <v>1.9372906589344874E-2</v>
      </c>
      <c r="O160" s="50">
        <f t="shared" si="25"/>
        <v>4.5105689688903272E-2</v>
      </c>
      <c r="P160" s="50">
        <f t="shared" si="26"/>
        <v>-6.2668526633314903E-3</v>
      </c>
      <c r="Q160" s="50">
        <f t="shared" si="27"/>
        <v>4.131424698270636E-2</v>
      </c>
      <c r="R160" s="50">
        <f t="shared" si="28"/>
        <v>1.6849351771907939E-2</v>
      </c>
      <c r="S160" s="50">
        <f t="shared" si="29"/>
        <v>-7.517467902656616E-3</v>
      </c>
      <c r="T160" s="50"/>
    </row>
    <row r="161" spans="2:20">
      <c r="B161" s="112">
        <v>43332</v>
      </c>
      <c r="C161" s="42">
        <v>38251.800780999998</v>
      </c>
      <c r="D161" s="42">
        <v>1729.793457</v>
      </c>
      <c r="E161" s="42">
        <v>10897.137694999999</v>
      </c>
      <c r="F161" s="42">
        <v>3330.3298340000001</v>
      </c>
      <c r="G161" s="42">
        <v>7410.779297</v>
      </c>
      <c r="H161" s="42">
        <v>911.56579599999998</v>
      </c>
      <c r="I161" s="42">
        <v>365.92034899999999</v>
      </c>
      <c r="J161" s="42">
        <v>535.479736</v>
      </c>
      <c r="L161" s="50">
        <f t="shared" si="22"/>
        <v>8.0089291881857427E-3</v>
      </c>
      <c r="M161" s="50">
        <f t="shared" si="23"/>
        <v>-2.1291200041838598E-3</v>
      </c>
      <c r="N161" s="50">
        <f t="shared" si="24"/>
        <v>4.503808516311758E-2</v>
      </c>
      <c r="O161" s="50">
        <f t="shared" si="25"/>
        <v>2.1653446655044206E-2</v>
      </c>
      <c r="P161" s="50">
        <f t="shared" si="26"/>
        <v>0.12321421838698021</v>
      </c>
      <c r="Q161" s="50">
        <f t="shared" si="27"/>
        <v>3.7263608400152748E-2</v>
      </c>
      <c r="R161" s="50">
        <f t="shared" si="28"/>
        <v>2.0342208485885083E-2</v>
      </c>
      <c r="S161" s="50">
        <f t="shared" si="29"/>
        <v>-2.5422246694139505E-2</v>
      </c>
      <c r="T161" s="50"/>
    </row>
    <row r="162" spans="2:20">
      <c r="B162" s="112">
        <v>43339</v>
      </c>
      <c r="C162" s="42">
        <v>38645.070312999997</v>
      </c>
      <c r="D162" s="42">
        <v>1728.9678960000001</v>
      </c>
      <c r="E162" s="42">
        <v>11107.644531</v>
      </c>
      <c r="F162" s="42">
        <v>3312.2854000000002</v>
      </c>
      <c r="G162" s="42">
        <v>7597.4760740000002</v>
      </c>
      <c r="H162" s="42">
        <v>948.23040800000001</v>
      </c>
      <c r="I162" s="42">
        <v>356.98251299999998</v>
      </c>
      <c r="J162" s="42">
        <v>540.21557600000006</v>
      </c>
      <c r="L162" s="50">
        <f t="shared" si="22"/>
        <v>1.0281072367064548E-2</v>
      </c>
      <c r="M162" s="50">
        <f t="shared" si="23"/>
        <v>-4.7725986976021595E-4</v>
      </c>
      <c r="N162" s="50">
        <f t="shared" si="24"/>
        <v>1.9317626508159824E-2</v>
      </c>
      <c r="O162" s="50">
        <f t="shared" si="25"/>
        <v>-5.4182122790904508E-3</v>
      </c>
      <c r="P162" s="50">
        <f t="shared" si="26"/>
        <v>2.5192597096445501E-2</v>
      </c>
      <c r="Q162" s="50">
        <f t="shared" si="27"/>
        <v>4.0221574965719764E-2</v>
      </c>
      <c r="R162" s="50">
        <f t="shared" si="28"/>
        <v>-2.4425632584866186E-2</v>
      </c>
      <c r="S162" s="50">
        <f t="shared" si="29"/>
        <v>8.8441068477707052E-3</v>
      </c>
      <c r="T162" s="50"/>
    </row>
    <row r="163" spans="2:20">
      <c r="B163" s="112">
        <v>43346</v>
      </c>
      <c r="C163" s="42">
        <v>38389.820312999997</v>
      </c>
      <c r="D163" s="42">
        <v>1591.6779790000001</v>
      </c>
      <c r="E163" s="42">
        <v>10018.477539</v>
      </c>
      <c r="F163" s="42">
        <v>3062.6826169999999</v>
      </c>
      <c r="G163" s="42">
        <v>7123.314453</v>
      </c>
      <c r="H163" s="42">
        <v>875.78149399999995</v>
      </c>
      <c r="I163" s="42">
        <v>345.38748199999998</v>
      </c>
      <c r="J163" s="42">
        <v>532.22680700000001</v>
      </c>
      <c r="L163" s="50">
        <f t="shared" si="22"/>
        <v>-6.6049821602766068E-3</v>
      </c>
      <c r="M163" s="50">
        <f t="shared" si="23"/>
        <v>-7.9405706327817183E-2</v>
      </c>
      <c r="N163" s="50">
        <f t="shared" si="24"/>
        <v>-9.8055621870170251E-2</v>
      </c>
      <c r="O163" s="50">
        <f t="shared" si="25"/>
        <v>-7.5356665521636557E-2</v>
      </c>
      <c r="P163" s="50">
        <f t="shared" si="26"/>
        <v>-6.241041319270102E-2</v>
      </c>
      <c r="Q163" s="50">
        <f t="shared" si="27"/>
        <v>-7.640433526362933E-2</v>
      </c>
      <c r="R163" s="50">
        <f t="shared" si="28"/>
        <v>-3.2480669438281429E-2</v>
      </c>
      <c r="S163" s="50">
        <f t="shared" si="29"/>
        <v>-1.4788113032860872E-2</v>
      </c>
      <c r="T163" s="50"/>
    </row>
    <row r="164" spans="2:20">
      <c r="B164" s="112">
        <v>43353</v>
      </c>
      <c r="C164" s="42">
        <v>38090.640625</v>
      </c>
      <c r="D164" s="42">
        <v>1582.4995120000001</v>
      </c>
      <c r="E164" s="42">
        <v>9912.0263670000004</v>
      </c>
      <c r="F164" s="42">
        <v>3005.2548830000001</v>
      </c>
      <c r="G164" s="42">
        <v>7443.3168949999999</v>
      </c>
      <c r="H164" s="42">
        <v>846.60986300000002</v>
      </c>
      <c r="I164" s="42">
        <v>334.71035799999999</v>
      </c>
      <c r="J164" s="42">
        <v>531.65277100000003</v>
      </c>
      <c r="L164" s="50">
        <f t="shared" si="22"/>
        <v>-7.7932036555712347E-3</v>
      </c>
      <c r="M164" s="50">
        <f t="shared" si="23"/>
        <v>-5.7665351415909782E-3</v>
      </c>
      <c r="N164" s="50">
        <f t="shared" si="24"/>
        <v>-1.0625483920646106E-2</v>
      </c>
      <c r="O164" s="50">
        <f t="shared" si="25"/>
        <v>-1.875079503218402E-2</v>
      </c>
      <c r="P164" s="50">
        <f t="shared" si="26"/>
        <v>4.4923250842201723E-2</v>
      </c>
      <c r="Q164" s="50">
        <f t="shared" si="27"/>
        <v>-3.3309257160439532E-2</v>
      </c>
      <c r="R164" s="50">
        <f t="shared" si="28"/>
        <v>-3.0913465474119328E-2</v>
      </c>
      <c r="S164" s="50">
        <f t="shared" si="29"/>
        <v>-1.0785552182830394E-3</v>
      </c>
      <c r="T164" s="50"/>
    </row>
    <row r="165" spans="2:20">
      <c r="B165" s="112">
        <v>43360</v>
      </c>
      <c r="C165" s="42">
        <v>36841.601562999997</v>
      </c>
      <c r="D165" s="42">
        <v>1574.72937</v>
      </c>
      <c r="E165" s="42">
        <v>9350.1298829999996</v>
      </c>
      <c r="F165" s="42">
        <v>2847.1623540000001</v>
      </c>
      <c r="G165" s="42">
        <v>7598.9052730000003</v>
      </c>
      <c r="H165" s="42">
        <v>802.63147000000004</v>
      </c>
      <c r="I165" s="42">
        <v>326.40054300000003</v>
      </c>
      <c r="J165" s="42">
        <v>483.19457999999997</v>
      </c>
      <c r="L165" s="50">
        <f t="shared" si="22"/>
        <v>-3.2791232741310794E-2</v>
      </c>
      <c r="M165" s="50">
        <f t="shared" si="23"/>
        <v>-4.9100438521968437E-3</v>
      </c>
      <c r="N165" s="50">
        <f t="shared" si="24"/>
        <v>-5.668835646671766E-2</v>
      </c>
      <c r="O165" s="50">
        <f t="shared" si="25"/>
        <v>-5.2605364654522702E-2</v>
      </c>
      <c r="P165" s="50">
        <f t="shared" si="26"/>
        <v>2.0903097395264192E-2</v>
      </c>
      <c r="Q165" s="50">
        <f t="shared" si="27"/>
        <v>-5.1946468995955897E-2</v>
      </c>
      <c r="R165" s="50">
        <f t="shared" si="28"/>
        <v>-2.4826883307865755E-2</v>
      </c>
      <c r="S165" s="50">
        <f t="shared" si="29"/>
        <v>-9.1146315120024135E-2</v>
      </c>
      <c r="T165" s="50"/>
    </row>
    <row r="166" spans="2:20">
      <c r="B166" s="112">
        <v>43367</v>
      </c>
      <c r="C166" s="42">
        <v>36227.140625</v>
      </c>
      <c r="D166" s="42">
        <v>1562.1999510000001</v>
      </c>
      <c r="E166" s="42">
        <v>9302.2285159999992</v>
      </c>
      <c r="F166" s="42">
        <v>2863.26001</v>
      </c>
      <c r="G166" s="42">
        <v>7152.0561520000001</v>
      </c>
      <c r="H166" s="42">
        <v>752.87408400000004</v>
      </c>
      <c r="I166" s="42">
        <v>321.81085200000001</v>
      </c>
      <c r="J166" s="42">
        <v>473.05328400000002</v>
      </c>
      <c r="L166" s="50">
        <f t="shared" si="22"/>
        <v>-1.6678453485504785E-2</v>
      </c>
      <c r="M166" s="50">
        <f t="shared" si="23"/>
        <v>-7.9565538299447569E-3</v>
      </c>
      <c r="N166" s="50">
        <f t="shared" si="24"/>
        <v>-5.1230696898759698E-3</v>
      </c>
      <c r="O166" s="50">
        <f t="shared" si="25"/>
        <v>5.6539297723519066E-3</v>
      </c>
      <c r="P166" s="50">
        <f t="shared" si="26"/>
        <v>-5.8804407338478026E-2</v>
      </c>
      <c r="Q166" s="50">
        <f t="shared" si="27"/>
        <v>-6.1992817201647954E-2</v>
      </c>
      <c r="R166" s="50">
        <f t="shared" si="28"/>
        <v>-1.4061529916021054E-2</v>
      </c>
      <c r="S166" s="50">
        <f t="shared" si="29"/>
        <v>-2.0988016877175997E-2</v>
      </c>
      <c r="T166" s="50"/>
    </row>
    <row r="167" spans="2:20">
      <c r="B167" s="112">
        <v>43374</v>
      </c>
      <c r="C167" s="42">
        <v>34376.988280999998</v>
      </c>
      <c r="D167" s="42">
        <v>1513.7817379999999</v>
      </c>
      <c r="E167" s="42">
        <v>9032.9814449999994</v>
      </c>
      <c r="F167" s="42">
        <v>2678.4892580000001</v>
      </c>
      <c r="G167" s="42">
        <v>6464.8720700000003</v>
      </c>
      <c r="H167" s="42">
        <v>686.80841099999998</v>
      </c>
      <c r="I167" s="42">
        <v>297.219696</v>
      </c>
      <c r="J167" s="42">
        <v>427.51315299999999</v>
      </c>
      <c r="L167" s="50">
        <f t="shared" si="22"/>
        <v>-5.1070890831589111E-2</v>
      </c>
      <c r="M167" s="50">
        <f t="shared" si="23"/>
        <v>-3.0993608064708078E-2</v>
      </c>
      <c r="N167" s="50">
        <f t="shared" si="24"/>
        <v>-2.8944362153315195E-2</v>
      </c>
      <c r="O167" s="50">
        <f t="shared" si="25"/>
        <v>-6.4531600816790657E-2</v>
      </c>
      <c r="P167" s="50">
        <f t="shared" si="26"/>
        <v>-9.6082031152375014E-2</v>
      </c>
      <c r="Q167" s="50">
        <f t="shared" si="27"/>
        <v>-8.7751291223885475E-2</v>
      </c>
      <c r="R167" s="50">
        <f t="shared" si="28"/>
        <v>-7.6414937057498689E-2</v>
      </c>
      <c r="S167" s="50">
        <f t="shared" si="29"/>
        <v>-9.62685019643581E-2</v>
      </c>
      <c r="T167" s="50"/>
    </row>
    <row r="168" spans="2:20">
      <c r="B168" s="112">
        <v>43381</v>
      </c>
      <c r="C168" s="42">
        <v>34733.578125</v>
      </c>
      <c r="D168" s="42">
        <v>1524.5141599999999</v>
      </c>
      <c r="E168" s="42">
        <v>9302.4189449999994</v>
      </c>
      <c r="F168" s="42">
        <v>2830.8093260000001</v>
      </c>
      <c r="G168" s="42">
        <v>6884.064453</v>
      </c>
      <c r="H168" s="42">
        <v>701.64739999999995</v>
      </c>
      <c r="I168" s="42">
        <v>304.32165500000002</v>
      </c>
      <c r="J168" s="42">
        <v>424.59509300000002</v>
      </c>
      <c r="L168" s="50">
        <f t="shared" si="22"/>
        <v>1.0372922755338854E-2</v>
      </c>
      <c r="M168" s="50">
        <f t="shared" si="23"/>
        <v>7.0898080816985676E-3</v>
      </c>
      <c r="N168" s="50">
        <f t="shared" si="24"/>
        <v>2.9828191460433251E-2</v>
      </c>
      <c r="O168" s="50">
        <f t="shared" si="25"/>
        <v>5.6867903257426411E-2</v>
      </c>
      <c r="P168" s="50">
        <f t="shared" si="26"/>
        <v>6.4841558883314443E-2</v>
      </c>
      <c r="Q168" s="50">
        <f t="shared" si="27"/>
        <v>2.1605718221176407E-2</v>
      </c>
      <c r="R168" s="50">
        <f t="shared" si="28"/>
        <v>2.3894644586407221E-2</v>
      </c>
      <c r="S168" s="50">
        <f t="shared" si="29"/>
        <v>-6.825661338190403E-3</v>
      </c>
      <c r="T168" s="50"/>
    </row>
    <row r="169" spans="2:20">
      <c r="B169" s="112">
        <v>43388</v>
      </c>
      <c r="C169" s="42">
        <v>34315.628905999998</v>
      </c>
      <c r="D169" s="42">
        <v>1533.0616460000001</v>
      </c>
      <c r="E169" s="42">
        <v>9215.3398440000001</v>
      </c>
      <c r="F169" s="42">
        <v>2735.4248050000001</v>
      </c>
      <c r="G169" s="42">
        <v>6964.9155270000001</v>
      </c>
      <c r="H169" s="42">
        <v>727.60351600000001</v>
      </c>
      <c r="I169" s="42">
        <v>299.53869600000002</v>
      </c>
      <c r="J169" s="42">
        <v>413.68841600000002</v>
      </c>
      <c r="L169" s="50">
        <f t="shared" si="22"/>
        <v>-1.2033002113858715E-2</v>
      </c>
      <c r="M169" s="50">
        <f t="shared" si="23"/>
        <v>5.6066950535902382E-3</v>
      </c>
      <c r="N169" s="50">
        <f t="shared" si="24"/>
        <v>-9.3609094059136089E-3</v>
      </c>
      <c r="O169" s="50">
        <f t="shared" si="25"/>
        <v>-3.3695141570972753E-2</v>
      </c>
      <c r="P169" s="50">
        <f t="shared" si="26"/>
        <v>1.1744671269712681E-2</v>
      </c>
      <c r="Q169" s="50">
        <f t="shared" si="27"/>
        <v>3.6993105083835687E-2</v>
      </c>
      <c r="R169" s="50">
        <f t="shared" si="28"/>
        <v>-1.5716788212130406E-2</v>
      </c>
      <c r="S169" s="50">
        <f t="shared" si="29"/>
        <v>-2.568724222161467E-2</v>
      </c>
      <c r="T169" s="50"/>
    </row>
    <row r="170" spans="2:20">
      <c r="B170" s="112">
        <v>43395</v>
      </c>
      <c r="C170" s="42">
        <v>33349.308594000002</v>
      </c>
      <c r="D170" s="42">
        <v>1513.490356</v>
      </c>
      <c r="E170" s="42">
        <v>9177.3623050000006</v>
      </c>
      <c r="F170" s="42">
        <v>2615.9479980000001</v>
      </c>
      <c r="G170" s="42">
        <v>6757.5131840000004</v>
      </c>
      <c r="H170" s="42">
        <v>699.19879200000003</v>
      </c>
      <c r="I170" s="42">
        <v>290.21438599999999</v>
      </c>
      <c r="J170" s="42">
        <v>379.10275300000001</v>
      </c>
      <c r="L170" s="50">
        <f t="shared" si="22"/>
        <v>-2.8159772756810475E-2</v>
      </c>
      <c r="M170" s="50">
        <f t="shared" si="23"/>
        <v>-1.276614678285426E-2</v>
      </c>
      <c r="N170" s="50">
        <f t="shared" si="24"/>
        <v>-4.1211219165971924E-3</v>
      </c>
      <c r="O170" s="50">
        <f t="shared" si="25"/>
        <v>-4.3677606045544382E-2</v>
      </c>
      <c r="P170" s="50">
        <f t="shared" si="26"/>
        <v>-2.9778156274256284E-2</v>
      </c>
      <c r="Q170" s="50">
        <f t="shared" si="27"/>
        <v>-3.9038739334514183E-2</v>
      </c>
      <c r="R170" s="50">
        <f t="shared" si="28"/>
        <v>-3.1128899619700667E-2</v>
      </c>
      <c r="S170" s="50">
        <f t="shared" si="29"/>
        <v>-8.3603170072811483E-2</v>
      </c>
      <c r="T170" s="50"/>
    </row>
    <row r="171" spans="2:20">
      <c r="B171" s="112">
        <v>43402</v>
      </c>
      <c r="C171" s="42">
        <v>35011.648437999997</v>
      </c>
      <c r="D171" s="42">
        <v>1600.4688719999999</v>
      </c>
      <c r="E171" s="42">
        <v>9810.5595699999994</v>
      </c>
      <c r="F171" s="42">
        <v>2753.8625489999999</v>
      </c>
      <c r="G171" s="42">
        <v>7019.2436520000001</v>
      </c>
      <c r="H171" s="42">
        <v>699.78643799999998</v>
      </c>
      <c r="I171" s="42">
        <v>326.64209</v>
      </c>
      <c r="J171" s="42">
        <v>403.49929800000001</v>
      </c>
      <c r="L171" s="50">
        <f t="shared" si="22"/>
        <v>4.9846306088008996E-2</v>
      </c>
      <c r="M171" s="50">
        <f t="shared" si="23"/>
        <v>5.7468827373221787E-2</v>
      </c>
      <c r="N171" s="50">
        <f t="shared" si="24"/>
        <v>6.899556146486896E-2</v>
      </c>
      <c r="O171" s="50">
        <f t="shared" si="25"/>
        <v>5.2720677592001497E-2</v>
      </c>
      <c r="P171" s="50">
        <f t="shared" si="26"/>
        <v>3.8731773194273345E-2</v>
      </c>
      <c r="Q171" s="50">
        <f t="shared" si="27"/>
        <v>8.4045625753881303E-4</v>
      </c>
      <c r="R171" s="50">
        <f t="shared" si="28"/>
        <v>0.12551998025349431</v>
      </c>
      <c r="S171" s="50">
        <f t="shared" si="29"/>
        <v>6.4353383896423422E-2</v>
      </c>
      <c r="T171" s="50"/>
    </row>
    <row r="172" spans="2:20">
      <c r="B172" s="112">
        <v>43409</v>
      </c>
      <c r="C172" s="42">
        <v>35158.550780999998</v>
      </c>
      <c r="D172" s="42">
        <v>1633.827393</v>
      </c>
      <c r="E172" s="42">
        <v>9807.0136719999991</v>
      </c>
      <c r="F172" s="42">
        <v>2825.3813479999999</v>
      </c>
      <c r="G172" s="42">
        <v>7044.7314450000003</v>
      </c>
      <c r="H172" s="42">
        <v>680.58868399999994</v>
      </c>
      <c r="I172" s="42">
        <v>328.96112099999999</v>
      </c>
      <c r="J172" s="42">
        <v>401.059662</v>
      </c>
      <c r="L172" s="50">
        <f t="shared" si="22"/>
        <v>4.1958133807993292E-3</v>
      </c>
      <c r="M172" s="50">
        <f t="shared" si="23"/>
        <v>2.0842967697531245E-2</v>
      </c>
      <c r="N172" s="50">
        <f t="shared" si="24"/>
        <v>-3.6143687571532634E-4</v>
      </c>
      <c r="O172" s="50">
        <f t="shared" si="25"/>
        <v>2.5970358987586373E-2</v>
      </c>
      <c r="P172" s="50">
        <f t="shared" si="26"/>
        <v>3.6311309684680104E-3</v>
      </c>
      <c r="Q172" s="50">
        <f t="shared" si="27"/>
        <v>-2.7433732575423253E-2</v>
      </c>
      <c r="R172" s="50">
        <f t="shared" si="28"/>
        <v>7.0996086266776892E-3</v>
      </c>
      <c r="S172" s="50">
        <f t="shared" si="29"/>
        <v>-6.0461963926391471E-3</v>
      </c>
      <c r="T172" s="50"/>
    </row>
    <row r="173" spans="2:20">
      <c r="B173" s="112">
        <v>43416</v>
      </c>
      <c r="C173" s="42">
        <v>35457.160155999998</v>
      </c>
      <c r="D173" s="42">
        <v>1649.9448239999999</v>
      </c>
      <c r="E173" s="42">
        <v>10249.314453000001</v>
      </c>
      <c r="F173" s="42">
        <v>2924.2963869999999</v>
      </c>
      <c r="G173" s="42">
        <v>7095.6083980000003</v>
      </c>
      <c r="H173" s="42">
        <v>708.55273399999999</v>
      </c>
      <c r="I173" s="42">
        <v>334.903595</v>
      </c>
      <c r="J173" s="42">
        <v>441.33779900000002</v>
      </c>
      <c r="L173" s="50">
        <f t="shared" si="22"/>
        <v>8.493221943646434E-3</v>
      </c>
      <c r="M173" s="50">
        <f t="shared" si="23"/>
        <v>9.8648309295423786E-3</v>
      </c>
      <c r="N173" s="50">
        <f t="shared" si="24"/>
        <v>4.5100455224490466E-2</v>
      </c>
      <c r="O173" s="50">
        <f t="shared" si="25"/>
        <v>3.5009447156582496E-2</v>
      </c>
      <c r="P173" s="50">
        <f t="shared" si="26"/>
        <v>7.2219861604674307E-3</v>
      </c>
      <c r="Q173" s="50">
        <f t="shared" si="27"/>
        <v>4.1088032548011189E-2</v>
      </c>
      <c r="R173" s="50">
        <f t="shared" si="28"/>
        <v>1.8064365727888054E-2</v>
      </c>
      <c r="S173" s="50">
        <f t="shared" si="29"/>
        <v>0.10042928974492571</v>
      </c>
      <c r="T173" s="50"/>
    </row>
    <row r="174" spans="2:20">
      <c r="B174" s="112">
        <v>43423</v>
      </c>
      <c r="C174" s="42">
        <v>34981.019530999998</v>
      </c>
      <c r="D174" s="42">
        <v>1636.269409</v>
      </c>
      <c r="E174" s="42">
        <v>9881.0488280000009</v>
      </c>
      <c r="F174" s="42">
        <v>2954.3178710000002</v>
      </c>
      <c r="G174" s="42">
        <v>6970.6347660000001</v>
      </c>
      <c r="H174" s="42">
        <v>706.65741000000003</v>
      </c>
      <c r="I174" s="42">
        <v>344.12374899999998</v>
      </c>
      <c r="J174" s="42">
        <v>416.03237899999999</v>
      </c>
      <c r="L174" s="50">
        <f t="shared" si="22"/>
        <v>-1.3428617038283241E-2</v>
      </c>
      <c r="M174" s="50">
        <f t="shared" si="23"/>
        <v>-8.2884074673760244E-3</v>
      </c>
      <c r="N174" s="50">
        <f t="shared" si="24"/>
        <v>-3.5930756802198371E-2</v>
      </c>
      <c r="O174" s="50">
        <f t="shared" si="25"/>
        <v>1.0266224768960219E-2</v>
      </c>
      <c r="P174" s="50">
        <f t="shared" si="26"/>
        <v>-1.7612814150683054E-2</v>
      </c>
      <c r="Q174" s="50">
        <f t="shared" si="27"/>
        <v>-2.674922993099238E-3</v>
      </c>
      <c r="R174" s="50">
        <f t="shared" si="28"/>
        <v>2.7530770459480935E-2</v>
      </c>
      <c r="S174" s="50">
        <f t="shared" si="29"/>
        <v>-5.7337984775693407E-2</v>
      </c>
      <c r="T174" s="50"/>
    </row>
    <row r="175" spans="2:20">
      <c r="B175" s="112">
        <v>43430</v>
      </c>
      <c r="C175" s="42">
        <v>36194.300780999998</v>
      </c>
      <c r="D175" s="42">
        <v>1713.3405760000001</v>
      </c>
      <c r="E175" s="42">
        <v>10323.736328000001</v>
      </c>
      <c r="F175" s="42">
        <v>3116.9633789999998</v>
      </c>
      <c r="G175" s="42">
        <v>7166.3530270000001</v>
      </c>
      <c r="H175" s="42">
        <v>739.21698000000004</v>
      </c>
      <c r="I175" s="42">
        <v>346.74804699999999</v>
      </c>
      <c r="J175" s="42">
        <v>418.51989700000001</v>
      </c>
      <c r="L175" s="50">
        <f t="shared" si="22"/>
        <v>3.4683987667220473E-2</v>
      </c>
      <c r="M175" s="50">
        <f t="shared" si="23"/>
        <v>4.710175877889311E-2</v>
      </c>
      <c r="N175" s="50">
        <f t="shared" si="24"/>
        <v>4.4801671128833265E-2</v>
      </c>
      <c r="O175" s="50">
        <f t="shared" si="25"/>
        <v>5.5053489536975864E-2</v>
      </c>
      <c r="P175" s="50">
        <f t="shared" si="26"/>
        <v>2.8077537781011852E-2</v>
      </c>
      <c r="Q175" s="50">
        <f t="shared" si="27"/>
        <v>4.6075466752694139E-2</v>
      </c>
      <c r="R175" s="50">
        <f t="shared" si="28"/>
        <v>7.6260299024000222E-3</v>
      </c>
      <c r="S175" s="50">
        <f t="shared" si="29"/>
        <v>5.9791451953310482E-3</v>
      </c>
      <c r="T175" s="50"/>
    </row>
    <row r="176" spans="2:20">
      <c r="B176" s="112">
        <v>43437</v>
      </c>
      <c r="C176" s="42">
        <v>35673.25</v>
      </c>
      <c r="D176" s="42">
        <v>1782.010986</v>
      </c>
      <c r="E176" s="42">
        <v>9978.2929690000001</v>
      </c>
      <c r="F176" s="42">
        <v>2955.3012699999999</v>
      </c>
      <c r="G176" s="42">
        <v>7410.3847660000001</v>
      </c>
      <c r="H176" s="42">
        <v>740.94097899999997</v>
      </c>
      <c r="I176" s="42">
        <v>344.90133700000001</v>
      </c>
      <c r="J176" s="42">
        <v>387.37847900000003</v>
      </c>
      <c r="L176" s="50">
        <f t="shared" si="22"/>
        <v>-1.4395934435996072E-2</v>
      </c>
      <c r="M176" s="50">
        <f t="shared" si="23"/>
        <v>4.0079836409594227E-2</v>
      </c>
      <c r="N176" s="50">
        <f t="shared" si="24"/>
        <v>-3.3461079208608857E-2</v>
      </c>
      <c r="O176" s="50">
        <f t="shared" si="25"/>
        <v>-5.1865257734232673E-2</v>
      </c>
      <c r="P176" s="50">
        <f t="shared" si="26"/>
        <v>3.4052430585066684E-2</v>
      </c>
      <c r="Q176" s="50">
        <f t="shared" si="27"/>
        <v>2.3321961570741401E-3</v>
      </c>
      <c r="R176" s="50">
        <f t="shared" si="28"/>
        <v>-5.3257978407589279E-3</v>
      </c>
      <c r="S176" s="50">
        <f t="shared" si="29"/>
        <v>-7.4408452795734048E-2</v>
      </c>
      <c r="T176" s="50"/>
    </row>
    <row r="177" spans="2:20">
      <c r="B177" s="112">
        <v>43444</v>
      </c>
      <c r="C177" s="42">
        <v>35962.929687999997</v>
      </c>
      <c r="D177" s="42">
        <v>1817.4205320000001</v>
      </c>
      <c r="E177" s="42">
        <v>10535.778319999999</v>
      </c>
      <c r="F177" s="42">
        <v>3083.5295409999999</v>
      </c>
      <c r="G177" s="42">
        <v>7657.2758789999998</v>
      </c>
      <c r="H177" s="42">
        <v>814.92675799999995</v>
      </c>
      <c r="I177" s="42">
        <v>361.66769399999998</v>
      </c>
      <c r="J177" s="42">
        <v>417.419647</v>
      </c>
      <c r="L177" s="50">
        <f t="shared" si="22"/>
        <v>8.1203615594316325E-3</v>
      </c>
      <c r="M177" s="50">
        <f t="shared" si="23"/>
        <v>1.9870554266044227E-2</v>
      </c>
      <c r="N177" s="50">
        <f t="shared" si="24"/>
        <v>5.5869811873830777E-2</v>
      </c>
      <c r="O177" s="50">
        <f t="shared" si="25"/>
        <v>4.338923828229535E-2</v>
      </c>
      <c r="P177" s="50">
        <f t="shared" si="26"/>
        <v>3.3316908743089124E-2</v>
      </c>
      <c r="Q177" s="50">
        <f t="shared" si="27"/>
        <v>9.9853809003591421E-2</v>
      </c>
      <c r="R177" s="50">
        <f t="shared" si="28"/>
        <v>4.8612038288503356E-2</v>
      </c>
      <c r="S177" s="50">
        <f t="shared" si="29"/>
        <v>7.7549914692085942E-2</v>
      </c>
      <c r="T177" s="50"/>
    </row>
    <row r="178" spans="2:20">
      <c r="B178" s="112">
        <v>43451</v>
      </c>
      <c r="C178" s="42">
        <v>35742.070312999997</v>
      </c>
      <c r="D178" s="42">
        <v>1761.6929929999999</v>
      </c>
      <c r="E178" s="42">
        <v>10609.155273</v>
      </c>
      <c r="F178" s="42">
        <v>3067.8452149999998</v>
      </c>
      <c r="G178" s="42">
        <v>7533.3374020000001</v>
      </c>
      <c r="H178" s="42">
        <v>790.59326199999998</v>
      </c>
      <c r="I178" s="42">
        <v>367.54809599999999</v>
      </c>
      <c r="J178" s="42">
        <v>394.50607300000001</v>
      </c>
      <c r="L178" s="50">
        <f t="shared" si="22"/>
        <v>-6.1413065319229077E-3</v>
      </c>
      <c r="M178" s="50">
        <f t="shared" si="23"/>
        <v>-3.0662985268838261E-2</v>
      </c>
      <c r="N178" s="50">
        <f t="shared" si="24"/>
        <v>6.9645498197992151E-3</v>
      </c>
      <c r="O178" s="50">
        <f t="shared" si="25"/>
        <v>-5.0864847543875547E-3</v>
      </c>
      <c r="P178" s="50">
        <f t="shared" si="26"/>
        <v>-1.6185713948207003E-2</v>
      </c>
      <c r="Q178" s="50">
        <f t="shared" si="27"/>
        <v>-2.9859733725911108E-2</v>
      </c>
      <c r="R178" s="50">
        <f t="shared" si="28"/>
        <v>1.625912985194633E-2</v>
      </c>
      <c r="S178" s="50">
        <f t="shared" si="29"/>
        <v>-5.4893376880269296E-2</v>
      </c>
      <c r="T178" s="50"/>
    </row>
    <row r="179" spans="2:20">
      <c r="B179" s="112">
        <v>43458</v>
      </c>
      <c r="C179" s="42">
        <v>36076.71875</v>
      </c>
      <c r="D179" s="42">
        <v>1779.8131100000001</v>
      </c>
      <c r="E179" s="42">
        <v>10848.309569999999</v>
      </c>
      <c r="F179" s="42">
        <v>3046.8999020000001</v>
      </c>
      <c r="G179" s="42">
        <v>7561.6845700000003</v>
      </c>
      <c r="H179" s="42">
        <v>798.81927499999995</v>
      </c>
      <c r="I179" s="42">
        <v>367.499481</v>
      </c>
      <c r="J179" s="42">
        <v>391.44454999999999</v>
      </c>
      <c r="L179" s="50">
        <f t="shared" si="22"/>
        <v>9.3628722138763276E-3</v>
      </c>
      <c r="M179" s="50">
        <f t="shared" si="23"/>
        <v>1.0285626991762831E-2</v>
      </c>
      <c r="N179" s="50">
        <f t="shared" si="24"/>
        <v>2.2542256272621408E-2</v>
      </c>
      <c r="O179" s="50">
        <f t="shared" si="25"/>
        <v>-6.8273695483687113E-3</v>
      </c>
      <c r="P179" s="50">
        <f t="shared" si="26"/>
        <v>3.7628963747826649E-3</v>
      </c>
      <c r="Q179" s="50">
        <f t="shared" si="27"/>
        <v>1.0404861001711785E-2</v>
      </c>
      <c r="R179" s="50">
        <f t="shared" si="28"/>
        <v>-1.3226840386071359E-4</v>
      </c>
      <c r="S179" s="50">
        <f t="shared" si="29"/>
        <v>-7.760395110571694E-3</v>
      </c>
      <c r="T179" s="50"/>
    </row>
    <row r="180" spans="2:20">
      <c r="B180" s="112">
        <v>43465</v>
      </c>
      <c r="C180" s="42">
        <v>35695.101562999997</v>
      </c>
      <c r="D180" s="42">
        <v>1740.398193</v>
      </c>
      <c r="E180" s="42">
        <v>10455.756836</v>
      </c>
      <c r="F180" s="42">
        <v>3070.6967770000001</v>
      </c>
      <c r="G180" s="42">
        <v>7345.4575199999999</v>
      </c>
      <c r="H180" s="42">
        <v>791.479919</v>
      </c>
      <c r="I180" s="42">
        <v>368.22848499999998</v>
      </c>
      <c r="J180" s="42">
        <v>400.62912</v>
      </c>
      <c r="L180" s="50">
        <f t="shared" si="22"/>
        <v>-1.0577935029083108E-2</v>
      </c>
      <c r="M180" s="50">
        <f t="shared" si="23"/>
        <v>-2.2145536954719991E-2</v>
      </c>
      <c r="N180" s="50">
        <f t="shared" si="24"/>
        <v>-3.6185613202407763E-2</v>
      </c>
      <c r="O180" s="50">
        <f t="shared" si="25"/>
        <v>7.8101925778328862E-3</v>
      </c>
      <c r="P180" s="50">
        <f t="shared" si="26"/>
        <v>-2.8595089890135483E-2</v>
      </c>
      <c r="Q180" s="50">
        <f t="shared" si="27"/>
        <v>-9.1877552654195949E-3</v>
      </c>
      <c r="R180" s="50">
        <f t="shared" si="28"/>
        <v>1.9836871551934809E-3</v>
      </c>
      <c r="S180" s="50">
        <f t="shared" si="29"/>
        <v>2.3463272128836588E-2</v>
      </c>
      <c r="T180" s="50"/>
    </row>
    <row r="181" spans="2:20">
      <c r="B181" s="112">
        <v>43472</v>
      </c>
      <c r="C181" s="42">
        <v>36009.839844000002</v>
      </c>
      <c r="D181" s="42">
        <v>1728.3835449999999</v>
      </c>
      <c r="E181" s="42">
        <v>10862.185546999999</v>
      </c>
      <c r="F181" s="42">
        <v>3045.2775879999999</v>
      </c>
      <c r="G181" s="42">
        <v>7381.3964839999999</v>
      </c>
      <c r="H181" s="42">
        <v>767.39276099999995</v>
      </c>
      <c r="I181" s="42">
        <v>370.755585</v>
      </c>
      <c r="J181" s="42">
        <v>414.310272</v>
      </c>
      <c r="L181" s="50">
        <f t="shared" si="22"/>
        <v>8.8174081937968385E-3</v>
      </c>
      <c r="M181" s="50">
        <f t="shared" si="23"/>
        <v>-6.9033902978776762E-3</v>
      </c>
      <c r="N181" s="50">
        <f t="shared" si="24"/>
        <v>3.887128568260434E-2</v>
      </c>
      <c r="O181" s="50">
        <f t="shared" si="25"/>
        <v>-8.2779873253503444E-3</v>
      </c>
      <c r="P181" s="50">
        <f t="shared" si="26"/>
        <v>4.8926787612815215E-3</v>
      </c>
      <c r="Q181" s="50">
        <f t="shared" si="27"/>
        <v>-3.0433062699092961E-2</v>
      </c>
      <c r="R181" s="50">
        <f t="shared" si="28"/>
        <v>6.8628585319792101E-3</v>
      </c>
      <c r="S181" s="50">
        <f t="shared" si="29"/>
        <v>3.414917018513286E-2</v>
      </c>
      <c r="T181" s="50"/>
    </row>
    <row r="182" spans="2:20">
      <c r="B182" s="112">
        <v>43479</v>
      </c>
      <c r="C182" s="42">
        <v>36386.609375</v>
      </c>
      <c r="D182" s="42">
        <v>1703.670044</v>
      </c>
      <c r="E182" s="42">
        <v>10838.480469</v>
      </c>
      <c r="F182" s="42">
        <v>3118.536865</v>
      </c>
      <c r="G182" s="42">
        <v>7130.0683589999999</v>
      </c>
      <c r="H182" s="42">
        <v>777.933899</v>
      </c>
      <c r="I182" s="42">
        <v>368.71444700000001</v>
      </c>
      <c r="J182" s="42">
        <v>414.74084499999998</v>
      </c>
      <c r="L182" s="50">
        <f t="shared" si="22"/>
        <v>1.0462960475031924E-2</v>
      </c>
      <c r="M182" s="50">
        <f t="shared" si="23"/>
        <v>-1.4298620853856803E-2</v>
      </c>
      <c r="N182" s="50">
        <f t="shared" si="24"/>
        <v>-2.1823488373889921E-3</v>
      </c>
      <c r="O182" s="50">
        <f t="shared" si="25"/>
        <v>2.4056682809041829E-2</v>
      </c>
      <c r="P182" s="50">
        <f t="shared" si="26"/>
        <v>-3.4048858579102448E-2</v>
      </c>
      <c r="Q182" s="50">
        <f t="shared" si="27"/>
        <v>1.3736301064742662E-2</v>
      </c>
      <c r="R182" s="50">
        <f t="shared" si="28"/>
        <v>-5.5053466018589736E-3</v>
      </c>
      <c r="S182" s="50">
        <f t="shared" si="29"/>
        <v>1.0392525339075753E-3</v>
      </c>
      <c r="T182" s="50"/>
    </row>
    <row r="183" spans="2:20">
      <c r="B183" s="112">
        <v>43486</v>
      </c>
      <c r="C183" s="42">
        <v>36025.539062999997</v>
      </c>
      <c r="D183" s="42">
        <v>1716.075562</v>
      </c>
      <c r="E183" s="42">
        <v>10951.408203000001</v>
      </c>
      <c r="F183" s="42">
        <v>3153.2485350000002</v>
      </c>
      <c r="G183" s="42">
        <v>7188.4389650000003</v>
      </c>
      <c r="H183" s="42">
        <v>768.72271699999999</v>
      </c>
      <c r="I183" s="42">
        <v>359.529358</v>
      </c>
      <c r="J183" s="42">
        <v>400.82049599999999</v>
      </c>
      <c r="L183" s="50">
        <f t="shared" si="22"/>
        <v>-9.9231645432751314E-3</v>
      </c>
      <c r="M183" s="50">
        <f t="shared" si="23"/>
        <v>7.2816435575009386E-3</v>
      </c>
      <c r="N183" s="50">
        <f t="shared" si="24"/>
        <v>1.0419148175151882E-2</v>
      </c>
      <c r="O183" s="50">
        <f t="shared" si="25"/>
        <v>1.1130755063240239E-2</v>
      </c>
      <c r="P183" s="50">
        <f t="shared" si="26"/>
        <v>8.1865422687457112E-3</v>
      </c>
      <c r="Q183" s="50">
        <f t="shared" si="27"/>
        <v>-1.1840571559923796E-2</v>
      </c>
      <c r="R183" s="50">
        <f t="shared" si="28"/>
        <v>-2.4911117735508803E-2</v>
      </c>
      <c r="S183" s="50">
        <f t="shared" si="29"/>
        <v>-3.3563969326435572E-2</v>
      </c>
      <c r="T183" s="50"/>
    </row>
    <row r="184" spans="2:20">
      <c r="B184" s="112">
        <v>43493</v>
      </c>
      <c r="C184" s="42">
        <v>36469.429687999997</v>
      </c>
      <c r="D184" s="42">
        <v>1757.5904539999999</v>
      </c>
      <c r="E184" s="42">
        <v>11135.351563</v>
      </c>
      <c r="F184" s="42">
        <v>3196.8603520000001</v>
      </c>
      <c r="G184" s="42">
        <v>7386.2773440000001</v>
      </c>
      <c r="H184" s="42">
        <v>700.10613999999998</v>
      </c>
      <c r="I184" s="42">
        <v>365.895782</v>
      </c>
      <c r="J184" s="42">
        <v>396.56298800000002</v>
      </c>
      <c r="L184" s="50">
        <f t="shared" si="22"/>
        <v>1.232155400155821E-2</v>
      </c>
      <c r="M184" s="50">
        <f t="shared" si="23"/>
        <v>2.4191762250618254E-2</v>
      </c>
      <c r="N184" s="50">
        <f t="shared" si="24"/>
        <v>1.6796320307886026E-2</v>
      </c>
      <c r="O184" s="50">
        <f t="shared" si="25"/>
        <v>1.3830757872690169E-2</v>
      </c>
      <c r="P184" s="50">
        <f t="shared" si="26"/>
        <v>2.7521744284574323E-2</v>
      </c>
      <c r="Q184" s="50">
        <f t="shared" si="27"/>
        <v>-8.926050379749606E-2</v>
      </c>
      <c r="R184" s="50">
        <f t="shared" si="28"/>
        <v>1.7707661025000432E-2</v>
      </c>
      <c r="S184" s="50">
        <f t="shared" si="29"/>
        <v>-1.0621981766121946E-2</v>
      </c>
      <c r="T184" s="50"/>
    </row>
    <row r="185" spans="2:20">
      <c r="B185" s="112">
        <v>43500</v>
      </c>
      <c r="C185" s="42">
        <v>36546.480469000002</v>
      </c>
      <c r="D185" s="42">
        <v>1775.173096</v>
      </c>
      <c r="E185" s="42">
        <v>10832.988281</v>
      </c>
      <c r="F185" s="42">
        <v>3058.2082519999999</v>
      </c>
      <c r="G185" s="42">
        <v>7514.2094729999999</v>
      </c>
      <c r="H185" s="42">
        <v>673.35888699999998</v>
      </c>
      <c r="I185" s="42">
        <v>354.52377300000001</v>
      </c>
      <c r="J185" s="42">
        <v>366.760986</v>
      </c>
      <c r="L185" s="50">
        <f t="shared" si="22"/>
        <v>2.1127498197581751E-3</v>
      </c>
      <c r="M185" s="50">
        <f t="shared" si="23"/>
        <v>1.0003833350360258E-2</v>
      </c>
      <c r="N185" s="50">
        <f t="shared" si="24"/>
        <v>-2.7153456295414879E-2</v>
      </c>
      <c r="O185" s="50">
        <f t="shared" si="25"/>
        <v>-4.3371334601230771E-2</v>
      </c>
      <c r="P185" s="50">
        <f t="shared" si="26"/>
        <v>1.7320244426500153E-2</v>
      </c>
      <c r="Q185" s="50">
        <f t="shared" si="27"/>
        <v>-3.8204568524423999E-2</v>
      </c>
      <c r="R185" s="50">
        <f t="shared" si="28"/>
        <v>-3.107991280424216E-2</v>
      </c>
      <c r="S185" s="50">
        <f t="shared" si="29"/>
        <v>-7.5150739987868032E-2</v>
      </c>
      <c r="T185" s="50"/>
    </row>
    <row r="186" spans="2:20">
      <c r="B186" s="112">
        <v>43507</v>
      </c>
      <c r="C186" s="42">
        <v>35808.949219000002</v>
      </c>
      <c r="D186" s="42">
        <v>1731.7048339999999</v>
      </c>
      <c r="E186" s="42">
        <v>10151.559569999999</v>
      </c>
      <c r="F186" s="42">
        <v>2810.749268</v>
      </c>
      <c r="G186" s="42">
        <v>7310.3071289999998</v>
      </c>
      <c r="H186" s="42">
        <v>655.77624500000002</v>
      </c>
      <c r="I186" s="42">
        <v>329.787262</v>
      </c>
      <c r="J186" s="42">
        <v>344.373627</v>
      </c>
      <c r="L186" s="50">
        <f t="shared" si="22"/>
        <v>-2.0180636836578558E-2</v>
      </c>
      <c r="M186" s="50">
        <f t="shared" si="23"/>
        <v>-2.4486773767553816E-2</v>
      </c>
      <c r="N186" s="50">
        <f t="shared" si="24"/>
        <v>-6.2903115310773416E-2</v>
      </c>
      <c r="O186" s="50">
        <f t="shared" si="25"/>
        <v>-8.0916328650335489E-2</v>
      </c>
      <c r="P186" s="50">
        <f t="shared" si="26"/>
        <v>-2.7135568250081454E-2</v>
      </c>
      <c r="Q186" s="50">
        <f t="shared" si="27"/>
        <v>-2.6111843683144231E-2</v>
      </c>
      <c r="R186" s="50">
        <f t="shared" si="28"/>
        <v>-6.9773913299743695E-2</v>
      </c>
      <c r="S186" s="50">
        <f t="shared" si="29"/>
        <v>-6.1040731851451646E-2</v>
      </c>
      <c r="T186" s="50"/>
    </row>
    <row r="187" spans="2:20">
      <c r="B187" s="112">
        <v>43514</v>
      </c>
      <c r="C187" s="42">
        <v>35871.480469000002</v>
      </c>
      <c r="D187" s="42">
        <v>1727.5532229999999</v>
      </c>
      <c r="E187" s="42">
        <v>10296.092773</v>
      </c>
      <c r="F187" s="42">
        <v>2962.626953</v>
      </c>
      <c r="G187" s="42">
        <v>7174.0434569999998</v>
      </c>
      <c r="H187" s="42">
        <v>659.92578100000003</v>
      </c>
      <c r="I187" s="42">
        <v>332.65210000000002</v>
      </c>
      <c r="J187" s="42">
        <v>382.35565200000002</v>
      </c>
      <c r="L187" s="50">
        <f t="shared" si="22"/>
        <v>1.7462464373800834E-3</v>
      </c>
      <c r="M187" s="50">
        <f t="shared" si="23"/>
        <v>-2.3974126066336199E-3</v>
      </c>
      <c r="N187" s="50">
        <f t="shared" si="24"/>
        <v>1.4237536804406536E-2</v>
      </c>
      <c r="O187" s="50">
        <f t="shared" si="25"/>
        <v>5.4034590252893366E-2</v>
      </c>
      <c r="P187" s="50">
        <f t="shared" si="26"/>
        <v>-1.8639938048490734E-2</v>
      </c>
      <c r="Q187" s="50">
        <f t="shared" si="27"/>
        <v>6.3276704998669331E-3</v>
      </c>
      <c r="R187" s="50">
        <f t="shared" si="28"/>
        <v>8.686927392605126E-3</v>
      </c>
      <c r="S187" s="50">
        <f t="shared" si="29"/>
        <v>0.11029307131001653</v>
      </c>
      <c r="T187" s="50"/>
    </row>
    <row r="188" spans="2:20">
      <c r="B188" s="112">
        <v>43521</v>
      </c>
      <c r="C188" s="42">
        <v>36063.808594000002</v>
      </c>
      <c r="D188" s="42">
        <v>1694.439087</v>
      </c>
      <c r="E188" s="42">
        <v>10070.909180000001</v>
      </c>
      <c r="F188" s="42">
        <v>3026.0036620000001</v>
      </c>
      <c r="G188" s="42">
        <v>7104.876953</v>
      </c>
      <c r="H188" s="42">
        <v>670.99121100000002</v>
      </c>
      <c r="I188" s="42">
        <v>327.95098899999999</v>
      </c>
      <c r="J188" s="42">
        <v>378.48089599999997</v>
      </c>
      <c r="L188" s="50">
        <f t="shared" si="22"/>
        <v>5.3615887185423095E-3</v>
      </c>
      <c r="M188" s="50">
        <f t="shared" si="23"/>
        <v>-1.9168229122628833E-2</v>
      </c>
      <c r="N188" s="50">
        <f t="shared" si="24"/>
        <v>-2.1870781272533835E-2</v>
      </c>
      <c r="O188" s="50">
        <f t="shared" si="25"/>
        <v>2.1392065219626666E-2</v>
      </c>
      <c r="P188" s="50">
        <f t="shared" si="26"/>
        <v>-9.6412162003997048E-3</v>
      </c>
      <c r="Q188" s="50">
        <f t="shared" si="27"/>
        <v>1.6767688607698172E-2</v>
      </c>
      <c r="R188" s="50">
        <f t="shared" si="28"/>
        <v>-1.4132215007811588E-2</v>
      </c>
      <c r="S188" s="50">
        <f t="shared" si="29"/>
        <v>-1.0133905382939234E-2</v>
      </c>
      <c r="T188" s="50"/>
    </row>
    <row r="189" spans="2:20">
      <c r="B189" s="112">
        <v>43528</v>
      </c>
      <c r="C189" s="42">
        <v>36671.429687999997</v>
      </c>
      <c r="D189" s="42">
        <v>1662.1551509999999</v>
      </c>
      <c r="E189" s="42">
        <v>9727.3056639999995</v>
      </c>
      <c r="F189" s="42">
        <v>3020.054443</v>
      </c>
      <c r="G189" s="42">
        <v>6941.4985349999997</v>
      </c>
      <c r="H189" s="42">
        <v>699.49456799999996</v>
      </c>
      <c r="I189" s="42">
        <v>327.65716600000002</v>
      </c>
      <c r="J189" s="42">
        <v>366.52181999999999</v>
      </c>
      <c r="L189" s="50">
        <f t="shared" si="22"/>
        <v>1.684850041326702E-2</v>
      </c>
      <c r="M189" s="50">
        <f t="shared" si="23"/>
        <v>-1.9052874929342378E-2</v>
      </c>
      <c r="N189" s="50">
        <f t="shared" si="24"/>
        <v>-3.4118420676692129E-2</v>
      </c>
      <c r="O189" s="50">
        <f t="shared" si="25"/>
        <v>-1.9660316590852656E-3</v>
      </c>
      <c r="P189" s="50">
        <f t="shared" si="26"/>
        <v>-2.2995249471704726E-2</v>
      </c>
      <c r="Q189" s="50">
        <f t="shared" si="27"/>
        <v>4.2479478915260938E-2</v>
      </c>
      <c r="R189" s="50">
        <f t="shared" si="28"/>
        <v>-8.9593570336810036E-4</v>
      </c>
      <c r="S189" s="50">
        <f t="shared" si="29"/>
        <v>-3.1597568401444454E-2</v>
      </c>
      <c r="T189" s="50"/>
    </row>
    <row r="190" spans="2:20">
      <c r="B190" s="112">
        <v>43535</v>
      </c>
      <c r="C190" s="42">
        <v>38024.320312999997</v>
      </c>
      <c r="D190" s="42">
        <v>1659.029297</v>
      </c>
      <c r="E190" s="42">
        <v>9914.9101559999999</v>
      </c>
      <c r="F190" s="42">
        <v>3015.4821780000002</v>
      </c>
      <c r="G190" s="42">
        <v>6961.6123049999997</v>
      </c>
      <c r="H190" s="42">
        <v>693.17150900000001</v>
      </c>
      <c r="I190" s="42">
        <v>331.67269900000002</v>
      </c>
      <c r="J190" s="42">
        <v>376.663116</v>
      </c>
      <c r="L190" s="50">
        <f t="shared" si="22"/>
        <v>3.6892224723998224E-2</v>
      </c>
      <c r="M190" s="50">
        <f t="shared" si="23"/>
        <v>-1.8806030219978842E-3</v>
      </c>
      <c r="N190" s="50">
        <f t="shared" si="24"/>
        <v>1.9286377798767962E-2</v>
      </c>
      <c r="O190" s="50">
        <f t="shared" si="25"/>
        <v>-1.5139677400841656E-3</v>
      </c>
      <c r="P190" s="50">
        <f t="shared" si="26"/>
        <v>2.8976120788015702E-3</v>
      </c>
      <c r="Q190" s="50">
        <f t="shared" si="27"/>
        <v>-9.0394683379442231E-3</v>
      </c>
      <c r="R190" s="50">
        <f t="shared" si="28"/>
        <v>1.2255288199617853E-2</v>
      </c>
      <c r="S190" s="50">
        <f t="shared" si="29"/>
        <v>2.7669010265200633E-2</v>
      </c>
      <c r="T190" s="50"/>
    </row>
    <row r="191" spans="2:20">
      <c r="B191" s="112">
        <v>43542</v>
      </c>
      <c r="C191" s="42">
        <v>38164.609375</v>
      </c>
      <c r="D191" s="42">
        <v>1639.151245</v>
      </c>
      <c r="E191" s="42">
        <v>10214.384765999999</v>
      </c>
      <c r="F191" s="42">
        <v>3046.9982909999999</v>
      </c>
      <c r="G191" s="42">
        <v>6833.8779299999997</v>
      </c>
      <c r="H191" s="42">
        <v>691.34368900000004</v>
      </c>
      <c r="I191" s="42">
        <v>332.65210000000002</v>
      </c>
      <c r="J191" s="42">
        <v>379.91598499999998</v>
      </c>
      <c r="L191" s="50">
        <f t="shared" si="22"/>
        <v>3.6894561387343927E-3</v>
      </c>
      <c r="M191" s="50">
        <f t="shared" si="23"/>
        <v>-1.198173657086421E-2</v>
      </c>
      <c r="N191" s="50">
        <f t="shared" si="24"/>
        <v>3.0204470367164449E-2</v>
      </c>
      <c r="O191" s="50">
        <f t="shared" si="25"/>
        <v>1.0451434012753058E-2</v>
      </c>
      <c r="P191" s="50">
        <f t="shared" si="26"/>
        <v>-1.8348389626388406E-2</v>
      </c>
      <c r="Q191" s="50">
        <f t="shared" si="27"/>
        <v>-2.6368942985508514E-3</v>
      </c>
      <c r="R191" s="50">
        <f t="shared" si="28"/>
        <v>2.9529141317718999E-3</v>
      </c>
      <c r="S191" s="50">
        <f t="shared" si="29"/>
        <v>8.6360168060628517E-3</v>
      </c>
      <c r="T191" s="50"/>
    </row>
    <row r="192" spans="2:20">
      <c r="B192" s="112">
        <v>43549</v>
      </c>
      <c r="C192" s="42">
        <v>38672.910155999998</v>
      </c>
      <c r="D192" s="42">
        <v>1667.2346190000001</v>
      </c>
      <c r="E192" s="42">
        <v>10561.553711</v>
      </c>
      <c r="F192" s="42">
        <v>3034.1164549999999</v>
      </c>
      <c r="G192" s="42">
        <v>7145.2524409999996</v>
      </c>
      <c r="H192" s="42">
        <v>677.75897199999997</v>
      </c>
      <c r="I192" s="42">
        <v>339.50787400000002</v>
      </c>
      <c r="J192" s="42">
        <v>382.69049100000001</v>
      </c>
      <c r="L192" s="50">
        <f t="shared" si="22"/>
        <v>1.3318642305637285E-2</v>
      </c>
      <c r="M192" s="50">
        <f t="shared" si="23"/>
        <v>1.7132875374169743E-2</v>
      </c>
      <c r="N192" s="50">
        <f t="shared" si="24"/>
        <v>3.3988238445412877E-2</v>
      </c>
      <c r="O192" s="50">
        <f t="shared" si="25"/>
        <v>-4.2277135625738982E-3</v>
      </c>
      <c r="P192" s="50">
        <f t="shared" si="26"/>
        <v>4.5563370342496023E-2</v>
      </c>
      <c r="Q192" s="50">
        <f t="shared" si="27"/>
        <v>-1.9649730251605768E-2</v>
      </c>
      <c r="R192" s="50">
        <f t="shared" si="28"/>
        <v>2.0609441515625493E-2</v>
      </c>
      <c r="S192" s="50">
        <f t="shared" si="29"/>
        <v>7.3029462026981129E-3</v>
      </c>
      <c r="T192" s="50"/>
    </row>
    <row r="193" spans="2:20">
      <c r="B193" s="112">
        <v>43556</v>
      </c>
      <c r="C193" s="42">
        <v>38862.230469000002</v>
      </c>
      <c r="D193" s="42">
        <v>1620.6403809999999</v>
      </c>
      <c r="E193" s="42">
        <v>10580.631836</v>
      </c>
      <c r="F193" s="42">
        <v>2944.189453</v>
      </c>
      <c r="G193" s="42">
        <v>6897.4741210000002</v>
      </c>
      <c r="H193" s="42">
        <v>662.49444600000004</v>
      </c>
      <c r="I193" s="42">
        <v>349.39974999999998</v>
      </c>
      <c r="J193" s="42">
        <v>394.17120399999999</v>
      </c>
      <c r="L193" s="50">
        <f t="shared" si="22"/>
        <v>4.8954245293750809E-3</v>
      </c>
      <c r="M193" s="50">
        <f t="shared" si="23"/>
        <v>-2.7947019255122663E-2</v>
      </c>
      <c r="N193" s="50">
        <f t="shared" si="24"/>
        <v>1.8063748499550503E-3</v>
      </c>
      <c r="O193" s="50">
        <f t="shared" si="25"/>
        <v>-2.9638612536380005E-2</v>
      </c>
      <c r="P193" s="50">
        <f t="shared" si="26"/>
        <v>-3.4677336041793128E-2</v>
      </c>
      <c r="Q193" s="50">
        <f t="shared" si="27"/>
        <v>-2.2522056705432947E-2</v>
      </c>
      <c r="R193" s="50">
        <f t="shared" si="28"/>
        <v>2.913592513615737E-2</v>
      </c>
      <c r="S193" s="50">
        <f t="shared" si="29"/>
        <v>2.9999995479375485E-2</v>
      </c>
      <c r="T193" s="50"/>
    </row>
    <row r="194" spans="2:20">
      <c r="B194" s="112">
        <v>43563</v>
      </c>
      <c r="C194" s="42">
        <v>38767.109375</v>
      </c>
      <c r="D194" s="42">
        <v>1681.7404790000001</v>
      </c>
      <c r="E194" s="42">
        <v>10573.886719</v>
      </c>
      <c r="F194" s="42">
        <v>2934.6015630000002</v>
      </c>
      <c r="G194" s="42">
        <v>7100.0454099999997</v>
      </c>
      <c r="H194" s="42">
        <v>662.54394500000001</v>
      </c>
      <c r="I194" s="42">
        <v>352.68075599999997</v>
      </c>
      <c r="J194" s="42">
        <v>384.077789</v>
      </c>
      <c r="L194" s="50">
        <f t="shared" si="22"/>
        <v>-2.4476488573109689E-3</v>
      </c>
      <c r="M194" s="50">
        <f t="shared" si="23"/>
        <v>3.7701206705894164E-2</v>
      </c>
      <c r="N194" s="50">
        <f t="shared" si="24"/>
        <v>-6.3749661688916603E-4</v>
      </c>
      <c r="O194" s="50">
        <f t="shared" si="25"/>
        <v>-3.2565465480592914E-3</v>
      </c>
      <c r="P194" s="50">
        <f t="shared" si="26"/>
        <v>2.9368908885537115E-2</v>
      </c>
      <c r="Q194" s="50">
        <f t="shared" si="27"/>
        <v>7.4716098072746817E-5</v>
      </c>
      <c r="R194" s="50">
        <f t="shared" si="28"/>
        <v>9.3904074058439591E-3</v>
      </c>
      <c r="S194" s="50">
        <f t="shared" si="29"/>
        <v>-2.5606677752137319E-2</v>
      </c>
      <c r="T194" s="50"/>
    </row>
    <row r="195" spans="2:20">
      <c r="B195" s="112">
        <v>43570</v>
      </c>
      <c r="C195" s="42">
        <v>39140.28125</v>
      </c>
      <c r="D195" s="42">
        <v>1699.5673830000001</v>
      </c>
      <c r="E195" s="42">
        <v>10555.290039</v>
      </c>
      <c r="F195" s="42">
        <v>2947.8276369999999</v>
      </c>
      <c r="G195" s="42">
        <v>7134.4565430000002</v>
      </c>
      <c r="H195" s="42">
        <v>659.62933299999997</v>
      </c>
      <c r="I195" s="42">
        <v>358.55712899999997</v>
      </c>
      <c r="J195" s="42">
        <v>377.14150999999998</v>
      </c>
      <c r="L195" s="50">
        <f t="shared" si="22"/>
        <v>9.6259917496106517E-3</v>
      </c>
      <c r="M195" s="50">
        <f t="shared" si="23"/>
        <v>1.0600270507016729E-2</v>
      </c>
      <c r="N195" s="50">
        <f t="shared" si="24"/>
        <v>-1.7587364508628855E-3</v>
      </c>
      <c r="O195" s="50">
        <f t="shared" si="25"/>
        <v>4.5069402833952665E-3</v>
      </c>
      <c r="P195" s="50">
        <f t="shared" si="26"/>
        <v>4.8466074528952241E-3</v>
      </c>
      <c r="Q195" s="50">
        <f t="shared" si="27"/>
        <v>-4.3991225366946107E-3</v>
      </c>
      <c r="R195" s="50">
        <f t="shared" si="28"/>
        <v>1.6662017703058307E-2</v>
      </c>
      <c r="S195" s="50">
        <f t="shared" si="29"/>
        <v>-1.8059568136078896E-2</v>
      </c>
      <c r="T195" s="50"/>
    </row>
    <row r="196" spans="2:20">
      <c r="B196" s="112">
        <v>43577</v>
      </c>
      <c r="C196" s="42">
        <v>39067.328125</v>
      </c>
      <c r="D196" s="42">
        <v>1706.844482</v>
      </c>
      <c r="E196" s="42">
        <v>10571.381836</v>
      </c>
      <c r="F196" s="42">
        <v>2918.2778320000002</v>
      </c>
      <c r="G196" s="42">
        <v>7089.1499020000001</v>
      </c>
      <c r="H196" s="42">
        <v>645.35296600000004</v>
      </c>
      <c r="I196" s="42">
        <v>351.50546300000002</v>
      </c>
      <c r="J196" s="42">
        <v>369.77468900000002</v>
      </c>
      <c r="L196" s="50">
        <f t="shared" si="22"/>
        <v>-1.8638886249700004E-3</v>
      </c>
      <c r="M196" s="50">
        <f t="shared" si="23"/>
        <v>4.2817360893068201E-3</v>
      </c>
      <c r="N196" s="50">
        <f t="shared" si="24"/>
        <v>1.5245243797701313E-3</v>
      </c>
      <c r="O196" s="50">
        <f t="shared" si="25"/>
        <v>-1.0024264861724586E-2</v>
      </c>
      <c r="P196" s="50">
        <f t="shared" si="26"/>
        <v>-6.3503983417563248E-3</v>
      </c>
      <c r="Q196" s="50">
        <f t="shared" si="27"/>
        <v>-2.1643014168382879E-2</v>
      </c>
      <c r="R196" s="50">
        <f t="shared" si="28"/>
        <v>-1.9666785094098471E-2</v>
      </c>
      <c r="S196" s="50">
        <f t="shared" si="29"/>
        <v>-1.9533307272381562E-2</v>
      </c>
      <c r="T196" s="50"/>
    </row>
    <row r="197" spans="2:20">
      <c r="B197" s="112">
        <v>43584</v>
      </c>
      <c r="C197" s="42">
        <v>38963.261719000002</v>
      </c>
      <c r="D197" s="42">
        <v>1654.2917480000001</v>
      </c>
      <c r="E197" s="42">
        <v>10103.576171999999</v>
      </c>
      <c r="F197" s="42">
        <v>2651.2502439999998</v>
      </c>
      <c r="G197" s="42">
        <v>6905.4111329999996</v>
      </c>
      <c r="H197" s="42">
        <v>633.645264</v>
      </c>
      <c r="I197" s="42">
        <v>348.71417200000002</v>
      </c>
      <c r="J197" s="42">
        <v>362.36004600000001</v>
      </c>
      <c r="L197" s="50">
        <f t="shared" ref="L197:L260" si="30">C197/C196-1</f>
        <v>-2.6637707515350106E-3</v>
      </c>
      <c r="M197" s="50">
        <f t="shared" ref="M197:M260" si="31">D197/D196-1</f>
        <v>-3.078940967042354E-2</v>
      </c>
      <c r="N197" s="50">
        <f t="shared" ref="N197:N260" si="32">E197/E196-1</f>
        <v>-4.4252082770005141E-2</v>
      </c>
      <c r="O197" s="50">
        <f t="shared" ref="O197:O260" si="33">F197/F196-1</f>
        <v>-9.1501770349602718E-2</v>
      </c>
      <c r="P197" s="50">
        <f t="shared" ref="P197:P260" si="34">G197/G196-1</f>
        <v>-2.5918307771734872E-2</v>
      </c>
      <c r="Q197" s="50">
        <f t="shared" ref="Q197:Q260" si="35">H197/H196-1</f>
        <v>-1.8141548294983822E-2</v>
      </c>
      <c r="R197" s="50">
        <f t="shared" ref="R197:R260" si="36">I197/I196-1</f>
        <v>-7.9409605079168166E-3</v>
      </c>
      <c r="S197" s="50">
        <f t="shared" ref="S197:S260" si="37">J197/J196-1</f>
        <v>-2.0051786183775344E-2</v>
      </c>
      <c r="T197" s="50"/>
    </row>
    <row r="198" spans="2:20">
      <c r="B198" s="112">
        <v>43591</v>
      </c>
      <c r="C198" s="42">
        <v>37462.988280999998</v>
      </c>
      <c r="D198" s="42">
        <v>1648.33313</v>
      </c>
      <c r="E198" s="42">
        <v>9903.5693360000005</v>
      </c>
      <c r="F198" s="42">
        <v>2643.7768550000001</v>
      </c>
      <c r="G198" s="42">
        <v>6950.4711909999996</v>
      </c>
      <c r="H198" s="42">
        <v>636.80682400000001</v>
      </c>
      <c r="I198" s="42">
        <v>349.79150399999997</v>
      </c>
      <c r="J198" s="42">
        <v>351.45339999999999</v>
      </c>
      <c r="L198" s="50">
        <f t="shared" si="30"/>
        <v>-3.8504821511603948E-2</v>
      </c>
      <c r="M198" s="50">
        <f t="shared" si="31"/>
        <v>-3.6019148419279556E-3</v>
      </c>
      <c r="N198" s="50">
        <f t="shared" si="32"/>
        <v>-1.9795647857268284E-2</v>
      </c>
      <c r="O198" s="50">
        <f t="shared" si="33"/>
        <v>-2.8188169022945742E-3</v>
      </c>
      <c r="P198" s="50">
        <f t="shared" si="34"/>
        <v>6.52532588315613E-3</v>
      </c>
      <c r="Q198" s="50">
        <f t="shared" si="35"/>
        <v>4.9894794132006037E-3</v>
      </c>
      <c r="R198" s="50">
        <f t="shared" si="36"/>
        <v>3.0894414007354154E-3</v>
      </c>
      <c r="S198" s="50">
        <f t="shared" si="37"/>
        <v>-3.0098919901340393E-2</v>
      </c>
      <c r="T198" s="50"/>
    </row>
    <row r="199" spans="2:20">
      <c r="B199" s="112">
        <v>43598</v>
      </c>
      <c r="C199" s="42">
        <v>37930.769530999998</v>
      </c>
      <c r="D199" s="42">
        <v>1696.5391850000001</v>
      </c>
      <c r="E199" s="42">
        <v>10152.829102</v>
      </c>
      <c r="F199" s="42">
        <v>2732.9663089999999</v>
      </c>
      <c r="G199" s="42">
        <v>7212.9409180000002</v>
      </c>
      <c r="H199" s="42">
        <v>663.82440199999996</v>
      </c>
      <c r="I199" s="42">
        <v>353.02355999999997</v>
      </c>
      <c r="J199" s="42">
        <v>352.74499500000002</v>
      </c>
      <c r="L199" s="50">
        <f t="shared" si="30"/>
        <v>1.2486490572810149E-2</v>
      </c>
      <c r="M199" s="50">
        <f t="shared" si="31"/>
        <v>2.9245335255744243E-2</v>
      </c>
      <c r="N199" s="50">
        <f t="shared" si="32"/>
        <v>2.5168679851003573E-2</v>
      </c>
      <c r="O199" s="50">
        <f t="shared" si="33"/>
        <v>3.3735621004216565E-2</v>
      </c>
      <c r="P199" s="50">
        <f t="shared" si="34"/>
        <v>3.7762868126101523E-2</v>
      </c>
      <c r="Q199" s="50">
        <f t="shared" si="35"/>
        <v>4.2426646483298303E-2</v>
      </c>
      <c r="R199" s="50">
        <f t="shared" si="36"/>
        <v>9.2399499788879957E-3</v>
      </c>
      <c r="S199" s="50">
        <f t="shared" si="37"/>
        <v>3.6750106842045049E-3</v>
      </c>
      <c r="T199" s="50"/>
    </row>
    <row r="200" spans="2:20">
      <c r="B200" s="112">
        <v>43605</v>
      </c>
      <c r="C200" s="42">
        <v>39434.71875</v>
      </c>
      <c r="D200" s="42">
        <v>1709.0423579999999</v>
      </c>
      <c r="E200" s="42">
        <v>10341.319336</v>
      </c>
      <c r="F200" s="42">
        <v>2803.5708009999998</v>
      </c>
      <c r="G200" s="42">
        <v>7202.6865230000003</v>
      </c>
      <c r="H200" s="42">
        <v>653.81457499999999</v>
      </c>
      <c r="I200" s="42">
        <v>355.66793799999999</v>
      </c>
      <c r="J200" s="42">
        <v>344.13443000000001</v>
      </c>
      <c r="L200" s="50">
        <f t="shared" si="30"/>
        <v>3.9649847276914674E-2</v>
      </c>
      <c r="M200" s="50">
        <f t="shared" si="31"/>
        <v>7.3698109130322376E-3</v>
      </c>
      <c r="N200" s="50">
        <f t="shared" si="32"/>
        <v>1.8565291713899645E-2</v>
      </c>
      <c r="O200" s="50">
        <f t="shared" si="33"/>
        <v>2.583438067549193E-2</v>
      </c>
      <c r="P200" s="50">
        <f t="shared" si="34"/>
        <v>-1.4216662962550641E-3</v>
      </c>
      <c r="Q200" s="50">
        <f t="shared" si="35"/>
        <v>-1.5079028384376802E-2</v>
      </c>
      <c r="R200" s="50">
        <f t="shared" si="36"/>
        <v>7.4906558644414201E-3</v>
      </c>
      <c r="S200" s="50">
        <f t="shared" si="37"/>
        <v>-2.441016916483818E-2</v>
      </c>
      <c r="T200" s="50"/>
    </row>
    <row r="201" spans="2:20">
      <c r="B201" s="112">
        <v>43612</v>
      </c>
      <c r="C201" s="42">
        <v>39714.199219000002</v>
      </c>
      <c r="D201" s="42">
        <v>1747.040649</v>
      </c>
      <c r="E201" s="42">
        <v>11154.364258</v>
      </c>
      <c r="F201" s="42">
        <v>2873.290039</v>
      </c>
      <c r="G201" s="42">
        <v>7289.453125</v>
      </c>
      <c r="H201" s="42">
        <v>681.91162099999997</v>
      </c>
      <c r="I201" s="42">
        <v>364.28662100000003</v>
      </c>
      <c r="J201" s="42">
        <v>333.22775300000001</v>
      </c>
      <c r="L201" s="50">
        <f t="shared" si="30"/>
        <v>7.0871678018498141E-3</v>
      </c>
      <c r="M201" s="50">
        <f t="shared" si="31"/>
        <v>2.223367421066591E-2</v>
      </c>
      <c r="N201" s="50">
        <f t="shared" si="32"/>
        <v>7.8621005268606492E-2</v>
      </c>
      <c r="O201" s="50">
        <f t="shared" si="33"/>
        <v>2.4868014025232421E-2</v>
      </c>
      <c r="P201" s="50">
        <f t="shared" si="34"/>
        <v>1.2046422084722508E-2</v>
      </c>
      <c r="Q201" s="50">
        <f t="shared" si="35"/>
        <v>4.2974028225051475E-2</v>
      </c>
      <c r="R201" s="50">
        <f t="shared" si="36"/>
        <v>2.4232386670737904E-2</v>
      </c>
      <c r="S201" s="50">
        <f t="shared" si="37"/>
        <v>-3.1693071222196556E-2</v>
      </c>
      <c r="T201" s="50"/>
    </row>
    <row r="202" spans="2:20">
      <c r="B202" s="112">
        <v>43619</v>
      </c>
      <c r="C202" s="42">
        <v>39615.898437999997</v>
      </c>
      <c r="D202" s="42">
        <v>1788.311279</v>
      </c>
      <c r="E202" s="42">
        <v>11159.895508</v>
      </c>
      <c r="F202" s="42">
        <v>2851.0173340000001</v>
      </c>
      <c r="G202" s="42">
        <v>7596.6870120000003</v>
      </c>
      <c r="H202" s="42">
        <v>685.33081100000004</v>
      </c>
      <c r="I202" s="42">
        <v>366.14746100000002</v>
      </c>
      <c r="J202" s="42">
        <v>326.53064000000001</v>
      </c>
      <c r="L202" s="50">
        <f t="shared" si="30"/>
        <v>-2.4752049124278086E-3</v>
      </c>
      <c r="M202" s="50">
        <f t="shared" si="31"/>
        <v>2.3623165278737535E-2</v>
      </c>
      <c r="N202" s="50">
        <f t="shared" si="32"/>
        <v>4.958821383327372E-4</v>
      </c>
      <c r="O202" s="50">
        <f t="shared" si="33"/>
        <v>-7.7516382605605783E-3</v>
      </c>
      <c r="P202" s="50">
        <f t="shared" si="34"/>
        <v>4.2147727920261557E-2</v>
      </c>
      <c r="Q202" s="50">
        <f t="shared" si="35"/>
        <v>5.0141248436064156E-3</v>
      </c>
      <c r="R202" s="50">
        <f t="shared" si="36"/>
        <v>5.1081755209450019E-3</v>
      </c>
      <c r="S202" s="50">
        <f t="shared" si="37"/>
        <v>-2.0097704767105595E-2</v>
      </c>
      <c r="T202" s="50"/>
    </row>
    <row r="203" spans="2:20">
      <c r="B203" s="112">
        <v>43626</v>
      </c>
      <c r="C203" s="42">
        <v>39452.070312999997</v>
      </c>
      <c r="D203" s="42">
        <v>1780.692139</v>
      </c>
      <c r="E203" s="42">
        <v>11145.537109000001</v>
      </c>
      <c r="F203" s="42">
        <v>2914.7380370000001</v>
      </c>
      <c r="G203" s="42">
        <v>7618.4282229999999</v>
      </c>
      <c r="H203" s="42">
        <v>657.23382600000002</v>
      </c>
      <c r="I203" s="42">
        <v>361.44635</v>
      </c>
      <c r="J203" s="42">
        <v>317.58529700000003</v>
      </c>
      <c r="L203" s="50">
        <f t="shared" si="30"/>
        <v>-4.1354135955390392E-3</v>
      </c>
      <c r="M203" s="50">
        <f t="shared" si="31"/>
        <v>-4.2605222532962062E-3</v>
      </c>
      <c r="N203" s="50">
        <f t="shared" si="32"/>
        <v>-1.2866069390798929E-3</v>
      </c>
      <c r="O203" s="50">
        <f t="shared" si="33"/>
        <v>2.2350163304899695E-2</v>
      </c>
      <c r="P203" s="50">
        <f t="shared" si="34"/>
        <v>2.8619332303221334E-3</v>
      </c>
      <c r="Q203" s="50">
        <f t="shared" si="35"/>
        <v>-4.0997697096096242E-2</v>
      </c>
      <c r="R203" s="50">
        <f t="shared" si="36"/>
        <v>-1.2839392596525556E-2</v>
      </c>
      <c r="S203" s="50">
        <f t="shared" si="37"/>
        <v>-2.7395110608915529E-2</v>
      </c>
      <c r="T203" s="50"/>
    </row>
    <row r="204" spans="2:20">
      <c r="B204" s="112">
        <v>43633</v>
      </c>
      <c r="C204" s="42">
        <v>39194.488280999998</v>
      </c>
      <c r="D204" s="42">
        <v>1725.6972659999999</v>
      </c>
      <c r="E204" s="42">
        <v>11254.091796999999</v>
      </c>
      <c r="F204" s="42">
        <v>2779.626221</v>
      </c>
      <c r="G204" s="42">
        <v>7476.8403319999998</v>
      </c>
      <c r="H204" s="42">
        <v>663.42804000000001</v>
      </c>
      <c r="I204" s="42">
        <v>361.691193</v>
      </c>
      <c r="J204" s="42">
        <v>276.78088400000001</v>
      </c>
      <c r="L204" s="50">
        <f t="shared" si="30"/>
        <v>-6.5289864373764273E-3</v>
      </c>
      <c r="M204" s="50">
        <f t="shared" si="31"/>
        <v>-3.0883987071950614E-2</v>
      </c>
      <c r="N204" s="50">
        <f t="shared" si="32"/>
        <v>9.7397448806968434E-3</v>
      </c>
      <c r="O204" s="50">
        <f t="shared" si="33"/>
        <v>-4.6354702990414998E-2</v>
      </c>
      <c r="P204" s="50">
        <f t="shared" si="34"/>
        <v>-1.8584921568539192E-2</v>
      </c>
      <c r="Q204" s="50">
        <f t="shared" si="35"/>
        <v>9.4246731603859768E-3</v>
      </c>
      <c r="R204" s="50">
        <f t="shared" si="36"/>
        <v>6.7739790428089641E-4</v>
      </c>
      <c r="S204" s="50">
        <f t="shared" si="37"/>
        <v>-0.12848331892392362</v>
      </c>
      <c r="T204" s="50"/>
    </row>
    <row r="205" spans="2:20">
      <c r="B205" s="112">
        <v>43640</v>
      </c>
      <c r="C205" s="42">
        <v>39394.640625</v>
      </c>
      <c r="D205" s="42">
        <v>1758.7817379999999</v>
      </c>
      <c r="E205" s="42">
        <v>11556.474609000001</v>
      </c>
      <c r="F205" s="42">
        <v>2698.0085450000001</v>
      </c>
      <c r="G205" s="42">
        <v>7582.5874020000001</v>
      </c>
      <c r="H205" s="42">
        <v>657.18414299999995</v>
      </c>
      <c r="I205" s="42">
        <v>362.91546599999998</v>
      </c>
      <c r="J205" s="42">
        <v>286.15685999999999</v>
      </c>
      <c r="L205" s="50">
        <f t="shared" si="30"/>
        <v>5.106645163091228E-3</v>
      </c>
      <c r="M205" s="50">
        <f t="shared" si="31"/>
        <v>1.9171654641770841E-2</v>
      </c>
      <c r="N205" s="50">
        <f t="shared" si="32"/>
        <v>2.6868699620933301E-2</v>
      </c>
      <c r="O205" s="50">
        <f t="shared" si="33"/>
        <v>-2.9362824175200419E-2</v>
      </c>
      <c r="P205" s="50">
        <f t="shared" si="34"/>
        <v>1.4143283165672926E-2</v>
      </c>
      <c r="Q205" s="50">
        <f t="shared" si="35"/>
        <v>-9.4115663245105674E-3</v>
      </c>
      <c r="R205" s="50">
        <f t="shared" si="36"/>
        <v>3.3848570927188515E-3</v>
      </c>
      <c r="S205" s="50">
        <f t="shared" si="37"/>
        <v>3.3875085101614077E-2</v>
      </c>
      <c r="T205" s="50"/>
    </row>
    <row r="206" spans="2:20">
      <c r="B206" s="112">
        <v>43647</v>
      </c>
      <c r="C206" s="42">
        <v>39513.390625</v>
      </c>
      <c r="D206" s="42">
        <v>1762.5205080000001</v>
      </c>
      <c r="E206" s="42">
        <v>11599.450194999999</v>
      </c>
      <c r="F206" s="42">
        <v>2777.8071289999998</v>
      </c>
      <c r="G206" s="42">
        <v>7676.0590819999998</v>
      </c>
      <c r="H206" s="42">
        <v>665.85613999999998</v>
      </c>
      <c r="I206" s="42">
        <v>370.995453</v>
      </c>
      <c r="J206" s="42">
        <v>294.62387100000001</v>
      </c>
      <c r="L206" s="50">
        <f t="shared" si="30"/>
        <v>3.0143694196982374E-3</v>
      </c>
      <c r="M206" s="50">
        <f t="shared" si="31"/>
        <v>2.1257725840682085E-3</v>
      </c>
      <c r="N206" s="50">
        <f t="shared" si="32"/>
        <v>3.7187453314291297E-3</v>
      </c>
      <c r="O206" s="50">
        <f t="shared" si="33"/>
        <v>2.9576846280892521E-2</v>
      </c>
      <c r="P206" s="50">
        <f t="shared" si="34"/>
        <v>1.2327148378842967E-2</v>
      </c>
      <c r="Q206" s="50">
        <f t="shared" si="35"/>
        <v>1.3195688137594086E-2</v>
      </c>
      <c r="R206" s="50">
        <f t="shared" si="36"/>
        <v>2.2264102131155816E-2</v>
      </c>
      <c r="S206" s="50">
        <f t="shared" si="37"/>
        <v>2.9588705299604001E-2</v>
      </c>
      <c r="T206" s="50"/>
    </row>
    <row r="207" spans="2:20">
      <c r="B207" s="112">
        <v>43654</v>
      </c>
      <c r="C207" s="42">
        <v>38736.230469000002</v>
      </c>
      <c r="D207" s="42">
        <v>1685.581177</v>
      </c>
      <c r="E207" s="42">
        <v>11323.259765999999</v>
      </c>
      <c r="F207" s="42">
        <v>2734.2939449999999</v>
      </c>
      <c r="G207" s="42">
        <v>7318.8852539999998</v>
      </c>
      <c r="H207" s="42">
        <v>622.54608199999996</v>
      </c>
      <c r="I207" s="42">
        <v>363.35617100000002</v>
      </c>
      <c r="J207" s="42">
        <v>296.68081699999999</v>
      </c>
      <c r="L207" s="50">
        <f t="shared" si="30"/>
        <v>-1.9668273051422047E-2</v>
      </c>
      <c r="M207" s="50">
        <f t="shared" si="31"/>
        <v>-4.3653013199435708E-2</v>
      </c>
      <c r="N207" s="50">
        <f t="shared" si="32"/>
        <v>-2.3810648294266046E-2</v>
      </c>
      <c r="O207" s="50">
        <f t="shared" si="33"/>
        <v>-1.5664580721147625E-2</v>
      </c>
      <c r="P207" s="50">
        <f t="shared" si="34"/>
        <v>-4.6530885729834437E-2</v>
      </c>
      <c r="Q207" s="50">
        <f t="shared" si="35"/>
        <v>-6.5044167047855206E-2</v>
      </c>
      <c r="R207" s="50">
        <f t="shared" si="36"/>
        <v>-2.0591308972188305E-2</v>
      </c>
      <c r="S207" s="50">
        <f t="shared" si="37"/>
        <v>6.9815999396736217E-3</v>
      </c>
      <c r="T207" s="50"/>
    </row>
    <row r="208" spans="2:20">
      <c r="B208" s="112">
        <v>43661</v>
      </c>
      <c r="C208" s="42">
        <v>38337.011719000002</v>
      </c>
      <c r="D208" s="42">
        <v>1692.665283</v>
      </c>
      <c r="E208" s="42">
        <v>11201.802734000001</v>
      </c>
      <c r="F208" s="42">
        <v>2703.3676759999998</v>
      </c>
      <c r="G208" s="42">
        <v>7279.6430659999996</v>
      </c>
      <c r="H208" s="42">
        <v>622.24865699999998</v>
      </c>
      <c r="I208" s="42">
        <v>357.43084700000003</v>
      </c>
      <c r="J208" s="42">
        <v>305.96105999999997</v>
      </c>
      <c r="L208" s="50">
        <f t="shared" si="30"/>
        <v>-1.0306081546047396E-2</v>
      </c>
      <c r="M208" s="50">
        <f t="shared" si="31"/>
        <v>4.2027676249969392E-3</v>
      </c>
      <c r="N208" s="50">
        <f t="shared" si="32"/>
        <v>-1.072633097800102E-2</v>
      </c>
      <c r="O208" s="50">
        <f t="shared" si="33"/>
        <v>-1.1310513654375964E-2</v>
      </c>
      <c r="P208" s="50">
        <f t="shared" si="34"/>
        <v>-5.3617711766354992E-3</v>
      </c>
      <c r="Q208" s="50">
        <f t="shared" si="35"/>
        <v>-4.7775579768238874E-4</v>
      </c>
      <c r="R208" s="50">
        <f t="shared" si="36"/>
        <v>-1.6307206187506806E-2</v>
      </c>
      <c r="S208" s="50">
        <f t="shared" si="37"/>
        <v>3.128022598104141E-2</v>
      </c>
      <c r="T208" s="50"/>
    </row>
    <row r="209" spans="2:20">
      <c r="B209" s="112">
        <v>43668</v>
      </c>
      <c r="C209" s="42">
        <v>37882.789062999997</v>
      </c>
      <c r="D209" s="42">
        <v>1702.75</v>
      </c>
      <c r="E209" s="42">
        <v>11275.725586</v>
      </c>
      <c r="F209" s="42">
        <v>2624.0114749999998</v>
      </c>
      <c r="G209" s="42">
        <v>7265.8881840000004</v>
      </c>
      <c r="H209" s="42">
        <v>613.874146</v>
      </c>
      <c r="I209" s="42">
        <v>353.611176</v>
      </c>
      <c r="J209" s="42">
        <v>307.63531499999999</v>
      </c>
      <c r="L209" s="50">
        <f t="shared" si="30"/>
        <v>-1.184814975484616E-2</v>
      </c>
      <c r="M209" s="50">
        <f t="shared" si="31"/>
        <v>5.9578920305651817E-3</v>
      </c>
      <c r="N209" s="50">
        <f t="shared" si="32"/>
        <v>6.5991924474466668E-3</v>
      </c>
      <c r="O209" s="50">
        <f t="shared" si="33"/>
        <v>-2.9354571967590615E-2</v>
      </c>
      <c r="P209" s="50">
        <f t="shared" si="34"/>
        <v>-1.8894995091507383E-3</v>
      </c>
      <c r="Q209" s="50">
        <f t="shared" si="35"/>
        <v>-1.3458463760091299E-2</v>
      </c>
      <c r="R209" s="50">
        <f t="shared" si="36"/>
        <v>-1.068646154090902E-2</v>
      </c>
      <c r="S209" s="50">
        <f t="shared" si="37"/>
        <v>5.4721179224572758E-3</v>
      </c>
      <c r="T209" s="50"/>
    </row>
    <row r="210" spans="2:20">
      <c r="B210" s="112">
        <v>43675</v>
      </c>
      <c r="C210" s="42">
        <v>37118.21875</v>
      </c>
      <c r="D210" s="42">
        <v>1709.440308</v>
      </c>
      <c r="E210" s="42">
        <v>11070.353515999999</v>
      </c>
      <c r="F210" s="42">
        <v>2551.1945799999999</v>
      </c>
      <c r="G210" s="42">
        <v>7424.2001950000003</v>
      </c>
      <c r="H210" s="42">
        <v>606.29229699999996</v>
      </c>
      <c r="I210" s="42">
        <v>364.97216800000001</v>
      </c>
      <c r="J210" s="42">
        <v>298.35507200000001</v>
      </c>
      <c r="L210" s="50">
        <f t="shared" si="30"/>
        <v>-2.0182524357657439E-2</v>
      </c>
      <c r="M210" s="50">
        <f t="shared" si="31"/>
        <v>3.9291193657318146E-3</v>
      </c>
      <c r="N210" s="50">
        <f t="shared" si="32"/>
        <v>-1.82136456260511E-2</v>
      </c>
      <c r="O210" s="50">
        <f t="shared" si="33"/>
        <v>-2.7750219727983416E-2</v>
      </c>
      <c r="P210" s="50">
        <f t="shared" si="34"/>
        <v>2.1788390763928023E-2</v>
      </c>
      <c r="Q210" s="50">
        <f t="shared" si="35"/>
        <v>-1.2350819869843543E-2</v>
      </c>
      <c r="R210" s="50">
        <f t="shared" si="36"/>
        <v>3.2128486798731704E-2</v>
      </c>
      <c r="S210" s="50">
        <f t="shared" si="37"/>
        <v>-3.0166377354953533E-2</v>
      </c>
      <c r="T210" s="50"/>
    </row>
    <row r="211" spans="2:20">
      <c r="B211" s="112">
        <v>43682</v>
      </c>
      <c r="C211" s="42">
        <v>37581.910155999998</v>
      </c>
      <c r="D211" s="42">
        <v>1811.665283</v>
      </c>
      <c r="E211" s="42">
        <v>11634.759765999999</v>
      </c>
      <c r="F211" s="42">
        <v>2559.7883299999999</v>
      </c>
      <c r="G211" s="42">
        <v>7877.75</v>
      </c>
      <c r="H211" s="42">
        <v>647.57080099999996</v>
      </c>
      <c r="I211" s="42">
        <v>383.97247299999998</v>
      </c>
      <c r="J211" s="42">
        <v>305.73831200000001</v>
      </c>
      <c r="L211" s="50">
        <f t="shared" si="30"/>
        <v>1.2492286042147471E-2</v>
      </c>
      <c r="M211" s="50">
        <f t="shared" si="31"/>
        <v>5.9800260074363454E-2</v>
      </c>
      <c r="N211" s="50">
        <f t="shared" si="32"/>
        <v>5.0983579628623765E-2</v>
      </c>
      <c r="O211" s="50">
        <f t="shared" si="33"/>
        <v>3.3685200130835202E-3</v>
      </c>
      <c r="P211" s="50">
        <f t="shared" si="34"/>
        <v>6.1090729383274534E-2</v>
      </c>
      <c r="Q211" s="50">
        <f t="shared" si="35"/>
        <v>6.8083503953869196E-2</v>
      </c>
      <c r="R211" s="50">
        <f t="shared" si="36"/>
        <v>5.2059599788441879E-2</v>
      </c>
      <c r="S211" s="50">
        <f t="shared" si="37"/>
        <v>2.4746487299535547E-2</v>
      </c>
      <c r="T211" s="50"/>
    </row>
    <row r="212" spans="2:20">
      <c r="B212" s="112">
        <v>43689</v>
      </c>
      <c r="C212" s="42">
        <v>37350.328125</v>
      </c>
      <c r="D212" s="42">
        <v>1799.170044</v>
      </c>
      <c r="E212" s="42">
        <v>11825.303711</v>
      </c>
      <c r="F212" s="42">
        <v>2472.060547</v>
      </c>
      <c r="G212" s="42">
        <v>7914.2001950000003</v>
      </c>
      <c r="H212" s="42">
        <v>619.24408000000005</v>
      </c>
      <c r="I212" s="42">
        <v>384.119415</v>
      </c>
      <c r="J212" s="42">
        <v>295.73178100000001</v>
      </c>
      <c r="L212" s="50">
        <f t="shared" si="30"/>
        <v>-6.1620612161200627E-3</v>
      </c>
      <c r="M212" s="50">
        <f t="shared" si="31"/>
        <v>-6.897101311843179E-3</v>
      </c>
      <c r="N212" s="50">
        <f t="shared" si="32"/>
        <v>1.6377127575665451E-2</v>
      </c>
      <c r="O212" s="50">
        <f t="shared" si="33"/>
        <v>-3.4271498925069199E-2</v>
      </c>
      <c r="P212" s="50">
        <f t="shared" si="34"/>
        <v>4.6269804195360198E-3</v>
      </c>
      <c r="Q212" s="50">
        <f t="shared" si="35"/>
        <v>-4.3743048568985587E-2</v>
      </c>
      <c r="R212" s="50">
        <f t="shared" si="36"/>
        <v>3.8268889134673856E-4</v>
      </c>
      <c r="S212" s="50">
        <f t="shared" si="37"/>
        <v>-3.2729071258822184E-2</v>
      </c>
      <c r="T212" s="50"/>
    </row>
    <row r="213" spans="2:20">
      <c r="B213" s="112">
        <v>43696</v>
      </c>
      <c r="C213" s="42">
        <v>36701.160155999998</v>
      </c>
      <c r="D213" s="42">
        <v>1830.0146480000001</v>
      </c>
      <c r="E213" s="42">
        <v>12253.123046999999</v>
      </c>
      <c r="F213" s="42">
        <v>2439.6198730000001</v>
      </c>
      <c r="G213" s="42">
        <v>8068.1499020000001</v>
      </c>
      <c r="H213" s="42">
        <v>596.92413299999998</v>
      </c>
      <c r="I213" s="42">
        <v>372.219696</v>
      </c>
      <c r="J213" s="42">
        <v>284.10659800000002</v>
      </c>
      <c r="L213" s="50">
        <f t="shared" si="30"/>
        <v>-1.738051582378175E-2</v>
      </c>
      <c r="M213" s="50">
        <f t="shared" si="31"/>
        <v>1.7143795886810587E-2</v>
      </c>
      <c r="N213" s="50">
        <f t="shared" si="32"/>
        <v>3.6178295835398888E-2</v>
      </c>
      <c r="O213" s="50">
        <f t="shared" si="33"/>
        <v>-1.3122928578496507E-2</v>
      </c>
      <c r="P213" s="50">
        <f t="shared" si="34"/>
        <v>1.9452339239189431E-2</v>
      </c>
      <c r="Q213" s="50">
        <f t="shared" si="35"/>
        <v>-3.6043860120552274E-2</v>
      </c>
      <c r="R213" s="50">
        <f t="shared" si="36"/>
        <v>-3.0979217751854637E-2</v>
      </c>
      <c r="S213" s="50">
        <f t="shared" si="37"/>
        <v>-3.930988736039831E-2</v>
      </c>
      <c r="T213" s="50"/>
    </row>
    <row r="214" spans="2:20">
      <c r="B214" s="112">
        <v>43703</v>
      </c>
      <c r="C214" s="42">
        <v>37332.789062999997</v>
      </c>
      <c r="D214" s="42">
        <v>1851.5616460000001</v>
      </c>
      <c r="E214" s="42">
        <v>12683.112305000001</v>
      </c>
      <c r="F214" s="42">
        <v>2672.0446780000002</v>
      </c>
      <c r="G214" s="42">
        <v>8102.25</v>
      </c>
      <c r="H214" s="42">
        <v>605.424622</v>
      </c>
      <c r="I214" s="42">
        <v>383.04205300000001</v>
      </c>
      <c r="J214" s="42">
        <v>291.36621100000002</v>
      </c>
      <c r="L214" s="50">
        <f t="shared" si="30"/>
        <v>1.7210052878852578E-2</v>
      </c>
      <c r="M214" s="50">
        <f t="shared" si="31"/>
        <v>1.177422160174979E-2</v>
      </c>
      <c r="N214" s="50">
        <f t="shared" si="32"/>
        <v>3.5092217416789806E-2</v>
      </c>
      <c r="O214" s="50">
        <f t="shared" si="33"/>
        <v>9.5270909854569874E-2</v>
      </c>
      <c r="P214" s="50">
        <f t="shared" si="34"/>
        <v>4.226507738973373E-3</v>
      </c>
      <c r="Q214" s="50">
        <f t="shared" si="35"/>
        <v>1.4240484728400116E-2</v>
      </c>
      <c r="R214" s="50">
        <f t="shared" si="36"/>
        <v>2.9075186284607701E-2</v>
      </c>
      <c r="S214" s="50">
        <f t="shared" si="37"/>
        <v>2.5552426628261626E-2</v>
      </c>
      <c r="T214" s="50"/>
    </row>
    <row r="215" spans="2:20">
      <c r="B215" s="112">
        <v>43710</v>
      </c>
      <c r="C215" s="42">
        <v>36981.769530999998</v>
      </c>
      <c r="D215" s="42">
        <v>1789.8232419999999</v>
      </c>
      <c r="E215" s="42">
        <v>12425.807617</v>
      </c>
      <c r="F215" s="42">
        <v>2638.7634280000002</v>
      </c>
      <c r="G215" s="42">
        <v>7860.0498049999997</v>
      </c>
      <c r="H215" s="42">
        <v>596.02929700000004</v>
      </c>
      <c r="I215" s="42">
        <v>374.61923200000001</v>
      </c>
      <c r="J215" s="42">
        <v>289.15887500000002</v>
      </c>
      <c r="L215" s="50">
        <f t="shared" si="30"/>
        <v>-9.4024459680106531E-3</v>
      </c>
      <c r="M215" s="50">
        <f t="shared" si="31"/>
        <v>-3.3343963531204057E-2</v>
      </c>
      <c r="N215" s="50">
        <f t="shared" si="32"/>
        <v>-2.0287188334567108E-2</v>
      </c>
      <c r="O215" s="50">
        <f t="shared" si="33"/>
        <v>-1.2455349371220392E-2</v>
      </c>
      <c r="P215" s="50">
        <f t="shared" si="34"/>
        <v>-2.989295504335221E-2</v>
      </c>
      <c r="Q215" s="50">
        <f t="shared" si="35"/>
        <v>-1.5518571030300743E-2</v>
      </c>
      <c r="R215" s="50">
        <f t="shared" si="36"/>
        <v>-2.1989285338338549E-2</v>
      </c>
      <c r="S215" s="50">
        <f t="shared" si="37"/>
        <v>-7.5758132434924352E-3</v>
      </c>
      <c r="T215" s="50"/>
    </row>
    <row r="216" spans="2:20">
      <c r="B216" s="112">
        <v>43717</v>
      </c>
      <c r="C216" s="42">
        <v>37384.988280999998</v>
      </c>
      <c r="D216" s="42">
        <v>1776.4426269999999</v>
      </c>
      <c r="E216" s="42">
        <v>12499.985352</v>
      </c>
      <c r="F216" s="42">
        <v>2645.29126</v>
      </c>
      <c r="G216" s="42">
        <v>7800.2998049999997</v>
      </c>
      <c r="H216" s="42">
        <v>619.94006300000001</v>
      </c>
      <c r="I216" s="42">
        <v>374.37441999999999</v>
      </c>
      <c r="J216" s="42">
        <v>293.81878699999999</v>
      </c>
      <c r="L216" s="50">
        <f t="shared" si="30"/>
        <v>1.0903176216649157E-2</v>
      </c>
      <c r="M216" s="50">
        <f t="shared" si="31"/>
        <v>-7.4759421411066951E-3</v>
      </c>
      <c r="N216" s="50">
        <f t="shared" si="32"/>
        <v>5.9696510107332124E-3</v>
      </c>
      <c r="O216" s="50">
        <f t="shared" si="33"/>
        <v>2.4738223710139007E-3</v>
      </c>
      <c r="P216" s="50">
        <f t="shared" si="34"/>
        <v>-7.6017330019959584E-3</v>
      </c>
      <c r="Q216" s="50">
        <f t="shared" si="35"/>
        <v>4.011676291811539E-2</v>
      </c>
      <c r="R216" s="50">
        <f t="shared" si="36"/>
        <v>-6.5349554718008296E-4</v>
      </c>
      <c r="S216" s="50">
        <f t="shared" si="37"/>
        <v>1.6115403685949437E-2</v>
      </c>
      <c r="T216" s="50"/>
    </row>
    <row r="217" spans="2:20">
      <c r="B217" s="112">
        <v>43724</v>
      </c>
      <c r="C217" s="42">
        <v>38014.621094000002</v>
      </c>
      <c r="D217" s="42">
        <v>1937.9954829999999</v>
      </c>
      <c r="E217" s="42">
        <v>13297.999023</v>
      </c>
      <c r="F217" s="42">
        <v>2835.5827640000002</v>
      </c>
      <c r="G217" s="42">
        <v>8435.9501949999994</v>
      </c>
      <c r="H217" s="42">
        <v>680.78576699999996</v>
      </c>
      <c r="I217" s="42">
        <v>372.36663800000002</v>
      </c>
      <c r="J217" s="42">
        <v>318.00119000000001</v>
      </c>
      <c r="L217" s="50">
        <f t="shared" si="30"/>
        <v>1.6841861986619966E-2</v>
      </c>
      <c r="M217" s="50">
        <f t="shared" si="31"/>
        <v>9.0941780806524264E-2</v>
      </c>
      <c r="N217" s="50">
        <f t="shared" si="32"/>
        <v>6.3841168491634903E-2</v>
      </c>
      <c r="O217" s="50">
        <f t="shared" si="33"/>
        <v>7.193593646092511E-2</v>
      </c>
      <c r="P217" s="50">
        <f t="shared" si="34"/>
        <v>8.149050753056275E-2</v>
      </c>
      <c r="Q217" s="50">
        <f t="shared" si="35"/>
        <v>9.8147720451484899E-2</v>
      </c>
      <c r="R217" s="50">
        <f t="shared" si="36"/>
        <v>-5.3630320148474464E-3</v>
      </c>
      <c r="S217" s="50">
        <f t="shared" si="37"/>
        <v>8.2303801084033568E-2</v>
      </c>
      <c r="T217" s="50"/>
    </row>
    <row r="218" spans="2:20">
      <c r="B218" s="112">
        <v>43731</v>
      </c>
      <c r="C218" s="42">
        <v>38822.570312999997</v>
      </c>
      <c r="D218" s="42">
        <v>1978.482178</v>
      </c>
      <c r="E218" s="42">
        <v>13535.896484000001</v>
      </c>
      <c r="F218" s="42">
        <v>2982.0600589999999</v>
      </c>
      <c r="G218" s="42">
        <v>8640.3496090000008</v>
      </c>
      <c r="H218" s="42">
        <v>688.24237100000005</v>
      </c>
      <c r="I218" s="42">
        <v>382.99307299999998</v>
      </c>
      <c r="J218" s="42">
        <v>314.12612899999999</v>
      </c>
      <c r="L218" s="50">
        <f t="shared" si="30"/>
        <v>2.1253643880920325E-2</v>
      </c>
      <c r="M218" s="50">
        <f t="shared" si="31"/>
        <v>2.089101618406608E-2</v>
      </c>
      <c r="N218" s="50">
        <f t="shared" si="32"/>
        <v>1.7889718640265784E-2</v>
      </c>
      <c r="O218" s="50">
        <f t="shared" si="33"/>
        <v>5.1656857581322102E-2</v>
      </c>
      <c r="P218" s="50">
        <f t="shared" si="34"/>
        <v>2.4229566234417632E-2</v>
      </c>
      <c r="Q218" s="50">
        <f t="shared" si="35"/>
        <v>1.0952937563396548E-2</v>
      </c>
      <c r="R218" s="50">
        <f t="shared" si="36"/>
        <v>2.8537559264371959E-2</v>
      </c>
      <c r="S218" s="50">
        <f t="shared" si="37"/>
        <v>-1.2185680814590705E-2</v>
      </c>
      <c r="T218" s="50"/>
    </row>
    <row r="219" spans="2:20">
      <c r="B219" s="112">
        <v>43738</v>
      </c>
      <c r="C219" s="42">
        <v>37673.308594000002</v>
      </c>
      <c r="D219" s="42">
        <v>1912.857178</v>
      </c>
      <c r="E219" s="42">
        <v>13240.469727</v>
      </c>
      <c r="F219" s="42">
        <v>2813.9721679999998</v>
      </c>
      <c r="G219" s="42">
        <v>8336.4501949999994</v>
      </c>
      <c r="H219" s="42">
        <v>664.67950399999995</v>
      </c>
      <c r="I219" s="42">
        <v>370.995453</v>
      </c>
      <c r="J219" s="42">
        <v>304.11962899999997</v>
      </c>
      <c r="L219" s="50">
        <f t="shared" si="30"/>
        <v>-2.9602927104884547E-2</v>
      </c>
      <c r="M219" s="50">
        <f t="shared" si="31"/>
        <v>-3.3169366259512501E-2</v>
      </c>
      <c r="N219" s="50">
        <f t="shared" si="32"/>
        <v>-2.1825429689803499E-2</v>
      </c>
      <c r="O219" s="50">
        <f t="shared" si="33"/>
        <v>-5.6366366764714515E-2</v>
      </c>
      <c r="P219" s="50">
        <f t="shared" si="34"/>
        <v>-3.5172120082207381E-2</v>
      </c>
      <c r="Q219" s="50">
        <f t="shared" si="35"/>
        <v>-3.4236292319177908E-2</v>
      </c>
      <c r="R219" s="50">
        <f t="shared" si="36"/>
        <v>-3.1325945156193469E-2</v>
      </c>
      <c r="S219" s="50">
        <f t="shared" si="37"/>
        <v>-3.1855038712809591E-2</v>
      </c>
      <c r="T219" s="50"/>
    </row>
    <row r="220" spans="2:20">
      <c r="B220" s="112">
        <v>43745</v>
      </c>
      <c r="C220" s="42">
        <v>38127.078125</v>
      </c>
      <c r="D220" s="42">
        <v>1972.332764</v>
      </c>
      <c r="E220" s="42">
        <v>13823.047852</v>
      </c>
      <c r="F220" s="42">
        <v>3048.1772460000002</v>
      </c>
      <c r="G220" s="42">
        <v>8555.7998050000006</v>
      </c>
      <c r="H220" s="42">
        <v>688.34173599999997</v>
      </c>
      <c r="I220" s="42">
        <v>375.54968300000002</v>
      </c>
      <c r="J220" s="42">
        <v>296.320404</v>
      </c>
      <c r="L220" s="50">
        <f t="shared" si="30"/>
        <v>1.2044854777429004E-2</v>
      </c>
      <c r="M220" s="50">
        <f t="shared" si="31"/>
        <v>3.1092538786499979E-2</v>
      </c>
      <c r="N220" s="50">
        <f t="shared" si="32"/>
        <v>4.3999807938233992E-2</v>
      </c>
      <c r="O220" s="50">
        <f t="shared" si="33"/>
        <v>8.3229351257748663E-2</v>
      </c>
      <c r="P220" s="50">
        <f t="shared" si="34"/>
        <v>2.6312111854463138E-2</v>
      </c>
      <c r="Q220" s="50">
        <f t="shared" si="35"/>
        <v>3.5599460879419675E-2</v>
      </c>
      <c r="R220" s="50">
        <f t="shared" si="36"/>
        <v>1.2275703012457173E-2</v>
      </c>
      <c r="S220" s="50">
        <f t="shared" si="37"/>
        <v>-2.5645253565661719E-2</v>
      </c>
      <c r="T220" s="50"/>
    </row>
    <row r="221" spans="2:20">
      <c r="B221" s="112">
        <v>43752</v>
      </c>
      <c r="C221" s="42">
        <v>39298.378905999998</v>
      </c>
      <c r="D221" s="42">
        <v>2072.8852539999998</v>
      </c>
      <c r="E221" s="42">
        <v>14614.165039</v>
      </c>
      <c r="F221" s="42">
        <v>3216.7102049999999</v>
      </c>
      <c r="G221" s="42">
        <v>8953.6503909999992</v>
      </c>
      <c r="H221" s="42">
        <v>712.74969499999997</v>
      </c>
      <c r="I221" s="42">
        <v>383.77664199999998</v>
      </c>
      <c r="J221" s="42">
        <v>344.44000199999999</v>
      </c>
      <c r="L221" s="50">
        <f t="shared" si="30"/>
        <v>3.0720968891449818E-2</v>
      </c>
      <c r="M221" s="50">
        <f t="shared" si="31"/>
        <v>5.0981503646511328E-2</v>
      </c>
      <c r="N221" s="50">
        <f t="shared" si="32"/>
        <v>5.7231747691992352E-2</v>
      </c>
      <c r="O221" s="50">
        <f t="shared" si="33"/>
        <v>5.5289750365126844E-2</v>
      </c>
      <c r="P221" s="50">
        <f t="shared" si="34"/>
        <v>4.650068901419302E-2</v>
      </c>
      <c r="Q221" s="50">
        <f t="shared" si="35"/>
        <v>3.5459071742237169E-2</v>
      </c>
      <c r="R221" s="50">
        <f t="shared" si="36"/>
        <v>2.190644639686723E-2</v>
      </c>
      <c r="S221" s="50">
        <f t="shared" si="37"/>
        <v>0.16239043059620029</v>
      </c>
      <c r="T221" s="50"/>
    </row>
    <row r="222" spans="2:20">
      <c r="B222" s="112">
        <v>43759</v>
      </c>
      <c r="C222" s="42">
        <v>39058.058594000002</v>
      </c>
      <c r="D222" s="42">
        <v>2105.2546390000002</v>
      </c>
      <c r="E222" s="42">
        <v>14592.395508</v>
      </c>
      <c r="F222" s="42">
        <v>3223.3862300000001</v>
      </c>
      <c r="G222" s="42">
        <v>9072.4501949999994</v>
      </c>
      <c r="H222" s="42">
        <v>701.61450200000002</v>
      </c>
      <c r="I222" s="42">
        <v>383.04205300000001</v>
      </c>
      <c r="J222" s="42">
        <v>324.819366</v>
      </c>
      <c r="L222" s="50">
        <f t="shared" si="30"/>
        <v>-6.1152729117613935E-3</v>
      </c>
      <c r="M222" s="50">
        <f t="shared" si="31"/>
        <v>1.5615618345269144E-2</v>
      </c>
      <c r="N222" s="50">
        <f t="shared" si="32"/>
        <v>-1.4896185270868445E-3</v>
      </c>
      <c r="O222" s="50">
        <f t="shared" si="33"/>
        <v>2.0754200952337598E-3</v>
      </c>
      <c r="P222" s="50">
        <f t="shared" si="34"/>
        <v>1.3268309439400827E-2</v>
      </c>
      <c r="Q222" s="50">
        <f t="shared" si="35"/>
        <v>-1.5622866032934501E-2</v>
      </c>
      <c r="R222" s="50">
        <f t="shared" si="36"/>
        <v>-1.9141055489249048E-3</v>
      </c>
      <c r="S222" s="50">
        <f t="shared" si="37"/>
        <v>-5.6963871461131799E-2</v>
      </c>
      <c r="T222" s="50"/>
    </row>
    <row r="223" spans="2:20">
      <c r="B223" s="112">
        <v>43766</v>
      </c>
      <c r="C223" s="42">
        <v>40165.03125</v>
      </c>
      <c r="D223" s="42">
        <v>2155.361328</v>
      </c>
      <c r="E223" s="42">
        <v>14736.611328000001</v>
      </c>
      <c r="F223" s="42">
        <v>3232.7326659999999</v>
      </c>
      <c r="G223" s="42">
        <v>9239.3496090000008</v>
      </c>
      <c r="H223" s="42">
        <v>733.77716099999998</v>
      </c>
      <c r="I223" s="42">
        <v>362.76852400000001</v>
      </c>
      <c r="J223" s="42">
        <v>321.33667000000003</v>
      </c>
      <c r="L223" s="50">
        <f t="shared" si="30"/>
        <v>2.8341722447260853E-2</v>
      </c>
      <c r="M223" s="50">
        <f t="shared" si="31"/>
        <v>2.3800773584235158E-2</v>
      </c>
      <c r="N223" s="50">
        <f t="shared" si="32"/>
        <v>9.8829434770280056E-3</v>
      </c>
      <c r="O223" s="50">
        <f t="shared" si="33"/>
        <v>2.8995706170773516E-3</v>
      </c>
      <c r="P223" s="50">
        <f t="shared" si="34"/>
        <v>1.8396288809828132E-2</v>
      </c>
      <c r="Q223" s="50">
        <f t="shared" si="35"/>
        <v>4.5840926760091438E-2</v>
      </c>
      <c r="R223" s="50">
        <f t="shared" si="36"/>
        <v>-5.2927684679050069E-2</v>
      </c>
      <c r="S223" s="50">
        <f t="shared" si="37"/>
        <v>-1.0721946917413683E-2</v>
      </c>
      <c r="T223" s="50"/>
    </row>
    <row r="224" spans="2:20">
      <c r="B224" s="112">
        <v>43773</v>
      </c>
      <c r="C224" s="42">
        <v>40323.609375</v>
      </c>
      <c r="D224" s="42">
        <v>2063.4340820000002</v>
      </c>
      <c r="E224" s="42">
        <v>14255.398438</v>
      </c>
      <c r="F224" s="42">
        <v>3123.3940429999998</v>
      </c>
      <c r="G224" s="42">
        <v>8969.9003909999992</v>
      </c>
      <c r="H224" s="42">
        <v>730.24774200000002</v>
      </c>
      <c r="I224" s="42">
        <v>362.96444700000001</v>
      </c>
      <c r="J224" s="42">
        <v>318.34457400000002</v>
      </c>
      <c r="L224" s="50">
        <f t="shared" si="30"/>
        <v>3.9481638645557648E-3</v>
      </c>
      <c r="M224" s="50">
        <f t="shared" si="31"/>
        <v>-4.2650503563270603E-2</v>
      </c>
      <c r="N224" s="50">
        <f t="shared" si="32"/>
        <v>-3.2654243183144915E-2</v>
      </c>
      <c r="O224" s="50">
        <f t="shared" si="33"/>
        <v>-3.382235226251773E-2</v>
      </c>
      <c r="P224" s="50">
        <f t="shared" si="34"/>
        <v>-2.9163223538757777E-2</v>
      </c>
      <c r="Q224" s="50">
        <f t="shared" si="35"/>
        <v>-4.8099330254297579E-3</v>
      </c>
      <c r="R224" s="50">
        <f t="shared" si="36"/>
        <v>5.4007717604509509E-4</v>
      </c>
      <c r="S224" s="50">
        <f t="shared" si="37"/>
        <v>-9.3114053867552338E-3</v>
      </c>
      <c r="T224" s="50"/>
    </row>
    <row r="225" spans="2:20">
      <c r="B225" s="112">
        <v>43780</v>
      </c>
      <c r="C225" s="42">
        <v>40356.691405999998</v>
      </c>
      <c r="D225" s="42">
        <v>2035.0501710000001</v>
      </c>
      <c r="E225" s="42">
        <v>14082.222656</v>
      </c>
      <c r="F225" s="42">
        <v>3160.532471</v>
      </c>
      <c r="G225" s="42">
        <v>8842.8496090000008</v>
      </c>
      <c r="H225" s="42">
        <v>706.535889</v>
      </c>
      <c r="I225" s="42">
        <v>351.61859099999998</v>
      </c>
      <c r="J225" s="42">
        <v>307.700378</v>
      </c>
      <c r="L225" s="50">
        <f t="shared" si="30"/>
        <v>8.2041343800209887E-4</v>
      </c>
      <c r="M225" s="50">
        <f t="shared" si="31"/>
        <v>-1.3755666462816563E-2</v>
      </c>
      <c r="N225" s="50">
        <f t="shared" si="32"/>
        <v>-1.2148084303162832E-2</v>
      </c>
      <c r="O225" s="50">
        <f t="shared" si="33"/>
        <v>1.1890407514618007E-2</v>
      </c>
      <c r="P225" s="50">
        <f t="shared" si="34"/>
        <v>-1.4164124066246675E-2</v>
      </c>
      <c r="Q225" s="50">
        <f t="shared" si="35"/>
        <v>-3.2470970653134867E-2</v>
      </c>
      <c r="R225" s="50">
        <f t="shared" si="36"/>
        <v>-3.1258863213123544E-2</v>
      </c>
      <c r="S225" s="50">
        <f t="shared" si="37"/>
        <v>-3.3436084260069832E-2</v>
      </c>
      <c r="T225" s="50"/>
    </row>
    <row r="226" spans="2:20">
      <c r="B226" s="112">
        <v>43787</v>
      </c>
      <c r="C226" s="42">
        <v>40359.410155999998</v>
      </c>
      <c r="D226" s="42">
        <v>2006.0233149999999</v>
      </c>
      <c r="E226" s="42">
        <v>13960.071289</v>
      </c>
      <c r="F226" s="42">
        <v>2989.5270999999998</v>
      </c>
      <c r="G226" s="42">
        <v>8732.4003909999992</v>
      </c>
      <c r="H226" s="42">
        <v>710.52233899999999</v>
      </c>
      <c r="I226" s="42">
        <v>353.04931599999998</v>
      </c>
      <c r="J226" s="42">
        <v>309.01452599999999</v>
      </c>
      <c r="L226" s="50">
        <f t="shared" si="30"/>
        <v>6.7368010242763177E-5</v>
      </c>
      <c r="M226" s="50">
        <f t="shared" si="31"/>
        <v>-1.4263459650106225E-2</v>
      </c>
      <c r="N226" s="50">
        <f t="shared" si="32"/>
        <v>-8.6741539303779591E-3</v>
      </c>
      <c r="O226" s="50">
        <f t="shared" si="33"/>
        <v>-5.4106506599469806E-2</v>
      </c>
      <c r="P226" s="50">
        <f t="shared" si="34"/>
        <v>-1.2490229155044053E-2</v>
      </c>
      <c r="Q226" s="50">
        <f t="shared" si="35"/>
        <v>5.6422469998547164E-3</v>
      </c>
      <c r="R226" s="50">
        <f t="shared" si="36"/>
        <v>4.0689685830632705E-3</v>
      </c>
      <c r="S226" s="50">
        <f t="shared" si="37"/>
        <v>4.2708689815129652E-3</v>
      </c>
      <c r="T226" s="50"/>
    </row>
    <row r="227" spans="2:20">
      <c r="B227" s="112">
        <v>43794</v>
      </c>
      <c r="C227" s="42">
        <v>40793.808594000002</v>
      </c>
      <c r="D227" s="42">
        <v>2012.896851</v>
      </c>
      <c r="E227" s="42">
        <v>14238.356444999999</v>
      </c>
      <c r="F227" s="42">
        <v>3024.193115</v>
      </c>
      <c r="G227" s="42">
        <v>8846.7001949999994</v>
      </c>
      <c r="H227" s="42">
        <v>722.78472899999997</v>
      </c>
      <c r="I227" s="42">
        <v>355.12142899999998</v>
      </c>
      <c r="J227" s="42">
        <v>311.08746300000001</v>
      </c>
      <c r="L227" s="50">
        <f t="shared" si="30"/>
        <v>1.0763250412256786E-2</v>
      </c>
      <c r="M227" s="50">
        <f t="shared" si="31"/>
        <v>3.426448710044161E-3</v>
      </c>
      <c r="N227" s="50">
        <f t="shared" si="32"/>
        <v>1.9934364964115714E-2</v>
      </c>
      <c r="O227" s="50">
        <f t="shared" si="33"/>
        <v>1.1595818950763226E-2</v>
      </c>
      <c r="P227" s="50">
        <f t="shared" si="34"/>
        <v>1.3089162072527305E-2</v>
      </c>
      <c r="Q227" s="50">
        <f t="shared" si="35"/>
        <v>1.7258275112445043E-2</v>
      </c>
      <c r="R227" s="50">
        <f t="shared" si="36"/>
        <v>5.8691885413537648E-3</v>
      </c>
      <c r="S227" s="50">
        <f t="shared" si="37"/>
        <v>6.7082186291786972E-3</v>
      </c>
      <c r="T227" s="50"/>
    </row>
    <row r="228" spans="2:20">
      <c r="B228" s="112">
        <v>43801</v>
      </c>
      <c r="C228" s="42">
        <v>40445.148437999997</v>
      </c>
      <c r="D228" s="42">
        <v>2003.748779</v>
      </c>
      <c r="E228" s="42">
        <v>13954.949219</v>
      </c>
      <c r="F228" s="42">
        <v>3035.9628910000001</v>
      </c>
      <c r="G228" s="42">
        <v>8772.4501949999994</v>
      </c>
      <c r="H228" s="42">
        <v>662.86840800000004</v>
      </c>
      <c r="I228" s="42">
        <v>336.57107500000001</v>
      </c>
      <c r="J228" s="42">
        <v>313.95007299999997</v>
      </c>
      <c r="L228" s="50">
        <f t="shared" si="30"/>
        <v>-8.5468890504939443E-3</v>
      </c>
      <c r="M228" s="50">
        <f t="shared" si="31"/>
        <v>-4.544729649437973E-3</v>
      </c>
      <c r="N228" s="50">
        <f t="shared" si="32"/>
        <v>-1.9904490177271916E-2</v>
      </c>
      <c r="O228" s="50">
        <f t="shared" si="33"/>
        <v>3.8918731550647845E-3</v>
      </c>
      <c r="P228" s="50">
        <f t="shared" si="34"/>
        <v>-8.3929599018134349E-3</v>
      </c>
      <c r="Q228" s="50">
        <f t="shared" si="35"/>
        <v>-8.2896495451552199E-2</v>
      </c>
      <c r="R228" s="50">
        <f t="shared" si="36"/>
        <v>-5.2236650579596478E-2</v>
      </c>
      <c r="S228" s="50">
        <f t="shared" si="37"/>
        <v>9.2019458849099678E-3</v>
      </c>
      <c r="T228" s="50"/>
    </row>
    <row r="229" spans="2:20">
      <c r="B229" s="112">
        <v>43808</v>
      </c>
      <c r="C229" s="42">
        <v>41009.710937999997</v>
      </c>
      <c r="D229" s="42">
        <v>1984.1170649999999</v>
      </c>
      <c r="E229" s="42">
        <v>14088.230469</v>
      </c>
      <c r="F229" s="42">
        <v>3020.9291990000002</v>
      </c>
      <c r="G229" s="42">
        <v>8653.5498050000006</v>
      </c>
      <c r="H229" s="42">
        <v>672.68829300000004</v>
      </c>
      <c r="I229" s="42">
        <v>329.66403200000002</v>
      </c>
      <c r="J229" s="42">
        <v>305.95452899999998</v>
      </c>
      <c r="L229" s="50">
        <f t="shared" si="30"/>
        <v>1.3958719940549535E-2</v>
      </c>
      <c r="M229" s="50">
        <f t="shared" si="31"/>
        <v>-9.7974926825894482E-3</v>
      </c>
      <c r="N229" s="50">
        <f t="shared" si="32"/>
        <v>9.5508230025327379E-3</v>
      </c>
      <c r="O229" s="50">
        <f t="shared" si="33"/>
        <v>-4.9518694858118328E-3</v>
      </c>
      <c r="P229" s="50">
        <f t="shared" si="34"/>
        <v>-1.3553840415961305E-2</v>
      </c>
      <c r="Q229" s="50">
        <f t="shared" si="35"/>
        <v>1.4814229915751209E-2</v>
      </c>
      <c r="R229" s="50">
        <f t="shared" si="36"/>
        <v>-2.0521796176335094E-2</v>
      </c>
      <c r="S229" s="50">
        <f t="shared" si="37"/>
        <v>-2.5467565347564003E-2</v>
      </c>
      <c r="T229" s="50"/>
    </row>
    <row r="230" spans="2:20">
      <c r="B230" s="112">
        <v>43815</v>
      </c>
      <c r="C230" s="42">
        <v>41681.539062999997</v>
      </c>
      <c r="D230" s="42">
        <v>1921.7116699999999</v>
      </c>
      <c r="E230" s="42">
        <v>14693.307617</v>
      </c>
      <c r="F230" s="42">
        <v>3088.0358890000002</v>
      </c>
      <c r="G230" s="42">
        <v>8267.7001949999994</v>
      </c>
      <c r="H230" s="42">
        <v>704.69018600000004</v>
      </c>
      <c r="I230" s="42">
        <v>333.01886000000002</v>
      </c>
      <c r="J230" s="42">
        <v>297.761505</v>
      </c>
      <c r="L230" s="50">
        <f t="shared" si="30"/>
        <v>1.6382171676744939E-2</v>
      </c>
      <c r="M230" s="50">
        <f t="shared" si="31"/>
        <v>-3.1452476318477696E-2</v>
      </c>
      <c r="N230" s="50">
        <f t="shared" si="32"/>
        <v>4.2949123336065709E-2</v>
      </c>
      <c r="O230" s="50">
        <f t="shared" si="33"/>
        <v>2.2213923458455742E-2</v>
      </c>
      <c r="P230" s="50">
        <f t="shared" si="34"/>
        <v>-4.4588592969911356E-2</v>
      </c>
      <c r="Q230" s="50">
        <f t="shared" si="35"/>
        <v>4.7573138009107563E-2</v>
      </c>
      <c r="R230" s="50">
        <f t="shared" si="36"/>
        <v>1.0176506001115637E-2</v>
      </c>
      <c r="S230" s="50">
        <f t="shared" si="37"/>
        <v>-2.6778567477914295E-2</v>
      </c>
      <c r="T230" s="50"/>
    </row>
    <row r="231" spans="2:20">
      <c r="B231" s="112">
        <v>43822</v>
      </c>
      <c r="C231" s="42">
        <v>41575.140625</v>
      </c>
      <c r="D231" s="42">
        <v>1928.4368899999999</v>
      </c>
      <c r="E231" s="42">
        <v>14501.459961</v>
      </c>
      <c r="F231" s="42">
        <v>3008.7641600000002</v>
      </c>
      <c r="G231" s="42">
        <v>8408.0498050000006</v>
      </c>
      <c r="H231" s="42">
        <v>686.74517800000001</v>
      </c>
      <c r="I231" s="42">
        <v>336.27502399999997</v>
      </c>
      <c r="J231" s="42">
        <v>302.64770499999997</v>
      </c>
      <c r="L231" s="50">
        <f t="shared" si="30"/>
        <v>-2.5526513749691837E-3</v>
      </c>
      <c r="M231" s="50">
        <f t="shared" si="31"/>
        <v>3.4995988758292906E-3</v>
      </c>
      <c r="N231" s="50">
        <f t="shared" si="32"/>
        <v>-1.305680524771935E-2</v>
      </c>
      <c r="O231" s="50">
        <f t="shared" si="33"/>
        <v>-2.5670598351002494E-2</v>
      </c>
      <c r="P231" s="50">
        <f t="shared" si="34"/>
        <v>1.6975653046161332E-2</v>
      </c>
      <c r="Q231" s="50">
        <f t="shared" si="35"/>
        <v>-2.5465102759356428E-2</v>
      </c>
      <c r="R231" s="50">
        <f t="shared" si="36"/>
        <v>9.7777164932939531E-3</v>
      </c>
      <c r="S231" s="50">
        <f t="shared" si="37"/>
        <v>1.6409777348485477E-2</v>
      </c>
      <c r="T231" s="50"/>
    </row>
    <row r="232" spans="2:20">
      <c r="B232" s="112">
        <v>43829</v>
      </c>
      <c r="C232" s="42">
        <v>41464.609375</v>
      </c>
      <c r="D232" s="42">
        <v>1906.2338870000001</v>
      </c>
      <c r="E232" s="42">
        <v>14431.644531</v>
      </c>
      <c r="F232" s="42">
        <v>3005.5002439999998</v>
      </c>
      <c r="G232" s="42">
        <v>8327.4003909999992</v>
      </c>
      <c r="H232" s="42">
        <v>686.84491000000003</v>
      </c>
      <c r="I232" s="42">
        <v>330.15737899999999</v>
      </c>
      <c r="J232" s="42">
        <v>311.432953</v>
      </c>
      <c r="L232" s="50">
        <f t="shared" si="30"/>
        <v>-2.6585899250941569E-3</v>
      </c>
      <c r="M232" s="50">
        <f t="shared" si="31"/>
        <v>-1.1513471410516285E-2</v>
      </c>
      <c r="N232" s="50">
        <f t="shared" si="32"/>
        <v>-4.8143724968218171E-3</v>
      </c>
      <c r="O232" s="50">
        <f t="shared" si="33"/>
        <v>-1.0848028713558167E-3</v>
      </c>
      <c r="P232" s="50">
        <f t="shared" si="34"/>
        <v>-9.5919286719783337E-3</v>
      </c>
      <c r="Q232" s="50">
        <f t="shared" si="35"/>
        <v>1.4522417221840556E-4</v>
      </c>
      <c r="R232" s="50">
        <f t="shared" si="36"/>
        <v>-1.8192385884715501E-2</v>
      </c>
      <c r="S232" s="50">
        <f t="shared" si="37"/>
        <v>2.902796834358945E-2</v>
      </c>
      <c r="T232" s="50"/>
    </row>
    <row r="233" spans="2:20">
      <c r="B233" s="112">
        <v>43836</v>
      </c>
      <c r="C233" s="42">
        <v>41599.71875</v>
      </c>
      <c r="D233" s="42">
        <v>1932.4918210000001</v>
      </c>
      <c r="E233" s="42">
        <v>14522.820313</v>
      </c>
      <c r="F233" s="42">
        <v>2956.9877929999998</v>
      </c>
      <c r="G233" s="42">
        <v>8496.25</v>
      </c>
      <c r="H233" s="42">
        <v>735.99426300000005</v>
      </c>
      <c r="I233" s="42">
        <v>333.61093099999999</v>
      </c>
      <c r="J233" s="42">
        <v>299.48895299999998</v>
      </c>
      <c r="L233" s="50">
        <f t="shared" si="30"/>
        <v>3.2584263311898898E-3</v>
      </c>
      <c r="M233" s="50">
        <f t="shared" si="31"/>
        <v>1.3774770335934106E-2</v>
      </c>
      <c r="N233" s="50">
        <f t="shared" si="32"/>
        <v>6.3177679996309077E-3</v>
      </c>
      <c r="O233" s="50">
        <f t="shared" si="33"/>
        <v>-1.6141223444199437E-2</v>
      </c>
      <c r="P233" s="50">
        <f t="shared" si="34"/>
        <v>2.0276388917541244E-2</v>
      </c>
      <c r="Q233" s="50">
        <f t="shared" si="35"/>
        <v>7.155815277134403E-2</v>
      </c>
      <c r="R233" s="50">
        <f t="shared" si="36"/>
        <v>1.0460320500666365E-2</v>
      </c>
      <c r="S233" s="50">
        <f t="shared" si="37"/>
        <v>-3.835175399695101E-2</v>
      </c>
      <c r="T233" s="50"/>
    </row>
    <row r="234" spans="2:20">
      <c r="B234" s="112">
        <v>43843</v>
      </c>
      <c r="C234" s="42">
        <v>41945.371094000002</v>
      </c>
      <c r="D234" s="42">
        <v>2037.6217039999999</v>
      </c>
      <c r="E234" s="42">
        <v>15268.15625</v>
      </c>
      <c r="F234" s="42">
        <v>3090.2116700000001</v>
      </c>
      <c r="G234" s="42">
        <v>8935.5</v>
      </c>
      <c r="H234" s="42">
        <v>741.42761199999995</v>
      </c>
      <c r="I234" s="42">
        <v>345.05688500000002</v>
      </c>
      <c r="J234" s="42">
        <v>346.820831</v>
      </c>
      <c r="L234" s="50">
        <f t="shared" si="30"/>
        <v>8.3090067525997124E-3</v>
      </c>
      <c r="M234" s="50">
        <f t="shared" si="31"/>
        <v>5.4401204629988431E-2</v>
      </c>
      <c r="N234" s="50">
        <f t="shared" si="32"/>
        <v>5.1321707556542417E-2</v>
      </c>
      <c r="O234" s="50">
        <f t="shared" si="33"/>
        <v>4.5053915107589493E-2</v>
      </c>
      <c r="P234" s="50">
        <f t="shared" si="34"/>
        <v>5.1699279093717854E-2</v>
      </c>
      <c r="Q234" s="50">
        <f t="shared" si="35"/>
        <v>7.3823252070646106E-3</v>
      </c>
      <c r="R234" s="50">
        <f t="shared" si="36"/>
        <v>3.4309289463899661E-2</v>
      </c>
      <c r="S234" s="50">
        <f t="shared" si="37"/>
        <v>0.15804214988858045</v>
      </c>
      <c r="T234" s="50"/>
    </row>
    <row r="235" spans="2:20">
      <c r="B235" s="112">
        <v>43850</v>
      </c>
      <c r="C235" s="42">
        <v>41613.191405999998</v>
      </c>
      <c r="D235" s="42">
        <v>2050.8740229999999</v>
      </c>
      <c r="E235" s="42">
        <v>15580.649414</v>
      </c>
      <c r="F235" s="42">
        <v>3157.5158689999998</v>
      </c>
      <c r="G235" s="42">
        <v>8928.2998050000006</v>
      </c>
      <c r="H235" s="42">
        <v>747.06030299999998</v>
      </c>
      <c r="I235" s="42">
        <v>336.02838100000002</v>
      </c>
      <c r="J235" s="42">
        <v>331.767426</v>
      </c>
      <c r="L235" s="50">
        <f t="shared" si="30"/>
        <v>-7.9193407838873409E-3</v>
      </c>
      <c r="M235" s="50">
        <f t="shared" si="31"/>
        <v>6.5038171580056314E-3</v>
      </c>
      <c r="N235" s="50">
        <f t="shared" si="32"/>
        <v>2.0466987557846039E-2</v>
      </c>
      <c r="O235" s="50">
        <f t="shared" si="33"/>
        <v>2.1779802223062417E-2</v>
      </c>
      <c r="P235" s="50">
        <f t="shared" si="34"/>
        <v>-8.0579654188339678E-4</v>
      </c>
      <c r="Q235" s="50">
        <f t="shared" si="35"/>
        <v>7.5970882508757942E-3</v>
      </c>
      <c r="R235" s="50">
        <f t="shared" si="36"/>
        <v>-2.6165262576922643E-2</v>
      </c>
      <c r="S235" s="50">
        <f t="shared" si="37"/>
        <v>-4.3403981694513649E-2</v>
      </c>
      <c r="T235" s="50"/>
    </row>
    <row r="236" spans="2:20">
      <c r="B236" s="112">
        <v>43857</v>
      </c>
      <c r="C236" s="42">
        <v>40723.488280999998</v>
      </c>
      <c r="D236" s="42">
        <v>2052.0610350000002</v>
      </c>
      <c r="E236" s="42">
        <v>15352.509765999999</v>
      </c>
      <c r="F236" s="42">
        <v>3063.6560060000002</v>
      </c>
      <c r="G236" s="42">
        <v>8993.0996090000008</v>
      </c>
      <c r="H236" s="42">
        <v>662.51946999999996</v>
      </c>
      <c r="I236" s="42">
        <v>300.60501099999999</v>
      </c>
      <c r="J236" s="42">
        <v>296.18212899999997</v>
      </c>
      <c r="L236" s="50">
        <f t="shared" si="30"/>
        <v>-2.1380314629550812E-2</v>
      </c>
      <c r="M236" s="50">
        <f t="shared" si="31"/>
        <v>5.7878347801398888E-4</v>
      </c>
      <c r="N236" s="50">
        <f t="shared" si="32"/>
        <v>-1.4642499291140254E-2</v>
      </c>
      <c r="O236" s="50">
        <f t="shared" si="33"/>
        <v>-2.9725856304160247E-2</v>
      </c>
      <c r="P236" s="50">
        <f t="shared" si="34"/>
        <v>7.2577988435951202E-3</v>
      </c>
      <c r="Q236" s="50">
        <f t="shared" si="35"/>
        <v>-0.11316467045632861</v>
      </c>
      <c r="R236" s="50">
        <f t="shared" si="36"/>
        <v>-0.10541779207631874</v>
      </c>
      <c r="S236" s="50">
        <f t="shared" si="37"/>
        <v>-0.10725976756982769</v>
      </c>
      <c r="T236" s="50"/>
    </row>
    <row r="237" spans="2:20">
      <c r="B237" s="112">
        <v>43864</v>
      </c>
      <c r="C237" s="42">
        <v>41141.851562999997</v>
      </c>
      <c r="D237" s="42">
        <v>2136.1748050000001</v>
      </c>
      <c r="E237" s="42">
        <v>16146.597656</v>
      </c>
      <c r="F237" s="42">
        <v>3215.7705080000001</v>
      </c>
      <c r="G237" s="42">
        <v>9262.4501949999994</v>
      </c>
      <c r="H237" s="42">
        <v>644.823669</v>
      </c>
      <c r="I237" s="42">
        <v>307.56143200000002</v>
      </c>
      <c r="J237" s="42">
        <v>296.42889400000001</v>
      </c>
      <c r="L237" s="50">
        <f t="shared" si="30"/>
        <v>1.0273267336855074E-2</v>
      </c>
      <c r="M237" s="50">
        <f t="shared" si="31"/>
        <v>4.0989896774683343E-2</v>
      </c>
      <c r="N237" s="50">
        <f t="shared" si="32"/>
        <v>5.1723653142276671E-2</v>
      </c>
      <c r="O237" s="50">
        <f t="shared" si="33"/>
        <v>4.9651299526478176E-2</v>
      </c>
      <c r="P237" s="50">
        <f t="shared" si="34"/>
        <v>2.9950806475049108E-2</v>
      </c>
      <c r="Q237" s="50">
        <f t="shared" si="35"/>
        <v>-2.6709858051416902E-2</v>
      </c>
      <c r="R237" s="50">
        <f t="shared" si="36"/>
        <v>2.3141400660150691E-2</v>
      </c>
      <c r="S237" s="50">
        <f t="shared" si="37"/>
        <v>8.3315290099772454E-4</v>
      </c>
      <c r="T237" s="50"/>
    </row>
    <row r="238" spans="2:20">
      <c r="B238" s="112">
        <v>43871</v>
      </c>
      <c r="C238" s="42">
        <v>41257.738280999998</v>
      </c>
      <c r="D238" s="42">
        <v>2230.2280270000001</v>
      </c>
      <c r="E238" s="42">
        <v>16174.979492</v>
      </c>
      <c r="F238" s="42">
        <v>3062.7163089999999</v>
      </c>
      <c r="G238" s="42">
        <v>9690.25</v>
      </c>
      <c r="H238" s="42">
        <v>626.09997599999997</v>
      </c>
      <c r="I238" s="42">
        <v>301.330444</v>
      </c>
      <c r="J238" s="42">
        <v>272.24471999999997</v>
      </c>
      <c r="L238" s="50">
        <f t="shared" si="30"/>
        <v>2.8167599074278016E-3</v>
      </c>
      <c r="M238" s="50">
        <f t="shared" si="31"/>
        <v>4.4028804094054408E-2</v>
      </c>
      <c r="N238" s="50">
        <f t="shared" si="32"/>
        <v>1.7577595357654019E-3</v>
      </c>
      <c r="O238" s="50">
        <f t="shared" si="33"/>
        <v>-4.7594876132871167E-2</v>
      </c>
      <c r="P238" s="50">
        <f t="shared" si="34"/>
        <v>4.618646211246924E-2</v>
      </c>
      <c r="Q238" s="50">
        <f t="shared" si="35"/>
        <v>-2.9036919548931839E-2</v>
      </c>
      <c r="R238" s="50">
        <f t="shared" si="36"/>
        <v>-2.0259328224222939E-2</v>
      </c>
      <c r="S238" s="50">
        <f t="shared" si="37"/>
        <v>-8.1585076520914401E-2</v>
      </c>
      <c r="T238" s="50"/>
    </row>
    <row r="239" spans="2:20">
      <c r="B239" s="112">
        <v>43878</v>
      </c>
      <c r="C239" s="42">
        <v>41170.121094000002</v>
      </c>
      <c r="D239" s="42">
        <v>2223.5029300000001</v>
      </c>
      <c r="E239" s="42">
        <v>16355.950194999999</v>
      </c>
      <c r="F239" s="42">
        <v>3025.8745119999999</v>
      </c>
      <c r="G239" s="42">
        <v>9678.2001949999994</v>
      </c>
      <c r="H239" s="42">
        <v>631.04998799999998</v>
      </c>
      <c r="I239" s="42">
        <v>305.318939</v>
      </c>
      <c r="J239" s="42">
        <v>265.82852200000002</v>
      </c>
      <c r="L239" s="50">
        <f t="shared" si="30"/>
        <v>-2.1236546318474936E-3</v>
      </c>
      <c r="M239" s="50">
        <f t="shared" si="31"/>
        <v>-3.0154302244359554E-3</v>
      </c>
      <c r="N239" s="50">
        <f t="shared" si="32"/>
        <v>1.1188311125186035E-2</v>
      </c>
      <c r="O239" s="50">
        <f t="shared" si="33"/>
        <v>-1.2029124895354459E-2</v>
      </c>
      <c r="P239" s="50">
        <f t="shared" si="34"/>
        <v>-1.243497845772823E-3</v>
      </c>
      <c r="Q239" s="50">
        <f t="shared" si="35"/>
        <v>7.9061047592181577E-3</v>
      </c>
      <c r="R239" s="50">
        <f t="shared" si="36"/>
        <v>1.3236282889491191E-2</v>
      </c>
      <c r="S239" s="50">
        <f t="shared" si="37"/>
        <v>-2.3567759183722448E-2</v>
      </c>
      <c r="T239" s="50"/>
    </row>
    <row r="240" spans="2:20">
      <c r="B240" s="112">
        <v>43885</v>
      </c>
      <c r="C240" s="42">
        <v>38297.289062999997</v>
      </c>
      <c r="D240" s="42">
        <v>2150.811768</v>
      </c>
      <c r="E240" s="42">
        <v>15603.691406</v>
      </c>
      <c r="F240" s="42">
        <v>2937.6518550000001</v>
      </c>
      <c r="G240" s="42">
        <v>9444.9003909999992</v>
      </c>
      <c r="H240" s="42">
        <v>560.5</v>
      </c>
      <c r="I240" s="42">
        <v>297.89038099999999</v>
      </c>
      <c r="J240" s="42">
        <v>253.24285900000001</v>
      </c>
      <c r="L240" s="50">
        <f t="shared" si="30"/>
        <v>-6.977953804023862E-2</v>
      </c>
      <c r="M240" s="50">
        <f t="shared" si="31"/>
        <v>-3.2692181790828667E-2</v>
      </c>
      <c r="N240" s="50">
        <f t="shared" si="32"/>
        <v>-4.5992973812671867E-2</v>
      </c>
      <c r="O240" s="50">
        <f t="shared" si="33"/>
        <v>-2.9156085835723489E-2</v>
      </c>
      <c r="P240" s="50">
        <f t="shared" si="34"/>
        <v>-2.4105701401023749E-2</v>
      </c>
      <c r="Q240" s="50">
        <f t="shared" si="35"/>
        <v>-0.11179778043193622</v>
      </c>
      <c r="R240" s="50">
        <f t="shared" si="36"/>
        <v>-2.4330485440341443E-2</v>
      </c>
      <c r="S240" s="50">
        <f t="shared" si="37"/>
        <v>-4.7345043734622339E-2</v>
      </c>
      <c r="T240" s="50"/>
    </row>
    <row r="241" spans="2:20">
      <c r="B241" s="112">
        <v>43892</v>
      </c>
      <c r="C241" s="42">
        <v>37576.621094000002</v>
      </c>
      <c r="D241" s="42">
        <v>2164.8059079999998</v>
      </c>
      <c r="E241" s="42">
        <v>16246.972656</v>
      </c>
      <c r="F241" s="42">
        <v>3047.6333009999998</v>
      </c>
      <c r="G241" s="42">
        <v>9531.5996090000008</v>
      </c>
      <c r="H241" s="42">
        <v>638.90002400000003</v>
      </c>
      <c r="I241" s="42">
        <v>281.73696899999999</v>
      </c>
      <c r="J241" s="42">
        <v>237.25170900000001</v>
      </c>
      <c r="L241" s="50">
        <f t="shared" si="30"/>
        <v>-1.8817728007182954E-2</v>
      </c>
      <c r="M241" s="50">
        <f t="shared" si="31"/>
        <v>6.5064457095715955E-3</v>
      </c>
      <c r="N241" s="50">
        <f t="shared" si="32"/>
        <v>4.1226222261268486E-2</v>
      </c>
      <c r="O241" s="50">
        <f t="shared" si="33"/>
        <v>3.7438556857173788E-2</v>
      </c>
      <c r="P241" s="50">
        <f t="shared" si="34"/>
        <v>9.1794740453394752E-3</v>
      </c>
      <c r="Q241" s="50">
        <f t="shared" si="35"/>
        <v>0.13987515432649422</v>
      </c>
      <c r="R241" s="50">
        <f t="shared" si="36"/>
        <v>-5.4226027526548481E-2</v>
      </c>
      <c r="S241" s="50">
        <f t="shared" si="37"/>
        <v>-6.3145512031989814E-2</v>
      </c>
      <c r="T241" s="50"/>
    </row>
    <row r="242" spans="2:20">
      <c r="B242" s="112">
        <v>43899</v>
      </c>
      <c r="C242" s="42">
        <v>34103.480469000002</v>
      </c>
      <c r="D242" s="42">
        <v>2010.8199460000001</v>
      </c>
      <c r="E242" s="42">
        <v>14825.424805000001</v>
      </c>
      <c r="F242" s="42">
        <v>2733.3159179999998</v>
      </c>
      <c r="G242" s="42">
        <v>8835.5996090000008</v>
      </c>
      <c r="H242" s="42">
        <v>548.25</v>
      </c>
      <c r="I242" s="42">
        <v>259.89999399999999</v>
      </c>
      <c r="J242" s="42">
        <v>204.380966</v>
      </c>
      <c r="L242" s="50">
        <f t="shared" si="30"/>
        <v>-9.2428231274753192E-2</v>
      </c>
      <c r="M242" s="50">
        <f t="shared" si="31"/>
        <v>-7.1131532591881541E-2</v>
      </c>
      <c r="N242" s="50">
        <f t="shared" si="32"/>
        <v>-8.7496168123051721E-2</v>
      </c>
      <c r="O242" s="50">
        <f t="shared" si="33"/>
        <v>-0.10313490894618627</v>
      </c>
      <c r="P242" s="50">
        <f t="shared" si="34"/>
        <v>-7.3020272415011744E-2</v>
      </c>
      <c r="Q242" s="50">
        <f t="shared" si="35"/>
        <v>-0.14188452120014328</v>
      </c>
      <c r="R242" s="50">
        <f t="shared" si="36"/>
        <v>-7.750837626140572E-2</v>
      </c>
      <c r="S242" s="50">
        <f t="shared" si="37"/>
        <v>-0.13854797142894348</v>
      </c>
      <c r="T242" s="50"/>
    </row>
    <row r="243" spans="2:20">
      <c r="B243" s="112">
        <v>43906</v>
      </c>
      <c r="C243" s="42">
        <v>29915.960938</v>
      </c>
      <c r="D243" s="42">
        <v>2029.1163329999999</v>
      </c>
      <c r="E243" s="42">
        <v>13988.517578000001</v>
      </c>
      <c r="F243" s="42">
        <v>2440.7573240000002</v>
      </c>
      <c r="G243" s="42">
        <v>8933.25</v>
      </c>
      <c r="H243" s="42">
        <v>499.10000600000001</v>
      </c>
      <c r="I243" s="42">
        <v>255.16366600000001</v>
      </c>
      <c r="J243" s="42">
        <v>181.82551599999999</v>
      </c>
      <c r="L243" s="50">
        <f t="shared" si="30"/>
        <v>-0.12278862665663848</v>
      </c>
      <c r="M243" s="50">
        <f t="shared" si="31"/>
        <v>9.0989683270228383E-3</v>
      </c>
      <c r="N243" s="50">
        <f t="shared" si="32"/>
        <v>-5.6450809201618712E-2</v>
      </c>
      <c r="O243" s="50">
        <f t="shared" si="33"/>
        <v>-0.10703431391643459</v>
      </c>
      <c r="P243" s="50">
        <f t="shared" si="34"/>
        <v>1.1051925768629456E-2</v>
      </c>
      <c r="Q243" s="50">
        <f t="shared" si="35"/>
        <v>-8.9648871865025015E-2</v>
      </c>
      <c r="R243" s="50">
        <f t="shared" si="36"/>
        <v>-1.8223655672727657E-2</v>
      </c>
      <c r="S243" s="50">
        <f t="shared" si="37"/>
        <v>-0.11035983654172576</v>
      </c>
      <c r="T243" s="50"/>
    </row>
    <row r="244" spans="2:20">
      <c r="B244" s="112">
        <v>43913</v>
      </c>
      <c r="C244" s="42">
        <v>29815.589843999998</v>
      </c>
      <c r="D244" s="42">
        <v>2116.9885250000002</v>
      </c>
      <c r="E244" s="42">
        <v>14940.928711</v>
      </c>
      <c r="F244" s="42">
        <v>2501.5339359999998</v>
      </c>
      <c r="G244" s="42">
        <v>9374.8496090000008</v>
      </c>
      <c r="H244" s="42">
        <v>499.45001200000002</v>
      </c>
      <c r="I244" s="42">
        <v>253.14999399999999</v>
      </c>
      <c r="J244" s="42">
        <v>154.383881</v>
      </c>
      <c r="L244" s="50">
        <f t="shared" si="30"/>
        <v>-3.3551017869029032E-3</v>
      </c>
      <c r="M244" s="50">
        <f t="shared" si="31"/>
        <v>4.3305645206691112E-2</v>
      </c>
      <c r="N244" s="50">
        <f t="shared" si="32"/>
        <v>6.8085208292397947E-2</v>
      </c>
      <c r="O244" s="50">
        <f t="shared" si="33"/>
        <v>2.490071888851153E-2</v>
      </c>
      <c r="P244" s="50">
        <f t="shared" si="34"/>
        <v>4.9433253183331916E-2</v>
      </c>
      <c r="Q244" s="50">
        <f t="shared" si="35"/>
        <v>7.0127428529831448E-4</v>
      </c>
      <c r="R244" s="50">
        <f t="shared" si="36"/>
        <v>-7.8916878392867318E-3</v>
      </c>
      <c r="S244" s="50">
        <f t="shared" si="37"/>
        <v>-0.15092290457187529</v>
      </c>
      <c r="T244" s="50"/>
    </row>
    <row r="245" spans="2:20">
      <c r="B245" s="112">
        <v>43920</v>
      </c>
      <c r="C245" s="42">
        <v>27590.949218999998</v>
      </c>
      <c r="D245" s="42">
        <v>2130.389404</v>
      </c>
      <c r="E245" s="42">
        <v>14937.072265999999</v>
      </c>
      <c r="F245" s="42">
        <v>2535.1613769999999</v>
      </c>
      <c r="G245" s="42">
        <v>9356.2001949999994</v>
      </c>
      <c r="H245" s="42">
        <v>531.45001200000002</v>
      </c>
      <c r="I245" s="42">
        <v>261.14999399999999</v>
      </c>
      <c r="J245" s="42">
        <v>181.949997</v>
      </c>
      <c r="L245" s="50">
        <f t="shared" si="30"/>
        <v>-7.4613336064779601E-2</v>
      </c>
      <c r="M245" s="50">
        <f t="shared" si="31"/>
        <v>6.3301613786497235E-3</v>
      </c>
      <c r="N245" s="50">
        <f t="shared" si="32"/>
        <v>-2.5811280373500001E-4</v>
      </c>
      <c r="O245" s="50">
        <f t="shared" si="33"/>
        <v>1.3442728286057637E-2</v>
      </c>
      <c r="P245" s="50">
        <f t="shared" si="34"/>
        <v>-1.9893027384778605E-3</v>
      </c>
      <c r="Q245" s="50">
        <f t="shared" si="35"/>
        <v>6.4070475985892994E-2</v>
      </c>
      <c r="R245" s="50">
        <f t="shared" si="36"/>
        <v>3.1601817853489589E-2</v>
      </c>
      <c r="S245" s="50">
        <f t="shared" si="37"/>
        <v>0.1785556615201298</v>
      </c>
      <c r="T245" s="50"/>
    </row>
    <row r="246" spans="2:20">
      <c r="B246" s="112">
        <v>43927</v>
      </c>
      <c r="C246" s="42">
        <v>31159.619140999999</v>
      </c>
      <c r="D246" s="42">
        <v>2346.1379390000002</v>
      </c>
      <c r="E246" s="42">
        <v>16652.816406000002</v>
      </c>
      <c r="F246" s="42">
        <v>2770.9982909999999</v>
      </c>
      <c r="G246" s="42">
        <v>10356</v>
      </c>
      <c r="H246" s="42">
        <v>595.09997599999997</v>
      </c>
      <c r="I246" s="42">
        <v>296.60000600000001</v>
      </c>
      <c r="J246" s="42">
        <v>230.25</v>
      </c>
      <c r="L246" s="50">
        <f t="shared" si="30"/>
        <v>0.12934204958568452</v>
      </c>
      <c r="M246" s="50">
        <f t="shared" si="31"/>
        <v>0.10127187761773171</v>
      </c>
      <c r="N246" s="50">
        <f t="shared" si="32"/>
        <v>0.11486482152900912</v>
      </c>
      <c r="O246" s="50">
        <f t="shared" si="33"/>
        <v>9.3026391195293101E-2</v>
      </c>
      <c r="P246" s="50">
        <f t="shared" si="34"/>
        <v>0.106859599427372</v>
      </c>
      <c r="Q246" s="50">
        <f t="shared" si="35"/>
        <v>0.11976660563138708</v>
      </c>
      <c r="R246" s="50">
        <f t="shared" si="36"/>
        <v>0.13574578906557444</v>
      </c>
      <c r="S246" s="50">
        <f t="shared" si="37"/>
        <v>0.26545756414604393</v>
      </c>
      <c r="T246" s="50"/>
    </row>
    <row r="247" spans="2:20">
      <c r="B247" s="112">
        <v>43934</v>
      </c>
      <c r="C247" s="42">
        <v>31588.720702999999</v>
      </c>
      <c r="D247" s="42">
        <v>2358.7475589999999</v>
      </c>
      <c r="E247" s="42">
        <v>17132.039063</v>
      </c>
      <c r="F247" s="42">
        <v>2801.1147460000002</v>
      </c>
      <c r="G247" s="42">
        <v>10732.599609000001</v>
      </c>
      <c r="H247" s="42">
        <v>552.75</v>
      </c>
      <c r="I247" s="42">
        <v>300.14999399999999</v>
      </c>
      <c r="J247" s="42">
        <v>216.300003</v>
      </c>
      <c r="L247" s="50">
        <f t="shared" si="30"/>
        <v>1.3771078525006253E-2</v>
      </c>
      <c r="M247" s="50">
        <f t="shared" si="31"/>
        <v>5.3746285716578246E-3</v>
      </c>
      <c r="N247" s="50">
        <f t="shared" si="32"/>
        <v>2.8777273784591495E-2</v>
      </c>
      <c r="O247" s="50">
        <f t="shared" si="33"/>
        <v>1.0868449503493416E-2</v>
      </c>
      <c r="P247" s="50">
        <f t="shared" si="34"/>
        <v>3.6365354287369644E-2</v>
      </c>
      <c r="Q247" s="50">
        <f t="shared" si="35"/>
        <v>-7.1164472707019533E-2</v>
      </c>
      <c r="R247" s="50">
        <f t="shared" si="36"/>
        <v>1.1968941093008612E-2</v>
      </c>
      <c r="S247" s="50">
        <f t="shared" si="37"/>
        <v>-6.0586306188925021E-2</v>
      </c>
      <c r="T247" s="50"/>
    </row>
    <row r="248" spans="2:20">
      <c r="B248" s="112">
        <v>43941</v>
      </c>
      <c r="C248" s="42">
        <v>31327.220702999999</v>
      </c>
      <c r="D248" s="42">
        <v>2257.9692380000001</v>
      </c>
      <c r="E248" s="42">
        <v>17212.931640999999</v>
      </c>
      <c r="F248" s="42">
        <v>3028.5942380000001</v>
      </c>
      <c r="G248" s="42">
        <v>10732.599609000001</v>
      </c>
      <c r="H248" s="42">
        <v>534.40002400000003</v>
      </c>
      <c r="I248" s="42">
        <v>306.10000600000001</v>
      </c>
      <c r="J248" s="42">
        <v>198.60000600000001</v>
      </c>
      <c r="L248" s="50">
        <f t="shared" si="30"/>
        <v>-8.2782713000202346E-3</v>
      </c>
      <c r="M248" s="50">
        <f t="shared" si="31"/>
        <v>-4.2725352535277317E-2</v>
      </c>
      <c r="N248" s="50">
        <f t="shared" si="32"/>
        <v>4.7217133758876706E-3</v>
      </c>
      <c r="O248" s="50">
        <f t="shared" si="33"/>
        <v>8.1210343962110576E-2</v>
      </c>
      <c r="P248" s="50">
        <f t="shared" si="34"/>
        <v>0</v>
      </c>
      <c r="Q248" s="50">
        <f t="shared" si="35"/>
        <v>-3.319760470375388E-2</v>
      </c>
      <c r="R248" s="50">
        <f t="shared" si="36"/>
        <v>1.9823461998803138E-2</v>
      </c>
      <c r="S248" s="50">
        <f t="shared" si="37"/>
        <v>-8.1830775564066927E-2</v>
      </c>
      <c r="T248" s="50"/>
    </row>
    <row r="249" spans="2:20">
      <c r="B249" s="112">
        <v>43948</v>
      </c>
      <c r="C249" s="42">
        <v>33717.621094000002</v>
      </c>
      <c r="D249" s="42">
        <v>2170.8388669999999</v>
      </c>
      <c r="E249" s="42">
        <v>17725.773438</v>
      </c>
      <c r="F249" s="42">
        <v>3131.0590820000002</v>
      </c>
      <c r="G249" s="42">
        <v>10732.599609000001</v>
      </c>
      <c r="H249" s="42">
        <v>543.20001200000002</v>
      </c>
      <c r="I249" s="42">
        <v>287</v>
      </c>
      <c r="J249" s="42">
        <v>194.64999399999999</v>
      </c>
      <c r="L249" s="50">
        <f t="shared" si="30"/>
        <v>7.6304259917034045E-2</v>
      </c>
      <c r="M249" s="50">
        <f t="shared" si="31"/>
        <v>-3.8587935359640224E-2</v>
      </c>
      <c r="N249" s="50">
        <f t="shared" si="32"/>
        <v>2.9793983250270273E-2</v>
      </c>
      <c r="O249" s="50">
        <f t="shared" si="33"/>
        <v>3.3832476703008263E-2</v>
      </c>
      <c r="P249" s="50">
        <f t="shared" si="34"/>
        <v>0</v>
      </c>
      <c r="Q249" s="50">
        <f t="shared" si="35"/>
        <v>1.6467042673635746E-2</v>
      </c>
      <c r="R249" s="50">
        <f t="shared" si="36"/>
        <v>-6.2397927558354938E-2</v>
      </c>
      <c r="S249" s="50">
        <f t="shared" si="37"/>
        <v>-1.9889284394080109E-2</v>
      </c>
      <c r="T249" s="50"/>
    </row>
    <row r="250" spans="2:20">
      <c r="B250" s="112">
        <v>43955</v>
      </c>
      <c r="C250" s="42">
        <v>31642.699218999998</v>
      </c>
      <c r="D250" s="42">
        <v>2066.4509280000002</v>
      </c>
      <c r="E250" s="42">
        <v>17605.328125</v>
      </c>
      <c r="F250" s="42">
        <v>2994.6499020000001</v>
      </c>
      <c r="G250" s="42">
        <v>10732.599609000001</v>
      </c>
      <c r="H250" s="42">
        <v>499.54998799999998</v>
      </c>
      <c r="I250" s="42">
        <v>300.25</v>
      </c>
      <c r="J250" s="42">
        <v>181.64999399999999</v>
      </c>
      <c r="L250" s="50">
        <f t="shared" si="30"/>
        <v>-6.1538204881519176E-2</v>
      </c>
      <c r="M250" s="50">
        <f t="shared" si="31"/>
        <v>-4.8086452010258629E-2</v>
      </c>
      <c r="N250" s="50">
        <f t="shared" si="32"/>
        <v>-6.7949256725685636E-3</v>
      </c>
      <c r="O250" s="50">
        <f t="shared" si="33"/>
        <v>-4.3566466306623419E-2</v>
      </c>
      <c r="P250" s="50">
        <f t="shared" si="34"/>
        <v>0</v>
      </c>
      <c r="Q250" s="50">
        <f t="shared" si="35"/>
        <v>-8.0357185264568809E-2</v>
      </c>
      <c r="R250" s="50">
        <f t="shared" si="36"/>
        <v>4.6167247386759591E-2</v>
      </c>
      <c r="S250" s="50">
        <f t="shared" si="37"/>
        <v>-6.6786542002153837E-2</v>
      </c>
      <c r="T250" s="50"/>
    </row>
    <row r="251" spans="2:20">
      <c r="B251" s="112">
        <v>43962</v>
      </c>
      <c r="C251" s="42">
        <v>31097.730468999998</v>
      </c>
      <c r="D251" s="42">
        <v>2009.7320560000001</v>
      </c>
      <c r="E251" s="42">
        <v>16261.311523</v>
      </c>
      <c r="F251" s="42">
        <v>3125.6499020000001</v>
      </c>
      <c r="G251" s="42">
        <v>10732.599609000001</v>
      </c>
      <c r="H251" s="42">
        <v>543.5</v>
      </c>
      <c r="I251" s="42">
        <v>316.5</v>
      </c>
      <c r="J251" s="42">
        <v>190.949997</v>
      </c>
      <c r="L251" s="50">
        <f t="shared" si="30"/>
        <v>-1.7222574668117163E-2</v>
      </c>
      <c r="M251" s="50">
        <f t="shared" si="31"/>
        <v>-2.7447480717529116E-2</v>
      </c>
      <c r="N251" s="50">
        <f t="shared" si="32"/>
        <v>-7.6341468472346352E-2</v>
      </c>
      <c r="O251" s="50">
        <f t="shared" si="33"/>
        <v>4.374467944066196E-2</v>
      </c>
      <c r="P251" s="50">
        <f t="shared" si="34"/>
        <v>0</v>
      </c>
      <c r="Q251" s="50">
        <f t="shared" si="35"/>
        <v>8.7979207398159343E-2</v>
      </c>
      <c r="R251" s="50">
        <f t="shared" si="36"/>
        <v>5.4121565362198254E-2</v>
      </c>
      <c r="S251" s="50">
        <f t="shared" si="37"/>
        <v>5.1197375762093378E-2</v>
      </c>
      <c r="T251" s="50"/>
    </row>
    <row r="252" spans="2:20">
      <c r="B252" s="112">
        <v>43969</v>
      </c>
      <c r="C252" s="42">
        <v>30672.589843999998</v>
      </c>
      <c r="D252" s="42">
        <v>1966.0185550000001</v>
      </c>
      <c r="E252" s="42">
        <v>16155.378906</v>
      </c>
      <c r="F252" s="42">
        <v>3167.1000979999999</v>
      </c>
      <c r="G252" s="42">
        <v>10732.599609000001</v>
      </c>
      <c r="H252" s="42">
        <v>569.20001200000002</v>
      </c>
      <c r="I252" s="42">
        <v>316.75</v>
      </c>
      <c r="J252" s="42">
        <v>209.64999399999999</v>
      </c>
      <c r="L252" s="50">
        <f t="shared" si="30"/>
        <v>-1.3671114212781665E-2</v>
      </c>
      <c r="M252" s="50">
        <f t="shared" si="31"/>
        <v>-2.1750909963094034E-2</v>
      </c>
      <c r="N252" s="50">
        <f t="shared" si="32"/>
        <v>-6.5143956470036235E-3</v>
      </c>
      <c r="O252" s="50">
        <f t="shared" si="33"/>
        <v>1.3261304784479178E-2</v>
      </c>
      <c r="P252" s="50">
        <f t="shared" si="34"/>
        <v>0</v>
      </c>
      <c r="Q252" s="50">
        <f t="shared" si="35"/>
        <v>4.7286130634774715E-2</v>
      </c>
      <c r="R252" s="50">
        <f t="shared" si="36"/>
        <v>7.898894154818592E-4</v>
      </c>
      <c r="S252" s="50">
        <f t="shared" si="37"/>
        <v>9.7931381480985236E-2</v>
      </c>
      <c r="T252" s="50"/>
    </row>
    <row r="253" spans="2:20">
      <c r="B253" s="112">
        <v>43976</v>
      </c>
      <c r="C253" s="42">
        <v>32424.099609000001</v>
      </c>
      <c r="D253" s="42">
        <v>2034.7042240000001</v>
      </c>
      <c r="E253" s="42">
        <v>17476.087890999999</v>
      </c>
      <c r="F253" s="42">
        <v>3378.8500979999999</v>
      </c>
      <c r="G253" s="42">
        <v>10732.599609000001</v>
      </c>
      <c r="H253" s="42">
        <v>633.79998799999998</v>
      </c>
      <c r="I253" s="42">
        <v>343.79998799999998</v>
      </c>
      <c r="J253" s="42">
        <v>194.85000600000001</v>
      </c>
      <c r="L253" s="50">
        <f t="shared" si="30"/>
        <v>5.7103419499564101E-2</v>
      </c>
      <c r="M253" s="50">
        <f t="shared" si="31"/>
        <v>3.4936429681865278E-2</v>
      </c>
      <c r="N253" s="50">
        <f t="shared" si="32"/>
        <v>8.1750418401483449E-2</v>
      </c>
      <c r="O253" s="50">
        <f t="shared" si="33"/>
        <v>6.6859269820274569E-2</v>
      </c>
      <c r="P253" s="50">
        <f t="shared" si="34"/>
        <v>0</v>
      </c>
      <c r="Q253" s="50">
        <f t="shared" si="35"/>
        <v>0.11349257666565182</v>
      </c>
      <c r="R253" s="50">
        <f t="shared" si="36"/>
        <v>8.5398541436463971E-2</v>
      </c>
      <c r="S253" s="50">
        <f t="shared" si="37"/>
        <v>-7.0593791669748329E-2</v>
      </c>
      <c r="T253" s="50"/>
    </row>
    <row r="254" spans="2:20">
      <c r="B254" s="112">
        <v>43983</v>
      </c>
      <c r="C254" s="42">
        <v>34287.238280999998</v>
      </c>
      <c r="D254" s="42">
        <v>2064.6213379999999</v>
      </c>
      <c r="E254" s="42">
        <v>17033.726563</v>
      </c>
      <c r="F254" s="42">
        <v>3466.6999510000001</v>
      </c>
      <c r="G254" s="42">
        <v>10732.599609000001</v>
      </c>
      <c r="H254" s="42">
        <v>649.90002400000003</v>
      </c>
      <c r="I254" s="42">
        <v>326.39999399999999</v>
      </c>
      <c r="J254" s="42">
        <v>197.25</v>
      </c>
      <c r="L254" s="50">
        <f t="shared" si="30"/>
        <v>5.746153923986963E-2</v>
      </c>
      <c r="M254" s="50">
        <f t="shared" si="31"/>
        <v>1.4703421581927056E-2</v>
      </c>
      <c r="N254" s="50">
        <f t="shared" si="32"/>
        <v>-2.5312377161241573E-2</v>
      </c>
      <c r="O254" s="50">
        <f t="shared" si="33"/>
        <v>2.5999926144104402E-2</v>
      </c>
      <c r="P254" s="50">
        <f t="shared" si="34"/>
        <v>0</v>
      </c>
      <c r="Q254" s="50">
        <f t="shared" si="35"/>
        <v>2.5402392402696039E-2</v>
      </c>
      <c r="R254" s="50">
        <f t="shared" si="36"/>
        <v>-5.0610804558841371E-2</v>
      </c>
      <c r="S254" s="50">
        <f t="shared" si="37"/>
        <v>1.2317135879379881E-2</v>
      </c>
      <c r="T254" s="50"/>
    </row>
    <row r="255" spans="2:20">
      <c r="B255" s="112">
        <v>43990</v>
      </c>
      <c r="C255" s="42">
        <v>33780.890625</v>
      </c>
      <c r="D255" s="42">
        <v>2084.0546880000002</v>
      </c>
      <c r="E255" s="42">
        <v>16435.441406000002</v>
      </c>
      <c r="F255" s="42">
        <v>3366.0500489999999</v>
      </c>
      <c r="G255" s="42">
        <v>10732.599609000001</v>
      </c>
      <c r="H255" s="42">
        <v>606.79998799999998</v>
      </c>
      <c r="I255" s="42">
        <v>332.79998799999998</v>
      </c>
      <c r="J255" s="42">
        <v>203.10000600000001</v>
      </c>
      <c r="L255" s="50">
        <f t="shared" si="30"/>
        <v>-1.4767816872570561E-2</v>
      </c>
      <c r="M255" s="50">
        <f t="shared" si="31"/>
        <v>9.4125492371524011E-3</v>
      </c>
      <c r="N255" s="50">
        <f t="shared" si="32"/>
        <v>-3.5123562350682036E-2</v>
      </c>
      <c r="O255" s="50">
        <f t="shared" si="33"/>
        <v>-2.903334682050196E-2</v>
      </c>
      <c r="P255" s="50">
        <f t="shared" si="34"/>
        <v>0</v>
      </c>
      <c r="Q255" s="50">
        <f t="shared" si="35"/>
        <v>-6.6317948004876559E-2</v>
      </c>
      <c r="R255" s="50">
        <f t="shared" si="36"/>
        <v>1.9607825115339983E-2</v>
      </c>
      <c r="S255" s="50">
        <f t="shared" si="37"/>
        <v>2.9657825095056989E-2</v>
      </c>
      <c r="T255" s="50"/>
    </row>
    <row r="256" spans="2:20">
      <c r="B256" s="112">
        <v>43997</v>
      </c>
      <c r="C256" s="42">
        <v>34731.730469000002</v>
      </c>
      <c r="D256" s="42">
        <v>2069.7143550000001</v>
      </c>
      <c r="E256" s="42">
        <v>16094.799805000001</v>
      </c>
      <c r="F256" s="42">
        <v>3438.5500489999999</v>
      </c>
      <c r="G256" s="42">
        <v>10732.599609000001</v>
      </c>
      <c r="H256" s="42">
        <v>650.5</v>
      </c>
      <c r="I256" s="42">
        <v>331.89999399999999</v>
      </c>
      <c r="J256" s="42">
        <v>201.699997</v>
      </c>
      <c r="L256" s="50">
        <f t="shared" si="30"/>
        <v>2.8147269844221334E-2</v>
      </c>
      <c r="M256" s="50">
        <f t="shared" si="31"/>
        <v>-6.8809772999585128E-3</v>
      </c>
      <c r="N256" s="50">
        <f t="shared" si="32"/>
        <v>-2.0726039087434867E-2</v>
      </c>
      <c r="O256" s="50">
        <f t="shared" si="33"/>
        <v>2.1538598340668846E-2</v>
      </c>
      <c r="P256" s="50">
        <f t="shared" si="34"/>
        <v>0</v>
      </c>
      <c r="Q256" s="50">
        <f t="shared" si="35"/>
        <v>7.2017160290385629E-2</v>
      </c>
      <c r="R256" s="50">
        <f t="shared" si="36"/>
        <v>-2.7043089917418994E-3</v>
      </c>
      <c r="S256" s="50">
        <f t="shared" si="37"/>
        <v>-6.8932001902550777E-3</v>
      </c>
      <c r="T256" s="50"/>
    </row>
    <row r="257" spans="2:20">
      <c r="B257" s="112">
        <v>44004</v>
      </c>
      <c r="C257" s="42">
        <v>35171.269530999998</v>
      </c>
      <c r="D257" s="42">
        <v>2145.0280760000001</v>
      </c>
      <c r="E257" s="42">
        <v>16677.5</v>
      </c>
      <c r="F257" s="42">
        <v>3456.3999020000001</v>
      </c>
      <c r="G257" s="42">
        <v>10732.599609000001</v>
      </c>
      <c r="H257" s="42">
        <v>685.45001200000002</v>
      </c>
      <c r="I257" s="42">
        <v>344.39999399999999</v>
      </c>
      <c r="J257" s="42">
        <v>220.949997</v>
      </c>
      <c r="L257" s="50">
        <f t="shared" si="30"/>
        <v>1.2655259500885307E-2</v>
      </c>
      <c r="M257" s="50">
        <f t="shared" si="31"/>
        <v>3.6388461440612696E-2</v>
      </c>
      <c r="N257" s="50">
        <f t="shared" si="32"/>
        <v>3.6204252433073236E-2</v>
      </c>
      <c r="O257" s="50">
        <f t="shared" si="33"/>
        <v>5.1910987903727168E-3</v>
      </c>
      <c r="P257" s="50">
        <f t="shared" si="34"/>
        <v>0</v>
      </c>
      <c r="Q257" s="50">
        <f t="shared" si="35"/>
        <v>5.3727920061491075E-2</v>
      </c>
      <c r="R257" s="50">
        <f t="shared" si="36"/>
        <v>3.766194705023107E-2</v>
      </c>
      <c r="S257" s="50">
        <f t="shared" si="37"/>
        <v>9.5438771870680839E-2</v>
      </c>
      <c r="T257" s="50"/>
    </row>
    <row r="258" spans="2:20">
      <c r="B258" s="112">
        <v>44011</v>
      </c>
      <c r="C258" s="42">
        <v>36021.421875</v>
      </c>
      <c r="D258" s="42">
        <v>2164.445068</v>
      </c>
      <c r="E258" s="42">
        <v>16695.599609000001</v>
      </c>
      <c r="F258" s="42">
        <v>3538.3500979999999</v>
      </c>
      <c r="G258" s="42">
        <v>10732.599609000001</v>
      </c>
      <c r="H258" s="42">
        <v>717.29998799999998</v>
      </c>
      <c r="I258" s="42">
        <v>358.5</v>
      </c>
      <c r="J258" s="42">
        <v>229.89999399999999</v>
      </c>
      <c r="L258" s="50">
        <f t="shared" si="30"/>
        <v>2.4171784394949825E-2</v>
      </c>
      <c r="M258" s="50">
        <f t="shared" si="31"/>
        <v>9.0520922393744208E-3</v>
      </c>
      <c r="N258" s="50">
        <f t="shared" si="32"/>
        <v>1.0852711137760984E-3</v>
      </c>
      <c r="O258" s="50">
        <f t="shared" si="33"/>
        <v>2.3709697466598234E-2</v>
      </c>
      <c r="P258" s="50">
        <f t="shared" si="34"/>
        <v>0</v>
      </c>
      <c r="Q258" s="50">
        <f t="shared" si="35"/>
        <v>4.6465789543234992E-2</v>
      </c>
      <c r="R258" s="50">
        <f t="shared" si="36"/>
        <v>4.0940784685379539E-2</v>
      </c>
      <c r="S258" s="50">
        <f t="shared" si="37"/>
        <v>4.0506888986289402E-2</v>
      </c>
      <c r="T258" s="50"/>
    </row>
    <row r="259" spans="2:20">
      <c r="B259" s="112">
        <v>44018</v>
      </c>
      <c r="C259" s="42">
        <v>36594.328125</v>
      </c>
      <c r="D259" s="42">
        <v>2214.3320309999999</v>
      </c>
      <c r="E259" s="42">
        <v>16833.099609000001</v>
      </c>
      <c r="F259" s="42">
        <v>3726.6499020000001</v>
      </c>
      <c r="G259" s="42">
        <v>10732.599609000001</v>
      </c>
      <c r="H259" s="42">
        <v>697.25</v>
      </c>
      <c r="I259" s="42">
        <v>343.60000600000001</v>
      </c>
      <c r="J259" s="42">
        <v>231.89999399999999</v>
      </c>
      <c r="L259" s="50">
        <f t="shared" si="30"/>
        <v>1.5904598435566353E-2</v>
      </c>
      <c r="M259" s="50">
        <f t="shared" si="31"/>
        <v>2.3048384889756912E-2</v>
      </c>
      <c r="N259" s="50">
        <f t="shared" si="32"/>
        <v>8.2357030127793163E-3</v>
      </c>
      <c r="O259" s="50">
        <f t="shared" si="33"/>
        <v>5.321683801341015E-2</v>
      </c>
      <c r="P259" s="50">
        <f t="shared" si="34"/>
        <v>0</v>
      </c>
      <c r="Q259" s="50">
        <f t="shared" si="35"/>
        <v>-2.795202611937031E-2</v>
      </c>
      <c r="R259" s="50">
        <f t="shared" si="36"/>
        <v>-4.1562047419804737E-2</v>
      </c>
      <c r="S259" s="50">
        <f t="shared" si="37"/>
        <v>8.6994347637956437E-3</v>
      </c>
      <c r="T259" s="50"/>
    </row>
    <row r="260" spans="2:20">
      <c r="B260" s="112">
        <v>44025</v>
      </c>
      <c r="C260" s="42">
        <v>37020.140625</v>
      </c>
      <c r="D260" s="42">
        <v>2324.6103520000001</v>
      </c>
      <c r="E260" s="42">
        <v>17229.900390999999</v>
      </c>
      <c r="F260" s="42">
        <v>3785</v>
      </c>
      <c r="G260" s="42">
        <v>10732.599609000001</v>
      </c>
      <c r="H260" s="42">
        <v>700.54998799999998</v>
      </c>
      <c r="I260" s="42">
        <v>355.10000600000001</v>
      </c>
      <c r="J260" s="42">
        <v>243.60000600000001</v>
      </c>
      <c r="L260" s="50">
        <f t="shared" si="30"/>
        <v>1.1636024537614142E-2</v>
      </c>
      <c r="M260" s="50">
        <f t="shared" si="31"/>
        <v>4.980207098851297E-2</v>
      </c>
      <c r="N260" s="50">
        <f t="shared" si="32"/>
        <v>2.3572650980324683E-2</v>
      </c>
      <c r="O260" s="50">
        <f t="shared" si="33"/>
        <v>1.5657520704771555E-2</v>
      </c>
      <c r="P260" s="50">
        <f t="shared" si="34"/>
        <v>0</v>
      </c>
      <c r="Q260" s="50">
        <f t="shared" si="35"/>
        <v>4.7328619576909592E-3</v>
      </c>
      <c r="R260" s="50">
        <f t="shared" si="36"/>
        <v>3.3469149590177771E-2</v>
      </c>
      <c r="S260" s="50">
        <f t="shared" si="37"/>
        <v>5.0452834423100557E-2</v>
      </c>
      <c r="T260" s="50"/>
    </row>
    <row r="261" spans="2:20">
      <c r="B261" s="112">
        <v>44032</v>
      </c>
      <c r="C261" s="42">
        <v>38128.898437999997</v>
      </c>
      <c r="D261" s="42">
        <v>2199.8937989999999</v>
      </c>
      <c r="E261" s="42">
        <v>17251.800781000002</v>
      </c>
      <c r="F261" s="42">
        <v>3818.4499510000001</v>
      </c>
      <c r="G261" s="42">
        <v>10732.599609000001</v>
      </c>
      <c r="H261" s="42">
        <v>680</v>
      </c>
      <c r="I261" s="42">
        <v>357.10000600000001</v>
      </c>
      <c r="J261" s="42">
        <v>244.10000600000001</v>
      </c>
      <c r="L261" s="50">
        <f t="shared" ref="L261:L263" si="38">C261/C260-1</f>
        <v>2.9950124291295843E-2</v>
      </c>
      <c r="M261" s="50">
        <f t="shared" ref="M261:M263" si="39">D261/D260-1</f>
        <v>-5.3650519491449056E-2</v>
      </c>
      <c r="N261" s="50">
        <f t="shared" ref="N261:N263" si="40">E261/E260-1</f>
        <v>1.2710688688277738E-3</v>
      </c>
      <c r="O261" s="50">
        <f t="shared" ref="O261:O263" si="41">F261/F260-1</f>
        <v>8.8375035667107582E-3</v>
      </c>
      <c r="P261" s="50">
        <f t="shared" ref="P261:P263" si="42">G261/G260-1</f>
        <v>0</v>
      </c>
      <c r="Q261" s="50">
        <f t="shared" ref="Q261:Q263" si="43">H261/H260-1</f>
        <v>-2.9334078013002474E-2</v>
      </c>
      <c r="R261" s="50">
        <f t="shared" ref="R261:R263" si="44">I261/I260-1</f>
        <v>5.6322161819395422E-3</v>
      </c>
      <c r="S261" s="50">
        <f t="shared" ref="S261:S263" si="45">J261/J260-1</f>
        <v>2.0525451054380639E-3</v>
      </c>
      <c r="T261" s="50"/>
    </row>
    <row r="262" spans="2:20">
      <c r="B262" s="112">
        <v>44039</v>
      </c>
      <c r="C262" s="42">
        <v>37606.890625</v>
      </c>
      <c r="D262" s="42">
        <v>2200.4909670000002</v>
      </c>
      <c r="E262" s="42">
        <v>16522.199218999998</v>
      </c>
      <c r="F262" s="42">
        <v>3823.6000979999999</v>
      </c>
      <c r="G262" s="42">
        <v>10732.599609000001</v>
      </c>
      <c r="H262" s="42">
        <v>691.84997599999997</v>
      </c>
      <c r="I262" s="42">
        <v>363.45001200000002</v>
      </c>
      <c r="J262" s="42">
        <v>239.85000600000001</v>
      </c>
      <c r="L262" s="50">
        <f t="shared" si="38"/>
        <v>-1.3690608288849826E-2</v>
      </c>
      <c r="M262" s="50">
        <f t="shared" si="39"/>
        <v>2.7145310390519484E-4</v>
      </c>
      <c r="N262" s="50">
        <f t="shared" si="40"/>
        <v>-4.2291327801764256E-2</v>
      </c>
      <c r="O262" s="50">
        <f t="shared" si="41"/>
        <v>1.3487533072551461E-3</v>
      </c>
      <c r="P262" s="50">
        <f t="shared" si="42"/>
        <v>0</v>
      </c>
      <c r="Q262" s="50">
        <f t="shared" si="43"/>
        <v>1.7426435294117582E-2</v>
      </c>
      <c r="R262" s="50">
        <f t="shared" si="44"/>
        <v>1.7782150359302973E-2</v>
      </c>
      <c r="S262" s="50">
        <f t="shared" si="45"/>
        <v>-1.7410896745328253E-2</v>
      </c>
      <c r="T262" s="50"/>
    </row>
    <row r="263" spans="2:20">
      <c r="B263" s="112">
        <v>44046</v>
      </c>
      <c r="C263" s="42">
        <v>38040.570312999997</v>
      </c>
      <c r="D263" s="42">
        <v>2220.4499510000001</v>
      </c>
      <c r="E263" s="42">
        <v>16677.199218999998</v>
      </c>
      <c r="F263" s="42">
        <v>3857.6499020000001</v>
      </c>
      <c r="G263" s="42">
        <v>10732.599609000001</v>
      </c>
      <c r="H263" s="42">
        <v>690.84997599999997</v>
      </c>
      <c r="I263" s="42">
        <v>369.45001200000002</v>
      </c>
      <c r="J263" s="42">
        <v>238.10000600000001</v>
      </c>
      <c r="L263" s="50">
        <f t="shared" si="38"/>
        <v>1.1531920900466508E-2</v>
      </c>
      <c r="M263" s="50">
        <f t="shared" si="39"/>
        <v>9.0702412776593189E-3</v>
      </c>
      <c r="N263" s="50">
        <f t="shared" si="40"/>
        <v>9.3813177014445692E-3</v>
      </c>
      <c r="O263" s="50">
        <f t="shared" si="41"/>
        <v>8.9051687224850351E-3</v>
      </c>
      <c r="P263" s="50">
        <f t="shared" si="42"/>
        <v>0</v>
      </c>
      <c r="Q263" s="50">
        <f t="shared" si="43"/>
        <v>-1.445400064594371E-3</v>
      </c>
      <c r="R263" s="50">
        <f t="shared" si="44"/>
        <v>1.6508460040991935E-2</v>
      </c>
      <c r="S263" s="50">
        <f t="shared" si="45"/>
        <v>-7.2962266259022357E-3</v>
      </c>
      <c r="T263" s="50"/>
    </row>
    <row r="264" spans="2:20">
      <c r="B264" s="112">
        <v>44050</v>
      </c>
      <c r="C264" s="42">
        <v>38040.570312999997</v>
      </c>
      <c r="D264" s="42">
        <v>2210.5500489999999</v>
      </c>
      <c r="E264" s="42">
        <v>16788.599609000001</v>
      </c>
      <c r="F264" s="42">
        <v>3934.8000489999999</v>
      </c>
      <c r="H264" s="42">
        <v>689.09997599999997</v>
      </c>
      <c r="I264" s="42">
        <v>370</v>
      </c>
      <c r="J264" s="42">
        <v>257.29998799999998</v>
      </c>
      <c r="L264" s="50" t="s">
        <v>217</v>
      </c>
      <c r="M264" s="50" t="s">
        <v>217</v>
      </c>
      <c r="N264" s="50" t="s">
        <v>217</v>
      </c>
      <c r="O264" s="50" t="s">
        <v>217</v>
      </c>
      <c r="P264" s="50" t="s">
        <v>217</v>
      </c>
      <c r="Q264" s="50" t="s">
        <v>217</v>
      </c>
      <c r="R264" s="50" t="s">
        <v>217</v>
      </c>
      <c r="S264" s="50" t="s">
        <v>217</v>
      </c>
      <c r="T264" s="50"/>
    </row>
  </sheetData>
  <mergeCells count="3">
    <mergeCell ref="C1:J1"/>
    <mergeCell ref="L1:S1"/>
    <mergeCell ref="V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63"/>
  <sheetViews>
    <sheetView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C66" sqref="C66"/>
    </sheetView>
  </sheetViews>
  <sheetFormatPr defaultRowHeight="15"/>
  <cols>
    <col min="1" max="1" width="1.28515625" style="34" customWidth="1"/>
    <col min="2" max="2" width="50.7109375" style="34" customWidth="1"/>
    <col min="3" max="3" width="10.28515625" style="34" customWidth="1"/>
    <col min="4" max="9" width="25.7109375" style="34" customWidth="1"/>
    <col min="10" max="16384" width="9.140625" style="34"/>
  </cols>
  <sheetData>
    <row r="1" spans="1:30" ht="36" customHeight="1">
      <c r="A1" s="36" t="s">
        <v>0</v>
      </c>
      <c r="B1" s="37"/>
      <c r="C1" s="136"/>
      <c r="D1" s="136"/>
      <c r="E1" s="136" t="s">
        <v>2</v>
      </c>
      <c r="F1" s="136"/>
      <c r="G1" s="136"/>
      <c r="H1" s="136"/>
      <c r="I1" s="136"/>
    </row>
    <row r="2" spans="1:30">
      <c r="A2" s="38" t="s">
        <v>3</v>
      </c>
      <c r="B2" s="39"/>
      <c r="C2" s="61"/>
      <c r="D2" s="61"/>
      <c r="E2" s="61" t="s">
        <v>9</v>
      </c>
      <c r="F2" s="61" t="s">
        <v>10</v>
      </c>
      <c r="G2" s="61" t="s">
        <v>11</v>
      </c>
      <c r="H2" s="61" t="s">
        <v>12</v>
      </c>
      <c r="I2" s="61" t="s">
        <v>13</v>
      </c>
    </row>
    <row r="3" spans="1:30">
      <c r="B3" s="47"/>
      <c r="C3" s="42"/>
      <c r="D3" s="42"/>
      <c r="E3" s="42"/>
      <c r="F3" s="42"/>
      <c r="G3" s="42"/>
      <c r="H3" s="42"/>
      <c r="I3" s="42"/>
    </row>
    <row r="4" spans="1:30" ht="15.75" thickBot="1">
      <c r="B4" s="43" t="s">
        <v>263</v>
      </c>
      <c r="C4" s="42"/>
      <c r="D4" s="42"/>
      <c r="E4" s="42"/>
      <c r="F4" s="42"/>
      <c r="G4" s="42"/>
      <c r="H4" s="42"/>
      <c r="I4" s="42"/>
    </row>
    <row r="5" spans="1:30">
      <c r="B5" s="47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>
      <c r="B6" s="47" t="s">
        <v>26</v>
      </c>
      <c r="C6" s="42"/>
      <c r="D6" s="42"/>
      <c r="E6" s="42">
        <f>'Income Statement'!H19</f>
        <v>1804.3744032356776</v>
      </c>
      <c r="F6" s="42">
        <f>'Income Statement'!I19</f>
        <v>1864.2810366416529</v>
      </c>
      <c r="G6" s="42">
        <f>'Income Statement'!J19</f>
        <v>1979.2462126450985</v>
      </c>
      <c r="H6" s="42">
        <f>'Income Statement'!K19</f>
        <v>2130.5995015716444</v>
      </c>
      <c r="I6" s="42">
        <f>'Income Statement'!L19</f>
        <v>2240.9458363450663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spans="1:30">
      <c r="B7" s="47" t="s">
        <v>264</v>
      </c>
      <c r="C7" s="42"/>
      <c r="D7" s="42"/>
      <c r="E7" s="42">
        <f>E6*(1-'Cost Sheet'!H50)</f>
        <v>1472.4760565513998</v>
      </c>
      <c r="F7" s="42">
        <f>F6*(1-'Cost Sheet'!I50)</f>
        <v>1521.3634067380999</v>
      </c>
      <c r="G7" s="42">
        <f>G6*(1-'Cost Sheet'!J50)</f>
        <v>1615.1817787448881</v>
      </c>
      <c r="H7" s="42">
        <f>H6*(1-'Cost Sheet'!K50)</f>
        <v>1738.6949995182465</v>
      </c>
      <c r="I7" s="42">
        <f>I6*(1-'Cost Sheet'!L50)</f>
        <v>1828.7441243510411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>
      <c r="B8" s="47" t="s">
        <v>265</v>
      </c>
      <c r="C8" s="42"/>
      <c r="D8" s="42"/>
      <c r="E8" s="42">
        <f>'Income Statement'!H18</f>
        <v>196.29376540697336</v>
      </c>
      <c r="F8" s="42">
        <f>'Income Statement'!I18</f>
        <v>217.60833758959694</v>
      </c>
      <c r="G8" s="42">
        <f>'Income Statement'!J18</f>
        <v>240.24259976564846</v>
      </c>
      <c r="H8" s="42">
        <f>'Income Statement'!K18</f>
        <v>264.36008168437502</v>
      </c>
      <c r="I8" s="42">
        <f>'Income Statement'!L18</f>
        <v>290.04087936681691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>
      <c r="B9" s="47" t="s">
        <v>266</v>
      </c>
      <c r="C9" s="42"/>
      <c r="D9" s="42"/>
      <c r="E9" s="42">
        <f>'Cashflow Statement'!H40</f>
        <v>-349.55201118458211</v>
      </c>
      <c r="F9" s="42">
        <f>'Cashflow Statement'!I40</f>
        <v>-373.11691293703296</v>
      </c>
      <c r="G9" s="42">
        <f>'Cashflow Statement'!J40</f>
        <v>-397.3012229504323</v>
      </c>
      <c r="H9" s="42">
        <f>'Cashflow Statement'!K40</f>
        <v>-424.48233840442799</v>
      </c>
      <c r="I9" s="42">
        <f>'Cashflow Statement'!L40</f>
        <v>-453.13127358375647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0" ht="15.75" thickBot="1">
      <c r="B10" s="47" t="s">
        <v>267</v>
      </c>
      <c r="C10" s="42"/>
      <c r="D10" s="42"/>
      <c r="E10" s="42">
        <f>'Working Capital Schedule'!H20</f>
        <v>164.29931849688819</v>
      </c>
      <c r="F10" s="42">
        <f>'Working Capital Schedule'!I20</f>
        <v>-287.11312194577954</v>
      </c>
      <c r="G10" s="42">
        <f>'Working Capital Schedule'!J20</f>
        <v>243.82981529620247</v>
      </c>
      <c r="H10" s="42">
        <f>'Working Capital Schedule'!K20</f>
        <v>-292.06141996264989</v>
      </c>
      <c r="I10" s="42">
        <f>'Working Capital Schedule'!L20</f>
        <v>195.74588838670843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0" ht="15.75" thickBot="1">
      <c r="B11" s="44" t="s">
        <v>268</v>
      </c>
      <c r="C11" s="44"/>
      <c r="D11" s="44"/>
      <c r="E11" s="44">
        <f>SUM(E6:E10)</f>
        <v>3287.8915325063567</v>
      </c>
      <c r="F11" s="44">
        <f t="shared" ref="F11:I11" si="0">SUM(F6:F10)</f>
        <v>2943.0227460865372</v>
      </c>
      <c r="G11" s="44">
        <f t="shared" si="0"/>
        <v>3681.1991835014046</v>
      </c>
      <c r="H11" s="44">
        <f t="shared" si="0"/>
        <v>3417.1108244071888</v>
      </c>
      <c r="I11" s="44">
        <f t="shared" si="0"/>
        <v>4102.3454548658765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ht="15.75" thickBot="1">
      <c r="B12" s="47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0" ht="15.75" thickBot="1">
      <c r="B13" s="108" t="s">
        <v>269</v>
      </c>
      <c r="C13" s="108"/>
      <c r="D13" s="108"/>
      <c r="E13" s="108"/>
      <c r="F13" s="108"/>
      <c r="G13" s="108"/>
      <c r="H13" s="108"/>
      <c r="I13" s="108">
        <f>(I11*(1+C26))/(C49-C26)</f>
        <v>142575.60897931905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ht="16.5" thickTop="1" thickBot="1">
      <c r="B14" s="51"/>
      <c r="C14" s="6"/>
      <c r="D14" s="6"/>
      <c r="E14" s="6"/>
      <c r="F14" s="6"/>
      <c r="G14" s="6"/>
      <c r="H14" s="6"/>
      <c r="I14" s="6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5.75" thickBot="1">
      <c r="B15" s="44" t="s">
        <v>270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 spans="1:30">
      <c r="B16" s="47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</row>
    <row r="17" spans="2:30" ht="15.75" thickBot="1">
      <c r="B17" s="43" t="s">
        <v>271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spans="2:30">
      <c r="B18" s="4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2:30">
      <c r="B19" s="4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>
      <c r="B20" s="47" t="s">
        <v>330</v>
      </c>
      <c r="C20" s="50">
        <v>5.8900000000000001E-2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>
      <c r="B21" s="47" t="s">
        <v>290</v>
      </c>
      <c r="C21" s="50">
        <v>2.58E-2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>
      <c r="B22" s="47" t="s">
        <v>329</v>
      </c>
      <c r="C22" s="50">
        <f>C20-C21</f>
        <v>3.3100000000000004E-2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>
      <c r="B23" s="47" t="s">
        <v>272</v>
      </c>
      <c r="C23" s="42">
        <f>'Beta Calculation Sheet'!AD17</f>
        <v>0.55666241721838639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>
      <c r="B24" s="47" t="s">
        <v>273</v>
      </c>
      <c r="C24" s="50">
        <f>8.46%</f>
        <v>8.4600000000000009E-2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spans="2:30">
      <c r="B25" s="47" t="s">
        <v>274</v>
      </c>
      <c r="C25" s="50">
        <f>C22+(C23*C24)</f>
        <v>8.0193640496675489E-2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>
      <c r="B26" s="47" t="s">
        <v>275</v>
      </c>
      <c r="C26" s="50">
        <v>0.05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>
      <c r="B27" s="4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ht="15.75" thickBot="1">
      <c r="B28" s="43" t="s">
        <v>276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>
      <c r="B29" s="47" t="s">
        <v>277</v>
      </c>
      <c r="C29" s="93">
        <v>512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>
      <c r="B30" s="47" t="s">
        <v>278</v>
      </c>
      <c r="C30" s="42">
        <f>'Balance Sheet'!G38</f>
        <v>176.71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 spans="2:30">
      <c r="B31" s="47" t="s">
        <v>313</v>
      </c>
      <c r="C31" s="42">
        <f>'Balance Sheet'!G39</f>
        <v>6429.04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>
      <c r="B32" s="55" t="s">
        <v>311</v>
      </c>
      <c r="C32" s="56">
        <f>(C29*C30)+C31</f>
        <v>96904.56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2:30">
      <c r="B33" s="47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2:30" ht="15.75" thickBot="1">
      <c r="B34" s="43" t="s">
        <v>279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spans="2:30">
      <c r="B35" s="55" t="s">
        <v>312</v>
      </c>
      <c r="C35" s="56">
        <f>'Cost Sheet'!G62</f>
        <v>495.70499999999998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</row>
    <row r="36" spans="2:30">
      <c r="B36" s="47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2:30" ht="15.75" thickBot="1">
      <c r="B37" s="43" t="s">
        <v>280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2:30">
      <c r="B38" s="47" t="s">
        <v>281</v>
      </c>
      <c r="C38" s="50">
        <f>C32/(C35+C32)</f>
        <v>0.99491064013018859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</row>
    <row r="39" spans="2:30">
      <c r="B39" s="47" t="s">
        <v>282</v>
      </c>
      <c r="C39" s="50">
        <f>1-C38</f>
        <v>5.0893598698114051E-3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2:30">
      <c r="B40" s="47" t="s">
        <v>283</v>
      </c>
      <c r="C40" s="42">
        <f>C35/C32</f>
        <v>5.1153939505014009E-3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</row>
    <row r="41" spans="2:30">
      <c r="B41" s="4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2:30" ht="15.75" thickBot="1">
      <c r="B42" s="43" t="s">
        <v>284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2:30">
      <c r="B43" s="47" t="s">
        <v>285</v>
      </c>
      <c r="C43" s="50">
        <f>C22</f>
        <v>3.3100000000000004E-2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>
      <c r="B44" s="47" t="s">
        <v>314</v>
      </c>
      <c r="C44" s="42">
        <f>C23</f>
        <v>0.55666241721838639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>
      <c r="B45" s="47" t="s">
        <v>274</v>
      </c>
      <c r="C45" s="50">
        <f>C25</f>
        <v>8.0193640496675489E-2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>
      <c r="B46" s="47" t="s">
        <v>286</v>
      </c>
      <c r="C46" s="50">
        <f>'Cost Sheet'!G64</f>
        <v>9.9938471469926668E-2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>
      <c r="B47" s="47" t="s">
        <v>287</v>
      </c>
      <c r="C47" s="116">
        <f>'Cost Sheet'!G50</f>
        <v>0.16190873098562203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spans="2:30">
      <c r="B48" s="47" t="s">
        <v>288</v>
      </c>
      <c r="C48" s="50">
        <f>C46*(1-C47)</f>
        <v>8.3757560377588053E-2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2:30">
      <c r="B49" s="55" t="s">
        <v>289</v>
      </c>
      <c r="C49" s="117">
        <f>(C45*C38)+(C39*C48)</f>
        <v>8.021177856749663E-2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</row>
    <row r="50" spans="2:30">
      <c r="B50" s="4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2:30">
      <c r="B51" s="47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</row>
    <row r="52" spans="2:30">
      <c r="B52" s="47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spans="2:30" ht="15.75" thickBot="1">
      <c r="B53" s="43" t="s">
        <v>326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spans="2:30">
      <c r="B54" s="47"/>
      <c r="C54" s="42"/>
      <c r="D54" s="42"/>
      <c r="E54" s="61" t="s">
        <v>9</v>
      </c>
      <c r="F54" s="61" t="s">
        <v>10</v>
      </c>
      <c r="G54" s="61" t="s">
        <v>11</v>
      </c>
      <c r="H54" s="61" t="s">
        <v>12</v>
      </c>
      <c r="I54" s="61" t="s">
        <v>13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2:30">
      <c r="B55" s="47" t="s">
        <v>315</v>
      </c>
      <c r="C55" s="42"/>
      <c r="D55" s="42"/>
      <c r="E55" s="56">
        <f>E11</f>
        <v>3287.8915325063567</v>
      </c>
      <c r="F55" s="56">
        <f>F11</f>
        <v>2943.0227460865372</v>
      </c>
      <c r="G55" s="56">
        <f>G11</f>
        <v>3681.1991835014046</v>
      </c>
      <c r="H55" s="56">
        <f>H11</f>
        <v>3417.1108244071888</v>
      </c>
      <c r="I55" s="56">
        <f>I11</f>
        <v>4102.3454548658765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</row>
    <row r="56" spans="2:30">
      <c r="B56" s="55" t="s">
        <v>316</v>
      </c>
      <c r="C56" s="56">
        <f>NPV(C49,E55:I55)</f>
        <v>13785.422674681779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</row>
    <row r="57" spans="2:30">
      <c r="B57" s="47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2:30">
      <c r="B58" s="47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spans="2:30" ht="15.75" thickBot="1">
      <c r="B59" s="43" t="s">
        <v>317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2:30">
      <c r="B60" s="47" t="s">
        <v>318</v>
      </c>
      <c r="C60" s="42"/>
      <c r="D60" s="42"/>
      <c r="E60" s="42">
        <v>0</v>
      </c>
      <c r="F60" s="42">
        <v>0</v>
      </c>
      <c r="G60" s="42">
        <v>0</v>
      </c>
      <c r="H60" s="42">
        <v>0</v>
      </c>
      <c r="I60" s="42">
        <f>I13</f>
        <v>142575.60897931905</v>
      </c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2:30">
      <c r="B61" s="55" t="s">
        <v>319</v>
      </c>
      <c r="C61" s="56">
        <f>NPV(C49,E60:I60)</f>
        <v>96939.481567481474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spans="2:30">
      <c r="B62" s="47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2:30">
      <c r="B63" s="47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spans="2:30">
      <c r="B64" s="47"/>
      <c r="C64" s="61" t="s">
        <v>320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spans="2:30">
      <c r="B65" s="47" t="s">
        <v>316</v>
      </c>
      <c r="C65" s="42">
        <f>C56</f>
        <v>13785.422674681779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spans="2:30">
      <c r="B66" s="47" t="s">
        <v>319</v>
      </c>
      <c r="C66" s="42">
        <f>C61</f>
        <v>96939.481567481474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spans="2:30">
      <c r="B67" s="47" t="s">
        <v>321</v>
      </c>
      <c r="C67" s="42">
        <f>SUM(C65:C66)</f>
        <v>110724.90424216325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2:30">
      <c r="B68" s="47" t="s">
        <v>322</v>
      </c>
      <c r="C68" s="42">
        <f>'Cashflow Statement'!G64</f>
        <v>163.93999999999872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2:30">
      <c r="B69" s="47" t="s">
        <v>323</v>
      </c>
      <c r="C69" s="42">
        <f>-C35</f>
        <v>-495.70499999999998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spans="2:30">
      <c r="B70" s="47" t="s">
        <v>324</v>
      </c>
      <c r="C70" s="42">
        <f>SUM(C67:C69)</f>
        <v>110393.13924216325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spans="2:30" ht="15.75" thickBot="1">
      <c r="B71" s="47" t="s">
        <v>278</v>
      </c>
      <c r="C71" s="42">
        <f>C30</f>
        <v>176.71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spans="2:30" ht="15.75" thickBot="1">
      <c r="B72" s="119" t="s">
        <v>328</v>
      </c>
      <c r="C72" s="118">
        <f>C70/C71</f>
        <v>624.71359426270863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spans="2:30" ht="15.75" thickTop="1">
      <c r="B73" s="51"/>
      <c r="C73" s="6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spans="2:30" ht="26.25" thickBot="1">
      <c r="B74" s="47"/>
      <c r="C74" s="43" t="s">
        <v>327</v>
      </c>
      <c r="D74" s="12"/>
      <c r="E74" s="12"/>
      <c r="F74" s="12"/>
      <c r="G74" s="12"/>
      <c r="H74" s="12"/>
      <c r="I74" s="1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2:30">
      <c r="B75" s="47"/>
      <c r="C75" s="120"/>
      <c r="D75" s="144" t="s">
        <v>289</v>
      </c>
      <c r="E75" s="145"/>
      <c r="F75" s="145"/>
      <c r="G75" s="145"/>
      <c r="H75" s="145"/>
      <c r="I75" s="146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2:30" ht="15" customHeight="1" thickBot="1">
      <c r="B76" s="47"/>
      <c r="C76" s="121"/>
      <c r="D76" s="134">
        <f>C72</f>
        <v>624.71359426270863</v>
      </c>
      <c r="E76" s="127">
        <f>F76-0.2%</f>
        <v>7.619999999999999E-2</v>
      </c>
      <c r="F76" s="127">
        <f>G76-0.2%</f>
        <v>7.8199999999999992E-2</v>
      </c>
      <c r="G76" s="127">
        <v>8.0199999999999994E-2</v>
      </c>
      <c r="H76" s="127">
        <f>G76+0.2%</f>
        <v>8.2199999999999995E-2</v>
      </c>
      <c r="I76" s="128">
        <f>H76+0.2%</f>
        <v>8.4199999999999997E-2</v>
      </c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2:30" ht="15" customHeight="1">
      <c r="B77" s="47"/>
      <c r="C77" s="141" t="s">
        <v>325</v>
      </c>
      <c r="D77" s="122">
        <f>D78-0.2%</f>
        <v>4.5999999999999999E-2</v>
      </c>
      <c r="E77" s="129">
        <f t="dataTable" ref="E77:I81" dt2D="1" dtr="1" r1="C49" r2="C26"/>
        <v>633.96864665309818</v>
      </c>
      <c r="F77" s="130">
        <v>594.11392111318298</v>
      </c>
      <c r="G77" s="130">
        <v>558.92390109294445</v>
      </c>
      <c r="H77" s="130">
        <v>527.62539547216613</v>
      </c>
      <c r="I77" s="131">
        <v>499.60713841297132</v>
      </c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2:30">
      <c r="B78" s="47"/>
      <c r="C78" s="142"/>
      <c r="D78" s="122">
        <f>D79-0.2%</f>
        <v>4.8000000000000001E-2</v>
      </c>
      <c r="E78" s="132">
        <v>674.6104617623464</v>
      </c>
      <c r="F78" s="42">
        <v>629.44370438435737</v>
      </c>
      <c r="G78" s="42">
        <v>589.8911359887436</v>
      </c>
      <c r="H78" s="42">
        <v>554.96777472735744</v>
      </c>
      <c r="I78" s="123">
        <v>523.90631475035434</v>
      </c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spans="2:30">
      <c r="B79" s="47"/>
      <c r="C79" s="142"/>
      <c r="D79" s="122">
        <v>0.05</v>
      </c>
      <c r="E79" s="132">
        <v>721.45713414018212</v>
      </c>
      <c r="F79" s="42">
        <v>669.7848044315848</v>
      </c>
      <c r="G79" s="42">
        <v>624.95999140054255</v>
      </c>
      <c r="H79" s="42">
        <v>585.70672283412523</v>
      </c>
      <c r="I79" s="123">
        <v>551.04750001608613</v>
      </c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2:30">
      <c r="B80" s="47"/>
      <c r="C80" s="142"/>
      <c r="D80" s="122">
        <f>D79+0.2%</f>
        <v>5.2000000000000005E-2</v>
      </c>
      <c r="E80" s="132">
        <v>776.04705815071793</v>
      </c>
      <c r="F80" s="42">
        <v>716.28485105090817</v>
      </c>
      <c r="G80" s="42">
        <v>665.00315254451175</v>
      </c>
      <c r="H80" s="42">
        <v>620.51705479609404</v>
      </c>
      <c r="I80" s="123">
        <v>581.5602610912257</v>
      </c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spans="2:30">
      <c r="B81" s="47"/>
      <c r="C81" s="143"/>
      <c r="D81" s="124">
        <f>D80+0.2%</f>
        <v>5.4000000000000006E-2</v>
      </c>
      <c r="E81" s="133">
        <v>840.47300450549449</v>
      </c>
      <c r="F81" s="125">
        <v>770.470855789128</v>
      </c>
      <c r="G81" s="125">
        <v>711.15977340511733</v>
      </c>
      <c r="H81" s="125">
        <v>660.26502249734915</v>
      </c>
      <c r="I81" s="126">
        <v>616.11444747433075</v>
      </c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spans="2:30">
      <c r="B82" s="47"/>
      <c r="C82" s="6"/>
      <c r="D82" s="6"/>
      <c r="E82" s="6"/>
      <c r="F82" s="6"/>
      <c r="G82" s="6"/>
      <c r="H82" s="6"/>
      <c r="I82" s="6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spans="2:30">
      <c r="B83" s="47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spans="2:30">
      <c r="B84" s="47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spans="2:30">
      <c r="B85" s="47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2:30">
      <c r="B86" s="47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spans="2:30">
      <c r="B87" s="47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spans="2:30">
      <c r="B88" s="47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spans="2:30">
      <c r="B89" s="47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spans="2:30">
      <c r="B90" s="47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spans="2:30">
      <c r="B91" s="47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spans="2:30">
      <c r="B92" s="47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</row>
    <row r="93" spans="2:30">
      <c r="B93" s="47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</row>
    <row r="94" spans="2:30">
      <c r="B94" s="47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</row>
    <row r="95" spans="2:30">
      <c r="B95" s="47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</row>
    <row r="96" spans="2:30">
      <c r="B96" s="47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</row>
    <row r="97" spans="2:30">
      <c r="B97" s="47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</row>
    <row r="98" spans="2:30">
      <c r="B98" s="47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</row>
    <row r="99" spans="2:30">
      <c r="B99" s="47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</row>
    <row r="100" spans="2:30">
      <c r="B100" s="47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2:30">
      <c r="B101" s="47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</row>
    <row r="102" spans="2:30">
      <c r="B102" s="47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</row>
    <row r="103" spans="2:30">
      <c r="B103" s="47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</row>
    <row r="104" spans="2:30">
      <c r="B104" s="47"/>
    </row>
    <row r="105" spans="2:30">
      <c r="B105" s="47"/>
    </row>
    <row r="106" spans="2:30">
      <c r="B106" s="47"/>
    </row>
    <row r="107" spans="2:30">
      <c r="B107" s="47"/>
    </row>
    <row r="108" spans="2:30">
      <c r="B108" s="47"/>
    </row>
    <row r="109" spans="2:30">
      <c r="B109" s="47"/>
    </row>
    <row r="110" spans="2:30">
      <c r="B110" s="47"/>
    </row>
    <row r="111" spans="2:30">
      <c r="B111" s="47"/>
    </row>
    <row r="112" spans="2:30">
      <c r="B112" s="47"/>
    </row>
    <row r="113" spans="2:2">
      <c r="B113" s="47"/>
    </row>
    <row r="114" spans="2:2">
      <c r="B114" s="47"/>
    </row>
    <row r="115" spans="2:2">
      <c r="B115" s="47"/>
    </row>
    <row r="116" spans="2:2">
      <c r="B116" s="47"/>
    </row>
    <row r="117" spans="2:2">
      <c r="B117" s="47"/>
    </row>
    <row r="118" spans="2:2">
      <c r="B118" s="47"/>
    </row>
    <row r="119" spans="2:2">
      <c r="B119" s="47"/>
    </row>
    <row r="120" spans="2:2">
      <c r="B120" s="47"/>
    </row>
    <row r="121" spans="2:2">
      <c r="B121" s="47"/>
    </row>
    <row r="122" spans="2:2">
      <c r="B122" s="47"/>
    </row>
    <row r="123" spans="2:2">
      <c r="B123" s="47"/>
    </row>
    <row r="124" spans="2:2">
      <c r="B124" s="47"/>
    </row>
    <row r="125" spans="2:2">
      <c r="B125" s="47"/>
    </row>
    <row r="126" spans="2:2">
      <c r="B126" s="47"/>
    </row>
    <row r="127" spans="2:2">
      <c r="B127" s="47"/>
    </row>
    <row r="128" spans="2:2">
      <c r="B128" s="47"/>
    </row>
    <row r="129" spans="2:2">
      <c r="B129" s="47"/>
    </row>
    <row r="130" spans="2:2">
      <c r="B130" s="47"/>
    </row>
    <row r="131" spans="2:2">
      <c r="B131" s="47"/>
    </row>
    <row r="132" spans="2:2">
      <c r="B132" s="47"/>
    </row>
    <row r="133" spans="2:2">
      <c r="B133" s="47"/>
    </row>
    <row r="134" spans="2:2">
      <c r="B134" s="47"/>
    </row>
    <row r="135" spans="2:2">
      <c r="B135" s="47"/>
    </row>
    <row r="136" spans="2:2">
      <c r="B136" s="47"/>
    </row>
    <row r="137" spans="2:2">
      <c r="B137" s="47"/>
    </row>
    <row r="138" spans="2:2">
      <c r="B138" s="47"/>
    </row>
    <row r="139" spans="2:2">
      <c r="B139" s="47"/>
    </row>
    <row r="140" spans="2:2">
      <c r="B140" s="47"/>
    </row>
    <row r="141" spans="2:2">
      <c r="B141" s="47"/>
    </row>
    <row r="142" spans="2:2">
      <c r="B142" s="47"/>
    </row>
    <row r="143" spans="2:2">
      <c r="B143" s="47"/>
    </row>
    <row r="144" spans="2:2">
      <c r="B144" s="47"/>
    </row>
    <row r="145" spans="2:2">
      <c r="B145" s="47"/>
    </row>
    <row r="146" spans="2:2">
      <c r="B146" s="47"/>
    </row>
    <row r="147" spans="2:2">
      <c r="B147" s="47"/>
    </row>
    <row r="148" spans="2:2">
      <c r="B148" s="47"/>
    </row>
    <row r="149" spans="2:2">
      <c r="B149" s="47"/>
    </row>
    <row r="150" spans="2:2">
      <c r="B150" s="47"/>
    </row>
    <row r="151" spans="2:2">
      <c r="B151" s="47"/>
    </row>
    <row r="152" spans="2:2">
      <c r="B152" s="47"/>
    </row>
    <row r="153" spans="2:2">
      <c r="B153" s="47"/>
    </row>
    <row r="154" spans="2:2">
      <c r="B154" s="47"/>
    </row>
    <row r="155" spans="2:2">
      <c r="B155" s="47"/>
    </row>
    <row r="156" spans="2:2">
      <c r="B156" s="47"/>
    </row>
    <row r="157" spans="2:2">
      <c r="B157" s="47"/>
    </row>
    <row r="158" spans="2:2">
      <c r="B158" s="47"/>
    </row>
    <row r="159" spans="2:2">
      <c r="B159" s="47"/>
    </row>
    <row r="160" spans="2:2">
      <c r="B160" s="47"/>
    </row>
    <row r="161" spans="2:2">
      <c r="B161" s="47"/>
    </row>
    <row r="162" spans="2:2">
      <c r="B162" s="47"/>
    </row>
    <row r="163" spans="2:2">
      <c r="B163" s="47"/>
    </row>
  </sheetData>
  <mergeCells count="4">
    <mergeCell ref="C77:C81"/>
    <mergeCell ref="D75:I75"/>
    <mergeCell ref="C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Income Statement</vt:lpstr>
      <vt:lpstr>Balance Sheet</vt:lpstr>
      <vt:lpstr>Cashflow Statement</vt:lpstr>
      <vt:lpstr>Ratio Analysis</vt:lpstr>
      <vt:lpstr>Working Capital Schedule</vt:lpstr>
      <vt:lpstr>Revenue Projections</vt:lpstr>
      <vt:lpstr>Cost Sheet</vt:lpstr>
      <vt:lpstr>Depriciation Schedule</vt:lpstr>
      <vt:lpstr>Beta Calculation Sheet</vt:lpstr>
      <vt:lpstr>DCF Model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lodha</dc:creator>
  <cp:lastModifiedBy>arham lodha</cp:lastModifiedBy>
  <dcterms:created xsi:type="dcterms:W3CDTF">2021-10-14T06:09:17Z</dcterms:created>
  <dcterms:modified xsi:type="dcterms:W3CDTF">2022-09-19T05:50:56Z</dcterms:modified>
</cp:coreProperties>
</file>